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53AC4623-8A5E-4D0E-90CA-96CEBB7B34AD}" xr6:coauthVersionLast="31" xr6:coauthVersionMax="31" xr10:uidLastSave="{00000000-0000-0000-0000-000000000000}"/>
  <bookViews>
    <workbookView xWindow="0" yWindow="0" windowWidth="20490" windowHeight="6860" firstSheet="4" activeTab="4" xr2:uid="{00000000-000D-0000-FFFF-FFFF00000000}"/>
  </bookViews>
  <sheets>
    <sheet name="(2016-17)" sheetId="1" state="hidden" r:id="rId1"/>
    <sheet name="2017-18_working" sheetId="2" state="hidden" r:id="rId2"/>
    <sheet name="(2017-18)" sheetId="3" state="hidden" r:id="rId3"/>
    <sheet name="FIRE1122_raw" sheetId="4" state="hidden" r:id="rId4"/>
    <sheet name="FIRE1122" sheetId="5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1" l="1"/>
  <c r="AU45" i="1" s="1"/>
  <c r="V45" i="1"/>
  <c r="U45" i="1"/>
  <c r="AS45" i="1" s="1"/>
  <c r="T45" i="1"/>
  <c r="AR45" i="1" s="1"/>
  <c r="S45" i="1"/>
  <c r="AQ45" i="1" s="1"/>
  <c r="R45" i="1"/>
  <c r="AP45" i="1" s="1"/>
  <c r="W44" i="1"/>
  <c r="V44" i="1"/>
  <c r="AT44" i="1" s="1"/>
  <c r="U44" i="1"/>
  <c r="AS44" i="1" s="1"/>
  <c r="T44" i="1"/>
  <c r="S44" i="1"/>
  <c r="AQ44" i="1" s="1"/>
  <c r="R44" i="1"/>
  <c r="AP44" i="1" s="1"/>
  <c r="W43" i="1"/>
  <c r="AU43" i="1" s="1"/>
  <c r="V43" i="1"/>
  <c r="U43" i="1"/>
  <c r="AS43" i="1" s="1"/>
  <c r="T43" i="1"/>
  <c r="AR43" i="1" s="1"/>
  <c r="S43" i="1"/>
  <c r="AQ43" i="1" s="1"/>
  <c r="R43" i="1"/>
  <c r="W42" i="1"/>
  <c r="AU42" i="1" s="1"/>
  <c r="V42" i="1"/>
  <c r="AT42" i="1" s="1"/>
  <c r="U42" i="1"/>
  <c r="AS42" i="1" s="1"/>
  <c r="T42" i="1"/>
  <c r="AR42" i="1" s="1"/>
  <c r="S42" i="1"/>
  <c r="AQ42" i="1" s="1"/>
  <c r="R42" i="1"/>
  <c r="W41" i="1"/>
  <c r="AU41" i="1" s="1"/>
  <c r="V41" i="1"/>
  <c r="U41" i="1"/>
  <c r="AS41" i="1" s="1"/>
  <c r="T41" i="1"/>
  <c r="AR41" i="1" s="1"/>
  <c r="S41" i="1"/>
  <c r="AQ41" i="1" s="1"/>
  <c r="R41" i="1"/>
  <c r="W40" i="1"/>
  <c r="AU40" i="1" s="1"/>
  <c r="V40" i="1"/>
  <c r="AT40" i="1" s="1"/>
  <c r="U40" i="1"/>
  <c r="AS40" i="1" s="1"/>
  <c r="T40" i="1"/>
  <c r="S40" i="1"/>
  <c r="R40" i="1"/>
  <c r="AP40" i="1" s="1"/>
  <c r="W39" i="1"/>
  <c r="AU39" i="1" s="1"/>
  <c r="V39" i="1"/>
  <c r="AT39" i="1" s="1"/>
  <c r="U39" i="1"/>
  <c r="AS39" i="1" s="1"/>
  <c r="T39" i="1"/>
  <c r="AR39" i="1" s="1"/>
  <c r="S39" i="1"/>
  <c r="AQ39" i="1" s="1"/>
  <c r="R39" i="1"/>
  <c r="W38" i="1"/>
  <c r="AU38" i="1" s="1"/>
  <c r="V38" i="1"/>
  <c r="AT38" i="1" s="1"/>
  <c r="U38" i="1"/>
  <c r="AS38" i="1" s="1"/>
  <c r="T38" i="1"/>
  <c r="S38" i="1"/>
  <c r="AQ38" i="1" s="1"/>
  <c r="R38" i="1"/>
  <c r="AP38" i="1" s="1"/>
  <c r="W37" i="1"/>
  <c r="AU37" i="1" s="1"/>
  <c r="V37" i="1"/>
  <c r="U37" i="1"/>
  <c r="T37" i="1"/>
  <c r="AR37" i="1" s="1"/>
  <c r="S37" i="1"/>
  <c r="AQ37" i="1" s="1"/>
  <c r="R37" i="1"/>
  <c r="AP37" i="1" s="1"/>
  <c r="W36" i="1"/>
  <c r="V36" i="1"/>
  <c r="AT36" i="1" s="1"/>
  <c r="U36" i="1"/>
  <c r="AS36" i="1" s="1"/>
  <c r="T36" i="1"/>
  <c r="S36" i="1"/>
  <c r="AQ36" i="1" s="1"/>
  <c r="R36" i="1"/>
  <c r="W35" i="1"/>
  <c r="AU35" i="1" s="1"/>
  <c r="V35" i="1"/>
  <c r="U35" i="1"/>
  <c r="AS35" i="1" s="1"/>
  <c r="T35" i="1"/>
  <c r="AR35" i="1" s="1"/>
  <c r="S35" i="1"/>
  <c r="AQ35" i="1" s="1"/>
  <c r="R35" i="1"/>
  <c r="W34" i="1"/>
  <c r="AU34" i="1" s="1"/>
  <c r="V34" i="1"/>
  <c r="AT34" i="1" s="1"/>
  <c r="U34" i="1"/>
  <c r="AS34" i="1" s="1"/>
  <c r="T34" i="1"/>
  <c r="AR34" i="1" s="1"/>
  <c r="S34" i="1"/>
  <c r="R34" i="1"/>
  <c r="AP34" i="1" s="1"/>
  <c r="W33" i="1"/>
  <c r="AU33" i="1" s="1"/>
  <c r="V33" i="1"/>
  <c r="U33" i="1"/>
  <c r="AS33" i="1" s="1"/>
  <c r="T33" i="1"/>
  <c r="AR33" i="1" s="1"/>
  <c r="S33" i="1"/>
  <c r="AQ33" i="1" s="1"/>
  <c r="R33" i="1"/>
  <c r="W32" i="1"/>
  <c r="AU32" i="1" s="1"/>
  <c r="V32" i="1"/>
  <c r="AT32" i="1" s="1"/>
  <c r="U32" i="1"/>
  <c r="AS32" i="1" s="1"/>
  <c r="T32" i="1"/>
  <c r="S32" i="1"/>
  <c r="AQ32" i="1" s="1"/>
  <c r="R32" i="1"/>
  <c r="AP32" i="1" s="1"/>
  <c r="W31" i="1"/>
  <c r="AU31" i="1" s="1"/>
  <c r="V31" i="1"/>
  <c r="AT31" i="1" s="1"/>
  <c r="U31" i="1"/>
  <c r="AS31" i="1" s="1"/>
  <c r="T31" i="1"/>
  <c r="S31" i="1"/>
  <c r="AQ31" i="1" s="1"/>
  <c r="R31" i="1"/>
  <c r="W30" i="1"/>
  <c r="AU30" i="1" s="1"/>
  <c r="V30" i="1"/>
  <c r="AT30" i="1" s="1"/>
  <c r="U30" i="1"/>
  <c r="AS30" i="1" s="1"/>
  <c r="T30" i="1"/>
  <c r="S30" i="1"/>
  <c r="AQ30" i="1" s="1"/>
  <c r="R30" i="1"/>
  <c r="AP30" i="1" s="1"/>
  <c r="W29" i="1"/>
  <c r="AU29" i="1" s="1"/>
  <c r="V29" i="1"/>
  <c r="U29" i="1"/>
  <c r="T29" i="1"/>
  <c r="AR29" i="1" s="1"/>
  <c r="S29" i="1"/>
  <c r="AQ29" i="1" s="1"/>
  <c r="R29" i="1"/>
  <c r="AP29" i="1" s="1"/>
  <c r="W27" i="1"/>
  <c r="AU27" i="1" s="1"/>
  <c r="V27" i="1"/>
  <c r="AT27" i="1" s="1"/>
  <c r="U27" i="1"/>
  <c r="T27" i="1"/>
  <c r="S27" i="1"/>
  <c r="AQ27" i="1" s="1"/>
  <c r="R27" i="1"/>
  <c r="AP27" i="1" s="1"/>
  <c r="W26" i="1"/>
  <c r="V26" i="1"/>
  <c r="U26" i="1"/>
  <c r="AS26" i="1" s="1"/>
  <c r="T26" i="1"/>
  <c r="AR26" i="1" s="1"/>
  <c r="S26" i="1"/>
  <c r="R26" i="1"/>
  <c r="W25" i="1"/>
  <c r="AU25" i="1" s="1"/>
  <c r="V25" i="1"/>
  <c r="U25" i="1"/>
  <c r="T25" i="1"/>
  <c r="S25" i="1"/>
  <c r="AQ25" i="1" s="1"/>
  <c r="R25" i="1"/>
  <c r="AP25" i="1" s="1"/>
  <c r="W24" i="1"/>
  <c r="V24" i="1"/>
  <c r="U24" i="1"/>
  <c r="AS24" i="1" s="1"/>
  <c r="T24" i="1"/>
  <c r="AR24" i="1" s="1"/>
  <c r="S24" i="1"/>
  <c r="R24" i="1"/>
  <c r="W23" i="1"/>
  <c r="AU23" i="1" s="1"/>
  <c r="V23" i="1"/>
  <c r="AT23" i="1" s="1"/>
  <c r="U23" i="1"/>
  <c r="T23" i="1"/>
  <c r="S23" i="1"/>
  <c r="AQ23" i="1" s="1"/>
  <c r="R23" i="1"/>
  <c r="AP23" i="1" s="1"/>
  <c r="W22" i="1"/>
  <c r="V22" i="1"/>
  <c r="U22" i="1"/>
  <c r="AS22" i="1" s="1"/>
  <c r="T22" i="1"/>
  <c r="AR22" i="1" s="1"/>
  <c r="S22" i="1"/>
  <c r="R22" i="1"/>
  <c r="W21" i="1"/>
  <c r="AU21" i="1" s="1"/>
  <c r="V21" i="1"/>
  <c r="AT21" i="1" s="1"/>
  <c r="U21" i="1"/>
  <c r="T21" i="1"/>
  <c r="S21" i="1"/>
  <c r="AQ21" i="1" s="1"/>
  <c r="R21" i="1"/>
  <c r="AP21" i="1" s="1"/>
  <c r="W20" i="1"/>
  <c r="V20" i="1"/>
  <c r="U20" i="1"/>
  <c r="AS20" i="1" s="1"/>
  <c r="T20" i="1"/>
  <c r="AR20" i="1" s="1"/>
  <c r="S20" i="1"/>
  <c r="R20" i="1"/>
  <c r="W19" i="1"/>
  <c r="AU19" i="1" s="1"/>
  <c r="V19" i="1"/>
  <c r="U19" i="1"/>
  <c r="T19" i="1"/>
  <c r="S19" i="1"/>
  <c r="AQ19" i="1" s="1"/>
  <c r="R19" i="1"/>
  <c r="W18" i="1"/>
  <c r="V18" i="1"/>
  <c r="U18" i="1"/>
  <c r="AS18" i="1" s="1"/>
  <c r="T18" i="1"/>
  <c r="AR18" i="1" s="1"/>
  <c r="S18" i="1"/>
  <c r="R18" i="1"/>
  <c r="W17" i="1"/>
  <c r="AU17" i="1" s="1"/>
  <c r="V17" i="1"/>
  <c r="AT17" i="1" s="1"/>
  <c r="U17" i="1"/>
  <c r="T17" i="1"/>
  <c r="S17" i="1"/>
  <c r="AQ17" i="1" s="1"/>
  <c r="R17" i="1"/>
  <c r="AP17" i="1" s="1"/>
  <c r="W16" i="1"/>
  <c r="V16" i="1"/>
  <c r="U16" i="1"/>
  <c r="AS16" i="1" s="1"/>
  <c r="T16" i="1"/>
  <c r="AR16" i="1" s="1"/>
  <c r="S16" i="1"/>
  <c r="R16" i="1"/>
  <c r="W15" i="1"/>
  <c r="AU15" i="1" s="1"/>
  <c r="V15" i="1"/>
  <c r="AT15" i="1" s="1"/>
  <c r="U15" i="1"/>
  <c r="T15" i="1"/>
  <c r="S15" i="1"/>
  <c r="AQ15" i="1" s="1"/>
  <c r="R15" i="1"/>
  <c r="AP15" i="1" s="1"/>
  <c r="W14" i="1"/>
  <c r="V14" i="1"/>
  <c r="U14" i="1"/>
  <c r="AS14" i="1" s="1"/>
  <c r="T14" i="1"/>
  <c r="AR14" i="1" s="1"/>
  <c r="S14" i="1"/>
  <c r="R14" i="1"/>
  <c r="W13" i="1"/>
  <c r="AU13" i="1" s="1"/>
  <c r="V13" i="1"/>
  <c r="AT13" i="1" s="1"/>
  <c r="U13" i="1"/>
  <c r="T13" i="1"/>
  <c r="S13" i="1"/>
  <c r="AQ13" i="1" s="1"/>
  <c r="R13" i="1"/>
  <c r="AP13" i="1" s="1"/>
  <c r="W12" i="1"/>
  <c r="V12" i="1"/>
  <c r="U12" i="1"/>
  <c r="AS12" i="1" s="1"/>
  <c r="T12" i="1"/>
  <c r="S12" i="1"/>
  <c r="R12" i="1"/>
  <c r="W11" i="1"/>
  <c r="AU11" i="1" s="1"/>
  <c r="V11" i="1"/>
  <c r="AT11" i="1" s="1"/>
  <c r="U11" i="1"/>
  <c r="T11" i="1"/>
  <c r="S11" i="1"/>
  <c r="AQ11" i="1" s="1"/>
  <c r="R11" i="1"/>
  <c r="AP11" i="1" s="1"/>
  <c r="AX11" i="1" s="1"/>
  <c r="W10" i="1"/>
  <c r="V10" i="1"/>
  <c r="U10" i="1"/>
  <c r="AS10" i="1" s="1"/>
  <c r="T10" i="1"/>
  <c r="AR10" i="1" s="1"/>
  <c r="S10" i="1"/>
  <c r="R10" i="1"/>
  <c r="W9" i="1"/>
  <c r="AU9" i="1" s="1"/>
  <c r="V9" i="1"/>
  <c r="U9" i="1"/>
  <c r="T9" i="1"/>
  <c r="S9" i="1"/>
  <c r="AQ9" i="1" s="1"/>
  <c r="R9" i="1"/>
  <c r="AP9" i="1" s="1"/>
  <c r="W8" i="1"/>
  <c r="V8" i="1"/>
  <c r="U8" i="1"/>
  <c r="AS8" i="1" s="1"/>
  <c r="T8" i="1"/>
  <c r="AR8" i="1" s="1"/>
  <c r="S8" i="1"/>
  <c r="R8" i="1"/>
  <c r="W7" i="1"/>
  <c r="AU7" i="1" s="1"/>
  <c r="V7" i="1"/>
  <c r="AT7" i="1" s="1"/>
  <c r="U7" i="1"/>
  <c r="T7" i="1"/>
  <c r="S7" i="1"/>
  <c r="AQ7" i="1" s="1"/>
  <c r="R7" i="1"/>
  <c r="AP7" i="1" s="1"/>
  <c r="R47" i="1"/>
  <c r="AP47" i="1" s="1"/>
  <c r="S47" i="1"/>
  <c r="T47" i="1"/>
  <c r="AR47" i="1" s="1"/>
  <c r="U47" i="1"/>
  <c r="V47" i="1"/>
  <c r="AT47" i="1" s="1"/>
  <c r="W47" i="1"/>
  <c r="AU47" i="1" s="1"/>
  <c r="R48" i="1"/>
  <c r="R46" i="1" s="1"/>
  <c r="S48" i="1"/>
  <c r="S46" i="1" s="1"/>
  <c r="T48" i="1"/>
  <c r="AR48" i="1" s="1"/>
  <c r="U48" i="1"/>
  <c r="V48" i="1"/>
  <c r="AT48" i="1" s="1"/>
  <c r="W48" i="1"/>
  <c r="AU48" i="1" s="1"/>
  <c r="R49" i="1"/>
  <c r="AP49" i="1" s="1"/>
  <c r="S49" i="1"/>
  <c r="T49" i="1"/>
  <c r="AR49" i="1" s="1"/>
  <c r="U49" i="1"/>
  <c r="AS49" i="1" s="1"/>
  <c r="V49" i="1"/>
  <c r="AT49" i="1" s="1"/>
  <c r="W49" i="1"/>
  <c r="R50" i="1"/>
  <c r="AP50" i="1" s="1"/>
  <c r="S50" i="1"/>
  <c r="AQ50" i="1" s="1"/>
  <c r="T50" i="1"/>
  <c r="AR50" i="1" s="1"/>
  <c r="U50" i="1"/>
  <c r="AS50" i="1" s="1"/>
  <c r="V50" i="1"/>
  <c r="AT50" i="1" s="1"/>
  <c r="W50" i="1"/>
  <c r="R51" i="1"/>
  <c r="AP51" i="1" s="1"/>
  <c r="S51" i="1"/>
  <c r="T51" i="1"/>
  <c r="AR51" i="1" s="1"/>
  <c r="U51" i="1"/>
  <c r="AS51" i="1" s="1"/>
  <c r="V51" i="1"/>
  <c r="AT51" i="1" s="1"/>
  <c r="W51" i="1"/>
  <c r="R52" i="1"/>
  <c r="AP52" i="1" s="1"/>
  <c r="S52" i="1"/>
  <c r="AQ52" i="1" s="1"/>
  <c r="T52" i="1"/>
  <c r="AR52" i="1" s="1"/>
  <c r="U52" i="1"/>
  <c r="V52" i="1"/>
  <c r="AT52" i="1" s="1"/>
  <c r="W52" i="1"/>
  <c r="AU52" i="1" s="1"/>
  <c r="S53" i="1"/>
  <c r="T53" i="1"/>
  <c r="U53" i="1"/>
  <c r="AS53" i="1" s="1"/>
  <c r="V53" i="1"/>
  <c r="AT53" i="1" s="1"/>
  <c r="W53" i="1"/>
  <c r="R53" i="1"/>
  <c r="AU53" i="1"/>
  <c r="AR53" i="1"/>
  <c r="AQ53" i="1"/>
  <c r="AP53" i="1"/>
  <c r="AS52" i="1"/>
  <c r="AU51" i="1"/>
  <c r="AQ51" i="1"/>
  <c r="AU50" i="1"/>
  <c r="AU49" i="1"/>
  <c r="AQ49" i="1"/>
  <c r="AS48" i="1"/>
  <c r="AP48" i="1"/>
  <c r="AQ47" i="1"/>
  <c r="AS29" i="1"/>
  <c r="AT29" i="1"/>
  <c r="AR30" i="1"/>
  <c r="AP31" i="1"/>
  <c r="AR31" i="1"/>
  <c r="AR32" i="1"/>
  <c r="AP33" i="1"/>
  <c r="AT33" i="1"/>
  <c r="AQ34" i="1"/>
  <c r="AP35" i="1"/>
  <c r="AT35" i="1"/>
  <c r="AP36" i="1"/>
  <c r="AR36" i="1"/>
  <c r="AU36" i="1"/>
  <c r="AS37" i="1"/>
  <c r="AT37" i="1"/>
  <c r="AR38" i="1"/>
  <c r="AP39" i="1"/>
  <c r="AQ40" i="1"/>
  <c r="AR40" i="1"/>
  <c r="AP41" i="1"/>
  <c r="AT41" i="1"/>
  <c r="AP42" i="1"/>
  <c r="AP43" i="1"/>
  <c r="AT43" i="1"/>
  <c r="AR44" i="1"/>
  <c r="AU44" i="1"/>
  <c r="AT45" i="1"/>
  <c r="AR7" i="1"/>
  <c r="AS7" i="1"/>
  <c r="AQ8" i="1"/>
  <c r="AT8" i="1"/>
  <c r="AU8" i="1"/>
  <c r="AR9" i="1"/>
  <c r="AS9" i="1"/>
  <c r="AT9" i="1"/>
  <c r="AQ10" i="1"/>
  <c r="AT10" i="1"/>
  <c r="AU10" i="1"/>
  <c r="AR11" i="1"/>
  <c r="AS11" i="1"/>
  <c r="AQ12" i="1"/>
  <c r="AR12" i="1"/>
  <c r="AT12" i="1"/>
  <c r="AU12" i="1"/>
  <c r="AR13" i="1"/>
  <c r="AS13" i="1"/>
  <c r="AQ14" i="1"/>
  <c r="AT14" i="1"/>
  <c r="AU14" i="1"/>
  <c r="AR15" i="1"/>
  <c r="AS15" i="1"/>
  <c r="AQ16" i="1"/>
  <c r="AT16" i="1"/>
  <c r="AU16" i="1"/>
  <c r="AR17" i="1"/>
  <c r="AS17" i="1"/>
  <c r="AQ18" i="1"/>
  <c r="AT18" i="1"/>
  <c r="AU18" i="1"/>
  <c r="AR19" i="1"/>
  <c r="AS19" i="1"/>
  <c r="AT19" i="1"/>
  <c r="AQ20" i="1"/>
  <c r="AT20" i="1"/>
  <c r="AU20" i="1"/>
  <c r="AR21" i="1"/>
  <c r="AS21" i="1"/>
  <c r="AQ22" i="1"/>
  <c r="AT22" i="1"/>
  <c r="AU22" i="1"/>
  <c r="AR23" i="1"/>
  <c r="AS23" i="1"/>
  <c r="AQ24" i="1"/>
  <c r="AT24" i="1"/>
  <c r="AU24" i="1"/>
  <c r="AR25" i="1"/>
  <c r="AS25" i="1"/>
  <c r="AT25" i="1"/>
  <c r="AQ26" i="1"/>
  <c r="AT26" i="1"/>
  <c r="AU26" i="1"/>
  <c r="AR27" i="1"/>
  <c r="AS27" i="1"/>
  <c r="AP8" i="1"/>
  <c r="AP10" i="1"/>
  <c r="AP12" i="1"/>
  <c r="AP14" i="1"/>
  <c r="AP16" i="1"/>
  <c r="AP18" i="1"/>
  <c r="AP19" i="1"/>
  <c r="AP20" i="1"/>
  <c r="AP22" i="1"/>
  <c r="AP24" i="1"/>
  <c r="AP26" i="1"/>
  <c r="AM6" i="1"/>
  <c r="AK6" i="1"/>
  <c r="AL6" i="1"/>
  <c r="AL5" i="1" s="1"/>
  <c r="AH6" i="1"/>
  <c r="Z6" i="1"/>
  <c r="K6" i="1"/>
  <c r="L6" i="1"/>
  <c r="L5" i="1" s="1"/>
  <c r="O6" i="1"/>
  <c r="J6" i="1"/>
  <c r="D6" i="1"/>
  <c r="U28" i="1"/>
  <c r="C6" i="1"/>
  <c r="AM46" i="1"/>
  <c r="AL46" i="1"/>
  <c r="AK46" i="1"/>
  <c r="AJ46" i="1"/>
  <c r="AI46" i="1"/>
  <c r="AH46" i="1"/>
  <c r="AE46" i="1"/>
  <c r="AD46" i="1"/>
  <c r="AC46" i="1"/>
  <c r="AC5" i="1" s="1"/>
  <c r="AB46" i="1"/>
  <c r="AA46" i="1"/>
  <c r="Z46" i="1"/>
  <c r="T46" i="1"/>
  <c r="O46" i="1"/>
  <c r="N46" i="1"/>
  <c r="M46" i="1"/>
  <c r="L46" i="1"/>
  <c r="K46" i="1"/>
  <c r="J46" i="1"/>
  <c r="G46" i="1"/>
  <c r="G5" i="1" s="1"/>
  <c r="F46" i="1"/>
  <c r="E46" i="1"/>
  <c r="D46" i="1"/>
  <c r="C46" i="1"/>
  <c r="B46" i="1"/>
  <c r="G6" i="1"/>
  <c r="F6" i="1"/>
  <c r="B6" i="1"/>
  <c r="B5" i="1" s="1"/>
  <c r="M6" i="1"/>
  <c r="M5" i="1" s="1"/>
  <c r="AE6" i="1"/>
  <c r="AE5" i="1" s="1"/>
  <c r="AD6" i="1"/>
  <c r="AC6" i="1"/>
  <c r="AB6" i="1"/>
  <c r="AB5" i="1" s="1"/>
  <c r="AA6" i="1"/>
  <c r="AA5" i="1" s="1"/>
  <c r="AJ6" i="1"/>
  <c r="AI6" i="1"/>
  <c r="AD5" i="1"/>
  <c r="U46" i="1" l="1"/>
  <c r="AS47" i="1"/>
  <c r="W46" i="1"/>
  <c r="AX42" i="1"/>
  <c r="J5" i="1"/>
  <c r="AM5" i="1"/>
  <c r="AQ48" i="1"/>
  <c r="AX48" i="1" s="1"/>
  <c r="AX12" i="1"/>
  <c r="AX17" i="1"/>
  <c r="AX22" i="1"/>
  <c r="AX24" i="1"/>
  <c r="V28" i="1"/>
  <c r="V6" i="1" s="1"/>
  <c r="N6" i="1"/>
  <c r="N5" i="1" s="1"/>
  <c r="Z5" i="1"/>
  <c r="AI5" i="1"/>
  <c r="D5" i="1"/>
  <c r="T5" i="1" s="1"/>
  <c r="AH5" i="1"/>
  <c r="AX29" i="1"/>
  <c r="AX30" i="1"/>
  <c r="AX31" i="1"/>
  <c r="AX32" i="1"/>
  <c r="AX33" i="1"/>
  <c r="AX34" i="1"/>
  <c r="AX35" i="1"/>
  <c r="AX37" i="1"/>
  <c r="AX39" i="1"/>
  <c r="AX40" i="1"/>
  <c r="AX41" i="1"/>
  <c r="AX43" i="1"/>
  <c r="AX44" i="1"/>
  <c r="AX45" i="1"/>
  <c r="AS28" i="1"/>
  <c r="AS6" i="1" s="1"/>
  <c r="S28" i="1"/>
  <c r="S6" i="1" s="1"/>
  <c r="W28" i="1"/>
  <c r="AU28" i="1" s="1"/>
  <c r="AU6" i="1" s="1"/>
  <c r="T28" i="1"/>
  <c r="R28" i="1"/>
  <c r="R6" i="1" s="1"/>
  <c r="E6" i="1"/>
  <c r="E5" i="1" s="1"/>
  <c r="U5" i="1" s="1"/>
  <c r="AK5" i="1"/>
  <c r="AX10" i="1"/>
  <c r="AX13" i="1"/>
  <c r="AX9" i="1"/>
  <c r="AX38" i="1"/>
  <c r="AX36" i="1"/>
  <c r="AX8" i="1"/>
  <c r="U6" i="1"/>
  <c r="AX26" i="1"/>
  <c r="AX18" i="1"/>
  <c r="AX14" i="1"/>
  <c r="AX25" i="1"/>
  <c r="AZ25" i="1" s="1"/>
  <c r="AX21" i="1"/>
  <c r="AX20" i="1"/>
  <c r="AX16" i="1"/>
  <c r="AR46" i="1"/>
  <c r="AX47" i="1"/>
  <c r="AX49" i="1"/>
  <c r="AX50" i="1"/>
  <c r="AX51" i="1"/>
  <c r="AX52" i="1"/>
  <c r="AS46" i="1"/>
  <c r="V46" i="1"/>
  <c r="AT46" i="1"/>
  <c r="AU46" i="1"/>
  <c r="AX53" i="1"/>
  <c r="AP46" i="1"/>
  <c r="AX27" i="1"/>
  <c r="AX23" i="1"/>
  <c r="AX19" i="1"/>
  <c r="AX15" i="1"/>
  <c r="AX7" i="1"/>
  <c r="C5" i="1"/>
  <c r="AJ5" i="1"/>
  <c r="K5" i="1"/>
  <c r="O5" i="1"/>
  <c r="W5" i="1" s="1"/>
  <c r="AU5" i="1" s="1"/>
  <c r="F5" i="1"/>
  <c r="V5" i="1" s="1"/>
  <c r="AT5" i="1" s="1"/>
  <c r="R5" i="1"/>
  <c r="AP5" i="1" s="1"/>
  <c r="AS5" i="1" l="1"/>
  <c r="S5" i="1"/>
  <c r="AQ5" i="1" s="1"/>
  <c r="AQ46" i="1"/>
  <c r="AX46" i="1" s="1"/>
  <c r="AT28" i="1"/>
  <c r="AT6" i="1" s="1"/>
  <c r="AQ28" i="1"/>
  <c r="AQ6" i="1" s="1"/>
  <c r="AP28" i="1"/>
  <c r="AP6" i="1" s="1"/>
  <c r="W6" i="1"/>
  <c r="T6" i="1"/>
  <c r="AR28" i="1"/>
  <c r="AR5" i="1"/>
  <c r="AX5" i="1" s="1"/>
  <c r="AX28" i="1" l="1"/>
  <c r="AR6" i="1"/>
  <c r="AX6" i="1" s="1"/>
  <c r="A4" i="4"/>
  <c r="AM45" i="3"/>
  <c r="AK45" i="3"/>
  <c r="AJ45" i="3"/>
  <c r="AI45" i="3"/>
  <c r="AH45" i="3"/>
  <c r="AE45" i="3"/>
  <c r="AC45" i="3"/>
  <c r="AB45" i="3"/>
  <c r="AA45" i="3"/>
  <c r="Z45" i="3"/>
  <c r="AL45" i="3" l="1"/>
  <c r="AN45" i="3" s="1"/>
  <c r="AD45" i="3"/>
  <c r="AF45" i="3" s="1"/>
  <c r="J45" i="3"/>
  <c r="K45" i="3"/>
  <c r="L45" i="3"/>
  <c r="M45" i="3"/>
  <c r="N45" i="3"/>
  <c r="O45" i="3"/>
  <c r="AE45" i="4"/>
  <c r="AM45" i="4"/>
  <c r="AJ45" i="4"/>
  <c r="AI45" i="4"/>
  <c r="AM45" i="5" l="1"/>
  <c r="AI45" i="5"/>
  <c r="AJ45" i="5"/>
  <c r="AE45" i="5"/>
  <c r="P45" i="3"/>
  <c r="B45" i="3"/>
  <c r="C45" i="3"/>
  <c r="D45" i="3"/>
  <c r="T45" i="3" s="1"/>
  <c r="E45" i="3"/>
  <c r="F45" i="3"/>
  <c r="G45" i="3"/>
  <c r="AM56" i="3"/>
  <c r="AM55" i="3"/>
  <c r="AM54" i="3"/>
  <c r="AM53" i="3"/>
  <c r="AM52" i="3"/>
  <c r="AM51" i="3"/>
  <c r="AM50" i="3"/>
  <c r="AM48" i="3"/>
  <c r="AM47" i="3"/>
  <c r="AM46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L54" i="3"/>
  <c r="AL50" i="3"/>
  <c r="AL44" i="3"/>
  <c r="AL43" i="3"/>
  <c r="AL40" i="3"/>
  <c r="AL39" i="3"/>
  <c r="AL36" i="3"/>
  <c r="AL35" i="3"/>
  <c r="AL34" i="3"/>
  <c r="AL32" i="3"/>
  <c r="AL30" i="3"/>
  <c r="AL28" i="3"/>
  <c r="AL27" i="3"/>
  <c r="AL26" i="3"/>
  <c r="AL24" i="3"/>
  <c r="AL23" i="3"/>
  <c r="AL22" i="3"/>
  <c r="AL20" i="3"/>
  <c r="AL19" i="3"/>
  <c r="AL18" i="3"/>
  <c r="AL16" i="3"/>
  <c r="AL15" i="3"/>
  <c r="AL14" i="3"/>
  <c r="AL12" i="3"/>
  <c r="AL11" i="3"/>
  <c r="AL10" i="3"/>
  <c r="AK56" i="3"/>
  <c r="AK55" i="3"/>
  <c r="AK54" i="3"/>
  <c r="AK53" i="3"/>
  <c r="AK52" i="3"/>
  <c r="AK51" i="3"/>
  <c r="AK50" i="3"/>
  <c r="AK48" i="3"/>
  <c r="AK47" i="3"/>
  <c r="AK46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J56" i="3"/>
  <c r="AJ55" i="3"/>
  <c r="AJ54" i="3"/>
  <c r="AJ53" i="3"/>
  <c r="AJ52" i="3"/>
  <c r="AJ51" i="3"/>
  <c r="AJ50" i="3"/>
  <c r="AJ48" i="3"/>
  <c r="AJ47" i="3"/>
  <c r="AJ46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I56" i="3"/>
  <c r="AI55" i="3"/>
  <c r="AI54" i="3"/>
  <c r="AI53" i="3"/>
  <c r="AI51" i="3"/>
  <c r="AI50" i="3"/>
  <c r="AI48" i="3"/>
  <c r="AI47" i="3"/>
  <c r="AI46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0" i="3"/>
  <c r="AH56" i="3"/>
  <c r="AH55" i="3"/>
  <c r="AH54" i="3"/>
  <c r="AH53" i="3"/>
  <c r="AH52" i="3"/>
  <c r="AH51" i="3"/>
  <c r="AH50" i="3"/>
  <c r="AH48" i="3"/>
  <c r="AH47" i="3"/>
  <c r="AH46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N14" i="3" s="1"/>
  <c r="AH13" i="3"/>
  <c r="AH12" i="3"/>
  <c r="AH11" i="3"/>
  <c r="AH10" i="3"/>
  <c r="AN10" i="3" s="1"/>
  <c r="AE56" i="3"/>
  <c r="AE55" i="3"/>
  <c r="AE54" i="3"/>
  <c r="AE53" i="3"/>
  <c r="AE52" i="3"/>
  <c r="AE51" i="3"/>
  <c r="AE50" i="3"/>
  <c r="AE48" i="3"/>
  <c r="AE47" i="3"/>
  <c r="AE46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D53" i="3"/>
  <c r="AD48" i="3"/>
  <c r="AD43" i="3"/>
  <c r="AD39" i="3"/>
  <c r="AD35" i="3"/>
  <c r="AD31" i="3"/>
  <c r="AD27" i="3"/>
  <c r="AD23" i="3"/>
  <c r="AD19" i="3"/>
  <c r="AD15" i="3"/>
  <c r="AD11" i="3"/>
  <c r="AC56" i="3"/>
  <c r="AC55" i="3"/>
  <c r="AC54" i="3"/>
  <c r="AC53" i="3"/>
  <c r="AC52" i="3"/>
  <c r="AC51" i="3"/>
  <c r="AC50" i="3"/>
  <c r="AC48" i="3"/>
  <c r="AC47" i="3"/>
  <c r="AC46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B56" i="3"/>
  <c r="AB55" i="3"/>
  <c r="AB54" i="3"/>
  <c r="AB53" i="3"/>
  <c r="AB52" i="3"/>
  <c r="AB51" i="3"/>
  <c r="AB50" i="3"/>
  <c r="AB48" i="3"/>
  <c r="AB47" i="3"/>
  <c r="AB46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A56" i="3"/>
  <c r="AA55" i="3"/>
  <c r="AA54" i="3"/>
  <c r="AA53" i="3"/>
  <c r="AA52" i="3"/>
  <c r="AA51" i="3"/>
  <c r="AA50" i="3"/>
  <c r="AA48" i="3"/>
  <c r="AA47" i="3"/>
  <c r="AA46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2" i="3"/>
  <c r="AA11" i="3"/>
  <c r="AA10" i="3"/>
  <c r="Z56" i="3"/>
  <c r="Z55" i="3"/>
  <c r="Z54" i="3"/>
  <c r="Z53" i="3"/>
  <c r="Z52" i="3"/>
  <c r="Z51" i="3"/>
  <c r="Z50" i="3"/>
  <c r="Z48" i="3"/>
  <c r="Z47" i="3"/>
  <c r="Z46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O56" i="3"/>
  <c r="O55" i="3"/>
  <c r="O54" i="3"/>
  <c r="O53" i="3"/>
  <c r="O52" i="3"/>
  <c r="O51" i="3"/>
  <c r="O50" i="3"/>
  <c r="O48" i="3"/>
  <c r="O47" i="3"/>
  <c r="O46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M56" i="3"/>
  <c r="M55" i="3"/>
  <c r="M54" i="3"/>
  <c r="M53" i="3"/>
  <c r="M52" i="3"/>
  <c r="M51" i="3"/>
  <c r="M50" i="3"/>
  <c r="M48" i="3"/>
  <c r="M47" i="3"/>
  <c r="M46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L56" i="3"/>
  <c r="L55" i="3"/>
  <c r="L54" i="3"/>
  <c r="L53" i="3"/>
  <c r="L52" i="3"/>
  <c r="L51" i="3"/>
  <c r="L50" i="3"/>
  <c r="L48" i="3"/>
  <c r="L47" i="3"/>
  <c r="L46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0" i="3"/>
  <c r="K56" i="3"/>
  <c r="K55" i="3"/>
  <c r="K54" i="3"/>
  <c r="K53" i="3"/>
  <c r="K52" i="3"/>
  <c r="K51" i="3"/>
  <c r="K48" i="3"/>
  <c r="K47" i="3"/>
  <c r="K46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56" i="3"/>
  <c r="J55" i="3"/>
  <c r="J54" i="3"/>
  <c r="J53" i="3"/>
  <c r="J52" i="3"/>
  <c r="J51" i="3"/>
  <c r="J50" i="3"/>
  <c r="J48" i="3"/>
  <c r="J47" i="3"/>
  <c r="J46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G56" i="3"/>
  <c r="G55" i="3"/>
  <c r="G54" i="3"/>
  <c r="G53" i="3"/>
  <c r="G52" i="3"/>
  <c r="G51" i="3"/>
  <c r="G50" i="3"/>
  <c r="G48" i="3"/>
  <c r="G47" i="3"/>
  <c r="G46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W23" i="3" s="1"/>
  <c r="G22" i="3"/>
  <c r="G21" i="3"/>
  <c r="G20" i="3"/>
  <c r="W20" i="3" s="1"/>
  <c r="G19" i="3"/>
  <c r="G18" i="3"/>
  <c r="G17" i="3"/>
  <c r="G16" i="3"/>
  <c r="W16" i="3" s="1"/>
  <c r="G15" i="3"/>
  <c r="W15" i="3" s="1"/>
  <c r="G14" i="3"/>
  <c r="G13" i="3"/>
  <c r="G12" i="3"/>
  <c r="W12" i="3" s="1"/>
  <c r="G11" i="3"/>
  <c r="G10" i="3"/>
  <c r="E56" i="3"/>
  <c r="E55" i="3"/>
  <c r="E54" i="3"/>
  <c r="E53" i="3"/>
  <c r="E52" i="3"/>
  <c r="E51" i="3"/>
  <c r="E50" i="3"/>
  <c r="E48" i="3"/>
  <c r="E47" i="3"/>
  <c r="U47" i="3" s="1"/>
  <c r="E4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U15" i="3" s="1"/>
  <c r="E14" i="3"/>
  <c r="E13" i="3"/>
  <c r="E12" i="3"/>
  <c r="E11" i="3"/>
  <c r="U11" i="3" s="1"/>
  <c r="E10" i="3"/>
  <c r="D56" i="3"/>
  <c r="D55" i="3"/>
  <c r="D54" i="3"/>
  <c r="D53" i="3"/>
  <c r="T53" i="3" s="1"/>
  <c r="D52" i="3"/>
  <c r="D51" i="3"/>
  <c r="D50" i="3"/>
  <c r="D48" i="3"/>
  <c r="D47" i="3"/>
  <c r="D46" i="3"/>
  <c r="D44" i="3"/>
  <c r="D43" i="3"/>
  <c r="T43" i="3" s="1"/>
  <c r="D42" i="3"/>
  <c r="D41" i="3"/>
  <c r="D40" i="3"/>
  <c r="T40" i="3" s="1"/>
  <c r="D39" i="3"/>
  <c r="T39" i="3" s="1"/>
  <c r="D38" i="3"/>
  <c r="D37" i="3"/>
  <c r="D36" i="3"/>
  <c r="D35" i="3"/>
  <c r="D34" i="3"/>
  <c r="D33" i="3"/>
  <c r="D32" i="3"/>
  <c r="D31" i="3"/>
  <c r="D30" i="3"/>
  <c r="D29" i="3"/>
  <c r="D28" i="3"/>
  <c r="T28" i="3" s="1"/>
  <c r="D27" i="3"/>
  <c r="D26" i="3"/>
  <c r="D25" i="3"/>
  <c r="D24" i="3"/>
  <c r="D23" i="3"/>
  <c r="T23" i="3" s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C56" i="3"/>
  <c r="C55" i="3"/>
  <c r="C54" i="3"/>
  <c r="C53" i="3"/>
  <c r="C52" i="3"/>
  <c r="C51" i="3"/>
  <c r="C50" i="3"/>
  <c r="C48" i="3"/>
  <c r="C47" i="3"/>
  <c r="C46" i="3"/>
  <c r="C44" i="3"/>
  <c r="S44" i="3" s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S20" i="3" s="1"/>
  <c r="C19" i="3"/>
  <c r="C18" i="3"/>
  <c r="C17" i="3"/>
  <c r="C16" i="3"/>
  <c r="S16" i="3" s="1"/>
  <c r="C15" i="3"/>
  <c r="C14" i="3"/>
  <c r="C13" i="3"/>
  <c r="C11" i="3"/>
  <c r="C10" i="3"/>
  <c r="B56" i="3"/>
  <c r="B55" i="3"/>
  <c r="B54" i="3"/>
  <c r="B53" i="3"/>
  <c r="B52" i="3"/>
  <c r="B51" i="3"/>
  <c r="B50" i="3"/>
  <c r="B48" i="3"/>
  <c r="B47" i="3"/>
  <c r="B46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R26" i="3" s="1"/>
  <c r="B25" i="3"/>
  <c r="B24" i="3"/>
  <c r="B23" i="3"/>
  <c r="B22" i="3"/>
  <c r="R22" i="3" s="1"/>
  <c r="B21" i="3"/>
  <c r="B20" i="3"/>
  <c r="B19" i="3"/>
  <c r="B18" i="3"/>
  <c r="R18" i="3" s="1"/>
  <c r="B17" i="3"/>
  <c r="B16" i="3"/>
  <c r="B15" i="3"/>
  <c r="B14" i="3"/>
  <c r="R14" i="3" s="1"/>
  <c r="B13" i="3"/>
  <c r="R13" i="3" s="1"/>
  <c r="B12" i="3"/>
  <c r="B11" i="3"/>
  <c r="B10" i="3"/>
  <c r="AN15" i="3" l="1"/>
  <c r="AN19" i="3"/>
  <c r="AN23" i="3"/>
  <c r="AN27" i="3"/>
  <c r="AN35" i="3"/>
  <c r="AB9" i="2"/>
  <c r="AF11" i="3"/>
  <c r="AF15" i="3"/>
  <c r="AF19" i="3"/>
  <c r="AF23" i="3"/>
  <c r="AF27" i="3"/>
  <c r="AF31" i="3"/>
  <c r="AF35" i="3"/>
  <c r="AF39" i="3"/>
  <c r="AF43" i="3"/>
  <c r="AF48" i="3"/>
  <c r="AF53" i="3"/>
  <c r="AN12" i="3"/>
  <c r="AN16" i="3"/>
  <c r="AN20" i="3"/>
  <c r="AN24" i="3"/>
  <c r="AN28" i="3"/>
  <c r="AN32" i="3"/>
  <c r="AN36" i="3"/>
  <c r="AN40" i="3"/>
  <c r="AN44" i="3"/>
  <c r="AN50" i="3"/>
  <c r="AN54" i="3"/>
  <c r="AF20" i="3"/>
  <c r="AF24" i="3"/>
  <c r="AF36" i="3"/>
  <c r="AF40" i="3"/>
  <c r="AF54" i="3"/>
  <c r="AD12" i="3"/>
  <c r="AD16" i="3"/>
  <c r="AF16" i="3" s="1"/>
  <c r="AD20" i="3"/>
  <c r="AD24" i="3"/>
  <c r="AD28" i="3"/>
  <c r="AD32" i="3"/>
  <c r="AF32" i="3" s="1"/>
  <c r="AD36" i="3"/>
  <c r="AD40" i="3"/>
  <c r="AD44" i="3"/>
  <c r="AD50" i="3"/>
  <c r="AF50" i="3" s="1"/>
  <c r="AD54" i="3"/>
  <c r="AN13" i="3"/>
  <c r="AN17" i="3"/>
  <c r="AN29" i="3"/>
  <c r="AN33" i="3"/>
  <c r="AN46" i="3"/>
  <c r="AN51" i="3"/>
  <c r="AL13" i="3"/>
  <c r="AL17" i="3"/>
  <c r="AL21" i="3"/>
  <c r="AL25" i="3"/>
  <c r="AN25" i="3" s="1"/>
  <c r="AL29" i="3"/>
  <c r="AL33" i="3"/>
  <c r="AL37" i="3"/>
  <c r="AL41" i="3"/>
  <c r="AN41" i="3" s="1"/>
  <c r="AL46" i="3"/>
  <c r="AL51" i="3"/>
  <c r="AL55" i="3"/>
  <c r="R15" i="3"/>
  <c r="R19" i="3"/>
  <c r="R39" i="3"/>
  <c r="S10" i="3"/>
  <c r="AQ10" i="3" s="1"/>
  <c r="S14" i="3"/>
  <c r="S18" i="3"/>
  <c r="S26" i="3"/>
  <c r="T46" i="3"/>
  <c r="T51" i="3"/>
  <c r="T55" i="3"/>
  <c r="U50" i="3"/>
  <c r="U54" i="3"/>
  <c r="W46" i="3"/>
  <c r="F10" i="3"/>
  <c r="F14" i="3"/>
  <c r="F18" i="3"/>
  <c r="F22" i="3"/>
  <c r="F26" i="3"/>
  <c r="F30" i="3"/>
  <c r="F34" i="3"/>
  <c r="F38" i="3"/>
  <c r="F42" i="3"/>
  <c r="F47" i="3"/>
  <c r="F52" i="3"/>
  <c r="F56" i="3"/>
  <c r="N48" i="3"/>
  <c r="N53" i="3"/>
  <c r="AL38" i="3"/>
  <c r="AL42" i="3"/>
  <c r="AL47" i="3"/>
  <c r="R12" i="3"/>
  <c r="R16" i="3"/>
  <c r="R20" i="3"/>
  <c r="R24" i="3"/>
  <c r="R40" i="3"/>
  <c r="T30" i="3"/>
  <c r="T38" i="3"/>
  <c r="T47" i="3"/>
  <c r="U13" i="3"/>
  <c r="U21" i="3"/>
  <c r="U25" i="3"/>
  <c r="U51" i="3"/>
  <c r="U55" i="3"/>
  <c r="W10" i="3"/>
  <c r="AU10" i="3" s="1"/>
  <c r="W14" i="3"/>
  <c r="W18" i="3"/>
  <c r="W26" i="3"/>
  <c r="W42" i="3"/>
  <c r="AL31" i="3"/>
  <c r="AL52" i="3"/>
  <c r="AL56" i="3"/>
  <c r="C49" i="3"/>
  <c r="F46" i="3"/>
  <c r="F51" i="3"/>
  <c r="F11" i="3"/>
  <c r="F15" i="3"/>
  <c r="F19" i="3"/>
  <c r="F23" i="3"/>
  <c r="F27" i="3"/>
  <c r="H27" i="3" s="1"/>
  <c r="F31" i="3"/>
  <c r="F35" i="3"/>
  <c r="F39" i="3"/>
  <c r="F43" i="3"/>
  <c r="N12" i="3"/>
  <c r="N16" i="3"/>
  <c r="N20" i="3"/>
  <c r="N24" i="3"/>
  <c r="N28" i="3"/>
  <c r="N32" i="3"/>
  <c r="N36" i="3"/>
  <c r="N40" i="3"/>
  <c r="N44" i="3"/>
  <c r="N50" i="3"/>
  <c r="N54" i="3"/>
  <c r="O9" i="2"/>
  <c r="O8" i="2" s="1"/>
  <c r="AD13" i="3"/>
  <c r="AD17" i="3"/>
  <c r="AD21" i="3"/>
  <c r="AD25" i="3"/>
  <c r="AD29" i="3"/>
  <c r="AD33" i="3"/>
  <c r="AD37" i="3"/>
  <c r="AD41" i="3"/>
  <c r="AD46" i="3"/>
  <c r="AD51" i="3"/>
  <c r="AD55" i="3"/>
  <c r="AN18" i="3"/>
  <c r="AN22" i="3"/>
  <c r="AN26" i="3"/>
  <c r="AN30" i="3"/>
  <c r="AN34" i="3"/>
  <c r="AN42" i="3"/>
  <c r="AN47" i="3"/>
  <c r="N13" i="3"/>
  <c r="N17" i="3"/>
  <c r="N21" i="3"/>
  <c r="N25" i="3"/>
  <c r="N29" i="3"/>
  <c r="N33" i="3"/>
  <c r="N37" i="3"/>
  <c r="N41" i="3"/>
  <c r="S9" i="2"/>
  <c r="AA13" i="3"/>
  <c r="AD10" i="3"/>
  <c r="AD14" i="3"/>
  <c r="AD18" i="3"/>
  <c r="AD22" i="3"/>
  <c r="AD26" i="3"/>
  <c r="AD30" i="3"/>
  <c r="AD34" i="3"/>
  <c r="AD38" i="3"/>
  <c r="AD42" i="3"/>
  <c r="AD47" i="3"/>
  <c r="AD52" i="3"/>
  <c r="AD56" i="3"/>
  <c r="AN39" i="3"/>
  <c r="AN43" i="3"/>
  <c r="AA49" i="2"/>
  <c r="AI52" i="3"/>
  <c r="AL48" i="3"/>
  <c r="AL53" i="3"/>
  <c r="F55" i="3"/>
  <c r="AA9" i="2"/>
  <c r="AI11" i="3"/>
  <c r="O49" i="2"/>
  <c r="H52" i="3"/>
  <c r="R21" i="3"/>
  <c r="U31" i="3"/>
  <c r="R17" i="3"/>
  <c r="H15" i="3"/>
  <c r="H23" i="3"/>
  <c r="S23" i="3"/>
  <c r="S27" i="3"/>
  <c r="T25" i="3"/>
  <c r="T37" i="3"/>
  <c r="T41" i="3"/>
  <c r="U19" i="3"/>
  <c r="U23" i="3"/>
  <c r="U52" i="3"/>
  <c r="F13" i="3"/>
  <c r="F17" i="3"/>
  <c r="F21" i="3"/>
  <c r="F25" i="3"/>
  <c r="F29" i="3"/>
  <c r="F33" i="3"/>
  <c r="F37" i="3"/>
  <c r="F41" i="3"/>
  <c r="F50" i="3"/>
  <c r="F54" i="3"/>
  <c r="G49" i="3"/>
  <c r="K50" i="3"/>
  <c r="K49" i="2"/>
  <c r="L9" i="2"/>
  <c r="L11" i="3"/>
  <c r="N11" i="3"/>
  <c r="N15" i="3"/>
  <c r="N19" i="3"/>
  <c r="N23" i="3"/>
  <c r="N27" i="3"/>
  <c r="N31" i="3"/>
  <c r="N35" i="3"/>
  <c r="N39" i="3"/>
  <c r="N43" i="3"/>
  <c r="N47" i="3"/>
  <c r="N52" i="3"/>
  <c r="N56" i="3"/>
  <c r="B49" i="3"/>
  <c r="C9" i="2"/>
  <c r="C12" i="3"/>
  <c r="G9" i="2"/>
  <c r="U28" i="3"/>
  <c r="F9" i="2"/>
  <c r="F12" i="3"/>
  <c r="F16" i="3"/>
  <c r="F20" i="3"/>
  <c r="F24" i="3"/>
  <c r="F28" i="3"/>
  <c r="F32" i="3"/>
  <c r="F36" i="3"/>
  <c r="F40" i="3"/>
  <c r="F44" i="3"/>
  <c r="F48" i="3"/>
  <c r="F53" i="3"/>
  <c r="N10" i="3"/>
  <c r="N14" i="3"/>
  <c r="N18" i="3"/>
  <c r="N22" i="3"/>
  <c r="N26" i="3"/>
  <c r="N30" i="3"/>
  <c r="N34" i="3"/>
  <c r="N38" i="3"/>
  <c r="N42" i="3"/>
  <c r="N46" i="3"/>
  <c r="N51" i="3"/>
  <c r="N55" i="3"/>
  <c r="AE9" i="2"/>
  <c r="AE49" i="2"/>
  <c r="S49" i="2"/>
  <c r="W9" i="2"/>
  <c r="W49" i="2"/>
  <c r="S45" i="3"/>
  <c r="W43" i="3"/>
  <c r="S43" i="3"/>
  <c r="W41" i="3"/>
  <c r="U38" i="3"/>
  <c r="U30" i="3"/>
  <c r="W29" i="3"/>
  <c r="S29" i="3"/>
  <c r="W25" i="3"/>
  <c r="S25" i="3"/>
  <c r="U20" i="3"/>
  <c r="W17" i="3"/>
  <c r="S17" i="3"/>
  <c r="U16" i="3"/>
  <c r="W11" i="3"/>
  <c r="H56" i="3"/>
  <c r="T42" i="3"/>
  <c r="U56" i="3"/>
  <c r="U36" i="3"/>
  <c r="S11" i="3"/>
  <c r="S41" i="3"/>
  <c r="U32" i="3"/>
  <c r="T44" i="3"/>
  <c r="R47" i="3"/>
  <c r="L49" i="3"/>
  <c r="H51" i="3"/>
  <c r="U18" i="3"/>
  <c r="U34" i="3"/>
  <c r="D49" i="3"/>
  <c r="T10" i="3"/>
  <c r="AR10" i="3" s="1"/>
  <c r="S13" i="3"/>
  <c r="W13" i="3"/>
  <c r="U14" i="3"/>
  <c r="S15" i="3"/>
  <c r="S19" i="3"/>
  <c r="W19" i="3"/>
  <c r="U24" i="3"/>
  <c r="W27" i="3"/>
  <c r="T50" i="3"/>
  <c r="T52" i="3"/>
  <c r="T54" i="3"/>
  <c r="H16" i="3"/>
  <c r="H10" i="3"/>
  <c r="H47" i="3"/>
  <c r="H45" i="3"/>
  <c r="H43" i="3"/>
  <c r="H42" i="3"/>
  <c r="H30" i="3"/>
  <c r="H26" i="3"/>
  <c r="H21" i="3"/>
  <c r="U12" i="3"/>
  <c r="U22" i="3"/>
  <c r="W45" i="3"/>
  <c r="T56" i="3"/>
  <c r="O49" i="3"/>
  <c r="H14" i="3"/>
  <c r="M49" i="3"/>
  <c r="U53" i="3"/>
  <c r="W44" i="3"/>
  <c r="W40" i="3"/>
  <c r="S40" i="3"/>
  <c r="U39" i="3"/>
  <c r="U35" i="3"/>
  <c r="H39" i="3"/>
  <c r="B9" i="2"/>
  <c r="B9" i="3"/>
  <c r="G9" i="3"/>
  <c r="K9" i="2"/>
  <c r="K8" i="2" s="1"/>
  <c r="T9" i="2"/>
  <c r="E9" i="3"/>
  <c r="U33" i="3"/>
  <c r="S42" i="3"/>
  <c r="S46" i="3"/>
  <c r="U37" i="3"/>
  <c r="D9" i="3"/>
  <c r="S21" i="3"/>
  <c r="W21" i="3"/>
  <c r="S22" i="3"/>
  <c r="W22" i="3"/>
  <c r="S24" i="3"/>
  <c r="W24" i="3"/>
  <c r="T26" i="3"/>
  <c r="U10" i="3"/>
  <c r="AS10" i="3" s="1"/>
  <c r="T12" i="3"/>
  <c r="T13" i="3"/>
  <c r="T14" i="3"/>
  <c r="T15" i="3"/>
  <c r="T16" i="3"/>
  <c r="T17" i="3"/>
  <c r="T18" i="3"/>
  <c r="T19" i="3"/>
  <c r="T20" i="3"/>
  <c r="T21" i="3"/>
  <c r="T22" i="3"/>
  <c r="R23" i="3"/>
  <c r="T24" i="3"/>
  <c r="R25" i="3"/>
  <c r="U26" i="3"/>
  <c r="U17" i="3"/>
  <c r="U40" i="3"/>
  <c r="T27" i="3"/>
  <c r="T29" i="3"/>
  <c r="S30" i="3"/>
  <c r="W30" i="3"/>
  <c r="S31" i="3"/>
  <c r="W31" i="3"/>
  <c r="S32" i="3"/>
  <c r="W32" i="3"/>
  <c r="S33" i="3"/>
  <c r="W33" i="3"/>
  <c r="S34" i="3"/>
  <c r="W34" i="3"/>
  <c r="S35" i="3"/>
  <c r="W35" i="3"/>
  <c r="S36" i="3"/>
  <c r="W36" i="3"/>
  <c r="S37" i="3"/>
  <c r="W37" i="3"/>
  <c r="S38" i="3"/>
  <c r="W38" i="3"/>
  <c r="S39" i="3"/>
  <c r="W39" i="3"/>
  <c r="U41" i="3"/>
  <c r="U42" i="3"/>
  <c r="U43" i="3"/>
  <c r="U44" i="3"/>
  <c r="U45" i="3"/>
  <c r="S47" i="3"/>
  <c r="W47" i="3"/>
  <c r="E49" i="3"/>
  <c r="S50" i="3"/>
  <c r="W50" i="3"/>
  <c r="S51" i="3"/>
  <c r="W51" i="3"/>
  <c r="S52" i="3"/>
  <c r="W52" i="3"/>
  <c r="S53" i="3"/>
  <c r="W53" i="3"/>
  <c r="S54" i="3"/>
  <c r="W54" i="3"/>
  <c r="S55" i="3"/>
  <c r="W55" i="3"/>
  <c r="S56" i="3"/>
  <c r="W56" i="3"/>
  <c r="U27" i="3"/>
  <c r="S28" i="3"/>
  <c r="W28" i="3"/>
  <c r="U29" i="3"/>
  <c r="T31" i="3"/>
  <c r="T32" i="3"/>
  <c r="T33" i="3"/>
  <c r="T34" i="3"/>
  <c r="T35" i="3"/>
  <c r="T36" i="3"/>
  <c r="R41" i="3"/>
  <c r="R42" i="3"/>
  <c r="R43" i="3"/>
  <c r="R44" i="3"/>
  <c r="V45" i="3"/>
  <c r="U46" i="3"/>
  <c r="R10" i="3"/>
  <c r="R11" i="3"/>
  <c r="R27" i="3"/>
  <c r="R28" i="3"/>
  <c r="R29" i="3"/>
  <c r="R30" i="3"/>
  <c r="R31" i="3"/>
  <c r="R32" i="3"/>
  <c r="R33" i="3"/>
  <c r="R34" i="3"/>
  <c r="R35" i="3"/>
  <c r="R36" i="3"/>
  <c r="R37" i="3"/>
  <c r="R38" i="3"/>
  <c r="R50" i="3"/>
  <c r="R51" i="3"/>
  <c r="R52" i="3"/>
  <c r="R53" i="3"/>
  <c r="R54" i="3"/>
  <c r="R55" i="3"/>
  <c r="R56" i="3"/>
  <c r="R45" i="3"/>
  <c r="R46" i="3"/>
  <c r="J49" i="3"/>
  <c r="B49" i="2"/>
  <c r="F49" i="2"/>
  <c r="X49" i="2"/>
  <c r="P49" i="2"/>
  <c r="C49" i="2"/>
  <c r="AC49" i="2"/>
  <c r="AF49" i="2"/>
  <c r="U49" i="2"/>
  <c r="D9" i="2"/>
  <c r="H9" i="2"/>
  <c r="M9" i="2"/>
  <c r="R49" i="2"/>
  <c r="V49" i="2"/>
  <c r="Z49" i="2"/>
  <c r="AD49" i="2"/>
  <c r="E49" i="2"/>
  <c r="J49" i="2"/>
  <c r="N49" i="2"/>
  <c r="R9" i="2"/>
  <c r="V9" i="2"/>
  <c r="Z9" i="2"/>
  <c r="AD9" i="2"/>
  <c r="T49" i="2"/>
  <c r="AB49" i="2"/>
  <c r="AB8" i="2" s="1"/>
  <c r="D49" i="2"/>
  <c r="H49" i="2"/>
  <c r="M49" i="2"/>
  <c r="P9" i="2"/>
  <c r="U9" i="2"/>
  <c r="X9" i="2"/>
  <c r="AC9" i="2"/>
  <c r="AF9" i="2"/>
  <c r="AF8" i="2" s="1"/>
  <c r="E9" i="2"/>
  <c r="J9" i="2"/>
  <c r="N9" i="2"/>
  <c r="G49" i="2"/>
  <c r="L49" i="2"/>
  <c r="P51" i="3" l="1"/>
  <c r="V16" i="3"/>
  <c r="AN38" i="3"/>
  <c r="H34" i="3"/>
  <c r="H18" i="3"/>
  <c r="P18" i="3"/>
  <c r="P23" i="3"/>
  <c r="AF56" i="3"/>
  <c r="AF38" i="3"/>
  <c r="AF22" i="3"/>
  <c r="P33" i="3"/>
  <c r="P17" i="3"/>
  <c r="AF41" i="3"/>
  <c r="P40" i="3"/>
  <c r="V11" i="3"/>
  <c r="P46" i="3"/>
  <c r="P30" i="3"/>
  <c r="P14" i="3"/>
  <c r="H44" i="3"/>
  <c r="P19" i="3"/>
  <c r="H55" i="3"/>
  <c r="AF52" i="3"/>
  <c r="AF34" i="3"/>
  <c r="AF18" i="3"/>
  <c r="P29" i="3"/>
  <c r="P13" i="3"/>
  <c r="AF55" i="3"/>
  <c r="AF37" i="3"/>
  <c r="AF21" i="3"/>
  <c r="P54" i="3"/>
  <c r="P36" i="3"/>
  <c r="P20" i="3"/>
  <c r="P53" i="3"/>
  <c r="H48" i="3"/>
  <c r="P39" i="3"/>
  <c r="AN52" i="3"/>
  <c r="AF25" i="3"/>
  <c r="P24" i="3"/>
  <c r="AN56" i="3"/>
  <c r="T11" i="3"/>
  <c r="AE8" i="2"/>
  <c r="P42" i="3"/>
  <c r="P26" i="3"/>
  <c r="V10" i="3"/>
  <c r="AT10" i="3" s="1"/>
  <c r="V40" i="3"/>
  <c r="V24" i="3"/>
  <c r="V47" i="3"/>
  <c r="P31" i="3"/>
  <c r="V15" i="3"/>
  <c r="V50" i="3"/>
  <c r="V29" i="3"/>
  <c r="V13" i="3"/>
  <c r="AN53" i="3"/>
  <c r="AF47" i="3"/>
  <c r="AF30" i="3"/>
  <c r="AF14" i="3"/>
  <c r="P41" i="3"/>
  <c r="P25" i="3"/>
  <c r="AF51" i="3"/>
  <c r="AF33" i="3"/>
  <c r="AF17" i="3"/>
  <c r="P32" i="3"/>
  <c r="P16" i="3"/>
  <c r="H35" i="3"/>
  <c r="H19" i="3"/>
  <c r="H46" i="3"/>
  <c r="P48" i="3"/>
  <c r="P34" i="3"/>
  <c r="V32" i="3"/>
  <c r="AF13" i="3"/>
  <c r="V43" i="3"/>
  <c r="V55" i="3"/>
  <c r="X55" i="3" s="1"/>
  <c r="V36" i="3"/>
  <c r="V20" i="3"/>
  <c r="P43" i="3"/>
  <c r="P27" i="3"/>
  <c r="P50" i="3"/>
  <c r="AN11" i="3"/>
  <c r="AN48" i="3"/>
  <c r="AF42" i="3"/>
  <c r="AF26" i="3"/>
  <c r="AF10" i="3"/>
  <c r="P37" i="3"/>
  <c r="P21" i="3"/>
  <c r="AF46" i="3"/>
  <c r="AF29" i="3"/>
  <c r="P44" i="3"/>
  <c r="P28" i="3"/>
  <c r="P12" i="3"/>
  <c r="H31" i="3"/>
  <c r="AN31" i="3"/>
  <c r="H38" i="3"/>
  <c r="H22" i="3"/>
  <c r="AN55" i="3"/>
  <c r="AN37" i="3"/>
  <c r="AN21" i="3"/>
  <c r="AF44" i="3"/>
  <c r="AF28" i="3"/>
  <c r="AF12" i="3"/>
  <c r="AD8" i="2"/>
  <c r="H11" i="3"/>
  <c r="S8" i="2"/>
  <c r="X11" i="3"/>
  <c r="U8" i="2"/>
  <c r="X16" i="3"/>
  <c r="B8" i="2"/>
  <c r="K49" i="3"/>
  <c r="S49" i="3" s="1"/>
  <c r="V52" i="3"/>
  <c r="AA8" i="2"/>
  <c r="H29" i="3"/>
  <c r="W8" i="2"/>
  <c r="V38" i="3"/>
  <c r="X38" i="3" s="1"/>
  <c r="V22" i="3"/>
  <c r="V53" i="3"/>
  <c r="H13" i="3"/>
  <c r="V56" i="3"/>
  <c r="X56" i="3" s="1"/>
  <c r="P11" i="3"/>
  <c r="V37" i="3"/>
  <c r="V21" i="3"/>
  <c r="X52" i="3"/>
  <c r="X37" i="3"/>
  <c r="X29" i="3"/>
  <c r="V42" i="3"/>
  <c r="B8" i="3"/>
  <c r="V35" i="3"/>
  <c r="X35" i="3" s="1"/>
  <c r="V54" i="3"/>
  <c r="V33" i="3"/>
  <c r="X33" i="3" s="1"/>
  <c r="V17" i="3"/>
  <c r="X24" i="3"/>
  <c r="AC8" i="2"/>
  <c r="X22" i="3"/>
  <c r="V39" i="3"/>
  <c r="X39" i="3" s="1"/>
  <c r="N8" i="2"/>
  <c r="V23" i="3"/>
  <c r="X23" i="3" s="1"/>
  <c r="X20" i="3"/>
  <c r="X40" i="3"/>
  <c r="X13" i="3"/>
  <c r="X47" i="3"/>
  <c r="V51" i="3"/>
  <c r="X51" i="3" s="1"/>
  <c r="V34" i="3"/>
  <c r="X34" i="3" s="1"/>
  <c r="V27" i="3"/>
  <c r="X27" i="3" s="1"/>
  <c r="X15" i="3"/>
  <c r="V26" i="3"/>
  <c r="X26" i="3" s="1"/>
  <c r="X36" i="3"/>
  <c r="H50" i="3"/>
  <c r="X50" i="3"/>
  <c r="H20" i="3"/>
  <c r="V46" i="3"/>
  <c r="X46" i="3" s="1"/>
  <c r="V18" i="3"/>
  <c r="X18" i="3" s="1"/>
  <c r="P56" i="3"/>
  <c r="P38" i="3"/>
  <c r="P22" i="3"/>
  <c r="P55" i="3"/>
  <c r="X32" i="3"/>
  <c r="X43" i="3"/>
  <c r="L8" i="2"/>
  <c r="X54" i="3"/>
  <c r="AP10" i="3"/>
  <c r="X10" i="3"/>
  <c r="G8" i="2"/>
  <c r="X45" i="3"/>
  <c r="X53" i="3"/>
  <c r="X42" i="3"/>
  <c r="H17" i="3"/>
  <c r="H32" i="3"/>
  <c r="X17" i="3"/>
  <c r="V31" i="3"/>
  <c r="X31" i="3" s="1"/>
  <c r="P52" i="3"/>
  <c r="P35" i="3"/>
  <c r="P47" i="3"/>
  <c r="H36" i="3"/>
  <c r="F49" i="3"/>
  <c r="X21" i="3"/>
  <c r="P15" i="3"/>
  <c r="P10" i="3"/>
  <c r="H28" i="3"/>
  <c r="V28" i="3"/>
  <c r="X28" i="3" s="1"/>
  <c r="V12" i="3"/>
  <c r="F9" i="3"/>
  <c r="F8" i="3" s="1"/>
  <c r="F8" i="2"/>
  <c r="V30" i="3"/>
  <c r="X30" i="3" s="1"/>
  <c r="V14" i="3"/>
  <c r="X14" i="3" s="1"/>
  <c r="V44" i="3"/>
  <c r="X44" i="3" s="1"/>
  <c r="S12" i="3"/>
  <c r="X12" i="3" s="1"/>
  <c r="H12" i="3"/>
  <c r="C9" i="3"/>
  <c r="C8" i="3" s="1"/>
  <c r="N49" i="3"/>
  <c r="V49" i="3" s="1"/>
  <c r="V19" i="3"/>
  <c r="X19" i="3" s="1"/>
  <c r="H41" i="3"/>
  <c r="V41" i="3"/>
  <c r="X41" i="3" s="1"/>
  <c r="H25" i="3"/>
  <c r="V25" i="3"/>
  <c r="X25" i="3" s="1"/>
  <c r="V8" i="2"/>
  <c r="H53" i="3"/>
  <c r="H24" i="3"/>
  <c r="X8" i="2"/>
  <c r="T8" i="2"/>
  <c r="C8" i="2"/>
  <c r="G8" i="3"/>
  <c r="W49" i="3"/>
  <c r="H33" i="3"/>
  <c r="H37" i="3"/>
  <c r="H40" i="3"/>
  <c r="H54" i="3"/>
  <c r="U49" i="3"/>
  <c r="T49" i="3"/>
  <c r="H49" i="3"/>
  <c r="E8" i="3"/>
  <c r="D8" i="3"/>
  <c r="R49" i="3"/>
  <c r="P8" i="2"/>
  <c r="Z8" i="2"/>
  <c r="R8" i="2"/>
  <c r="H8" i="2"/>
  <c r="M8" i="2"/>
  <c r="E8" i="2"/>
  <c r="D8" i="2"/>
  <c r="J8" i="2"/>
  <c r="AI27" i="4"/>
  <c r="J56" i="4"/>
  <c r="Z30" i="4"/>
  <c r="AJ15" i="4"/>
  <c r="AK32" i="4"/>
  <c r="AC52" i="4"/>
  <c r="AL23" i="4"/>
  <c r="AB54" i="4"/>
  <c r="Z37" i="4"/>
  <c r="AM47" i="4"/>
  <c r="AI33" i="4"/>
  <c r="AI47" i="4"/>
  <c r="K34" i="4"/>
  <c r="AK40" i="4"/>
  <c r="J28" i="4"/>
  <c r="AJ38" i="4"/>
  <c r="AD31" i="4"/>
  <c r="AK41" i="4"/>
  <c r="AH54" i="4"/>
  <c r="AJ43" i="4"/>
  <c r="AH21" i="4"/>
  <c r="AA11" i="4"/>
  <c r="E34" i="4"/>
  <c r="C56" i="4"/>
  <c r="O24" i="4"/>
  <c r="E37" i="4"/>
  <c r="G20" i="4"/>
  <c r="E48" i="4"/>
  <c r="E13" i="4"/>
  <c r="D15" i="4"/>
  <c r="L23" i="4"/>
  <c r="AM36" i="4"/>
  <c r="AJ36" i="4"/>
  <c r="AA24" i="4"/>
  <c r="K18" i="4"/>
  <c r="AC24" i="4"/>
  <c r="J27" i="4"/>
  <c r="AJ41" i="4"/>
  <c r="K32" i="4"/>
  <c r="AC43" i="4"/>
  <c r="AC44" i="4"/>
  <c r="Z16" i="4"/>
  <c r="AM19" i="4"/>
  <c r="AI38" i="4"/>
  <c r="AB32" i="4"/>
  <c r="AE20" i="4"/>
  <c r="AK55" i="4"/>
  <c r="K43" i="4"/>
  <c r="Z29" i="4"/>
  <c r="Z46" i="4"/>
  <c r="AJ16" i="4"/>
  <c r="AI50" i="4"/>
  <c r="AC46" i="4"/>
  <c r="K47" i="4"/>
  <c r="B14" i="4"/>
  <c r="M44" i="4"/>
  <c r="C46" i="4"/>
  <c r="B31" i="4"/>
  <c r="G32" i="4"/>
  <c r="O25" i="4"/>
  <c r="O17" i="4"/>
  <c r="E54" i="4"/>
  <c r="AB29" i="4"/>
  <c r="AM56" i="4"/>
  <c r="AM42" i="4"/>
  <c r="AH42" i="4"/>
  <c r="J48" i="4"/>
  <c r="J29" i="4"/>
  <c r="AH46" i="4"/>
  <c r="AL30" i="4"/>
  <c r="AA52" i="4"/>
  <c r="AC29" i="4"/>
  <c r="AM52" i="4"/>
  <c r="AI44" i="4"/>
  <c r="K42" i="4"/>
  <c r="E33" i="4"/>
  <c r="D46" i="4"/>
  <c r="E10" i="4"/>
  <c r="B48" i="4"/>
  <c r="AK53" i="4"/>
  <c r="O22" i="4"/>
  <c r="B55" i="4"/>
  <c r="G31" i="4"/>
  <c r="AE53" i="4"/>
  <c r="J42" i="4"/>
  <c r="AK29" i="4"/>
  <c r="AH20" i="4"/>
  <c r="AA47" i="4"/>
  <c r="J14" i="4"/>
  <c r="D14" i="4"/>
  <c r="O41" i="4"/>
  <c r="E21" i="4"/>
  <c r="C31" i="4"/>
  <c r="C22" i="4"/>
  <c r="O56" i="4"/>
  <c r="AH25" i="4"/>
  <c r="AJ18" i="4"/>
  <c r="AC54" i="4"/>
  <c r="AC41" i="4"/>
  <c r="AB21" i="4"/>
  <c r="AE39" i="4"/>
  <c r="K23" i="4"/>
  <c r="AB42" i="4"/>
  <c r="AK30" i="4"/>
  <c r="Z24" i="4"/>
  <c r="AH37" i="4"/>
  <c r="C27" i="4"/>
  <c r="L51" i="4"/>
  <c r="F45" i="4"/>
  <c r="M32" i="4"/>
  <c r="M29" i="4"/>
  <c r="AI13" i="4"/>
  <c r="M20" i="4"/>
  <c r="D22" i="4"/>
  <c r="E42" i="4"/>
  <c r="K37" i="4"/>
  <c r="AM38" i="4"/>
  <c r="AJ34" i="4"/>
  <c r="AD35" i="4"/>
  <c r="AA26" i="4"/>
  <c r="AE10" i="4"/>
  <c r="AL45" i="4"/>
  <c r="Z45" i="4"/>
  <c r="AJ55" i="4"/>
  <c r="AK52" i="4"/>
  <c r="AH10" i="4"/>
  <c r="AL20" i="4"/>
  <c r="AH12" i="4"/>
  <c r="AI41" i="4"/>
  <c r="AM39" i="4"/>
  <c r="AC22" i="4"/>
  <c r="J55" i="4"/>
  <c r="AK24" i="4"/>
  <c r="AH15" i="4"/>
  <c r="AA17" i="4"/>
  <c r="AJ24" i="4"/>
  <c r="AL16" i="4"/>
  <c r="K21" i="4"/>
  <c r="AB20" i="4"/>
  <c r="AI54" i="4"/>
  <c r="AC55" i="4"/>
  <c r="Z20" i="4"/>
  <c r="M47" i="4"/>
  <c r="C24" i="4"/>
  <c r="D18" i="4"/>
  <c r="L47" i="4"/>
  <c r="B21" i="4"/>
  <c r="E38" i="4"/>
  <c r="G28" i="4"/>
  <c r="C41" i="4"/>
  <c r="AE16" i="4"/>
  <c r="K28" i="4"/>
  <c r="AB48" i="4"/>
  <c r="AJ25" i="4"/>
  <c r="AE29" i="4"/>
  <c r="AK50" i="4"/>
  <c r="AM13" i="4"/>
  <c r="AC38" i="4"/>
  <c r="AC11" i="4"/>
  <c r="K52" i="4"/>
  <c r="AH32" i="4"/>
  <c r="Z40" i="4"/>
  <c r="AJ54" i="4"/>
  <c r="AA37" i="4"/>
  <c r="AK21" i="4"/>
  <c r="J31" i="4"/>
  <c r="K25" i="4"/>
  <c r="AK31" i="4"/>
  <c r="AK37" i="4"/>
  <c r="Z10" i="4"/>
  <c r="AJ30" i="4"/>
  <c r="AI32" i="4"/>
  <c r="AB22" i="4"/>
  <c r="J11" i="4"/>
  <c r="C42" i="4"/>
  <c r="O46" i="4"/>
  <c r="E50" i="4"/>
  <c r="B33" i="4"/>
  <c r="B34" i="4"/>
  <c r="G50" i="4"/>
  <c r="C19" i="4"/>
  <c r="B43" i="4"/>
  <c r="AK45" i="4"/>
  <c r="AJ53" i="4"/>
  <c r="J37" i="4"/>
  <c r="AE31" i="4"/>
  <c r="AC16" i="4"/>
  <c r="AC45" i="4"/>
  <c r="J47" i="4"/>
  <c r="K45" i="4"/>
  <c r="AB16" i="4"/>
  <c r="AE50" i="4"/>
  <c r="J38" i="4"/>
  <c r="AI12" i="4"/>
  <c r="B36" i="4"/>
  <c r="O15" i="4"/>
  <c r="L44" i="4"/>
  <c r="L15" i="4"/>
  <c r="M18" i="4"/>
  <c r="AI46" i="4"/>
  <c r="O18" i="4"/>
  <c r="D45" i="4"/>
  <c r="B13" i="4"/>
  <c r="AJ47" i="4"/>
  <c r="AB17" i="4"/>
  <c r="AJ52" i="4"/>
  <c r="AD48" i="4"/>
  <c r="AA30" i="4"/>
  <c r="C17" i="4"/>
  <c r="E36" i="4"/>
  <c r="E29" i="4"/>
  <c r="L38" i="4"/>
  <c r="D56" i="4"/>
  <c r="G43" i="4"/>
  <c r="AK47" i="4"/>
  <c r="K38" i="4"/>
  <c r="AM27" i="4"/>
  <c r="J18" i="4"/>
  <c r="Z35" i="4"/>
  <c r="AJ39" i="4"/>
  <c r="AM29" i="4"/>
  <c r="AJ29" i="4"/>
  <c r="AA10" i="4"/>
  <c r="AE35" i="4"/>
  <c r="AA35" i="4"/>
  <c r="K27" i="4"/>
  <c r="AC34" i="4"/>
  <c r="K11" i="4"/>
  <c r="AA40" i="4"/>
  <c r="AK56" i="4"/>
  <c r="AA27" i="4"/>
  <c r="AD27" i="4"/>
  <c r="AC25" i="4"/>
  <c r="AB45" i="4"/>
  <c r="AI36" i="4"/>
  <c r="AH48" i="4"/>
  <c r="AC27" i="4"/>
  <c r="AH14" i="4"/>
  <c r="AD39" i="4"/>
  <c r="J53" i="4"/>
  <c r="AJ23" i="4"/>
  <c r="J12" i="4"/>
  <c r="AE41" i="4"/>
  <c r="Z31" i="4"/>
  <c r="AB26" i="4"/>
  <c r="AB12" i="4"/>
  <c r="AI26" i="4"/>
  <c r="AC26" i="4"/>
  <c r="AH51" i="4"/>
  <c r="AH30" i="4"/>
  <c r="AB53" i="4"/>
  <c r="K56" i="4"/>
  <c r="AC21" i="4"/>
  <c r="AD45" i="4"/>
  <c r="AK38" i="4"/>
  <c r="AI20" i="4"/>
  <c r="AA39" i="4"/>
  <c r="D25" i="4"/>
  <c r="E12" i="4"/>
  <c r="O47" i="4"/>
  <c r="L18" i="4"/>
  <c r="G47" i="4"/>
  <c r="M25" i="4"/>
  <c r="G36" i="4"/>
  <c r="D29" i="4"/>
  <c r="M15" i="4"/>
  <c r="AB46" i="4"/>
  <c r="AE33" i="4"/>
  <c r="AL26" i="4"/>
  <c r="AB30" i="4"/>
  <c r="AC33" i="4"/>
  <c r="J45" i="4"/>
  <c r="J10" i="4"/>
  <c r="J22" i="4"/>
  <c r="AM48" i="4"/>
  <c r="AB41" i="4"/>
  <c r="AB44" i="4"/>
  <c r="AE34" i="4"/>
  <c r="AM34" i="4"/>
  <c r="AE42" i="4"/>
  <c r="AB35" i="4"/>
  <c r="AH40" i="4"/>
  <c r="AK28" i="4"/>
  <c r="K44" i="4"/>
  <c r="AE23" i="4"/>
  <c r="AM55" i="4"/>
  <c r="AJ31" i="4"/>
  <c r="AH17" i="4"/>
  <c r="Z36" i="4"/>
  <c r="E19" i="4"/>
  <c r="E15" i="4"/>
  <c r="L42" i="4"/>
  <c r="O36" i="4"/>
  <c r="C43" i="4"/>
  <c r="E53" i="4"/>
  <c r="C40" i="4"/>
  <c r="L31" i="4"/>
  <c r="C47" i="4"/>
  <c r="AM16" i="4"/>
  <c r="AB52" i="4"/>
  <c r="AH39" i="4"/>
  <c r="AC13" i="4"/>
  <c r="AE26" i="4"/>
  <c r="AJ46" i="4"/>
  <c r="K48" i="4"/>
  <c r="AH33" i="4"/>
  <c r="AM26" i="4"/>
  <c r="AH55" i="4"/>
  <c r="AK22" i="4"/>
  <c r="AA23" i="4"/>
  <c r="E16" i="4"/>
  <c r="C13" i="4"/>
  <c r="L32" i="4"/>
  <c r="C14" i="4"/>
  <c r="AJ44" i="4"/>
  <c r="K31" i="4"/>
  <c r="M23" i="4"/>
  <c r="E26" i="4"/>
  <c r="G45" i="4"/>
  <c r="K35" i="4"/>
  <c r="AL36" i="4"/>
  <c r="AI15" i="4"/>
  <c r="AB37" i="4"/>
  <c r="K51" i="4"/>
  <c r="E46" i="4"/>
  <c r="L36" i="4"/>
  <c r="B30" i="4"/>
  <c r="G38" i="4"/>
  <c r="G40" i="4"/>
  <c r="L40" i="4"/>
  <c r="AH31" i="4"/>
  <c r="AL35" i="4"/>
  <c r="AI25" i="4"/>
  <c r="AC47" i="4"/>
  <c r="AM11" i="4"/>
  <c r="AI43" i="4"/>
  <c r="AE44" i="4"/>
  <c r="AH44" i="4"/>
  <c r="Z50" i="4"/>
  <c r="AK48" i="4"/>
  <c r="AI40" i="4"/>
  <c r="J23" i="4"/>
  <c r="O53" i="4"/>
  <c r="M41" i="4"/>
  <c r="C25" i="4"/>
  <c r="M43" i="4"/>
  <c r="AK43" i="4"/>
  <c r="D19" i="4"/>
  <c r="G35" i="4"/>
  <c r="O28" i="4"/>
  <c r="AH19" i="4"/>
  <c r="Z22" i="4"/>
  <c r="AK25" i="4"/>
  <c r="AE46" i="4"/>
  <c r="AA42" i="4"/>
  <c r="D47" i="4"/>
  <c r="G52" i="4"/>
  <c r="B53" i="4"/>
  <c r="B54" i="4"/>
  <c r="E39" i="4"/>
  <c r="D40" i="4"/>
  <c r="G21" i="4"/>
  <c r="AB34" i="4"/>
  <c r="C45" i="4"/>
  <c r="G44" i="4"/>
  <c r="AC35" i="4"/>
  <c r="AM51" i="4"/>
  <c r="AH16" i="4"/>
  <c r="AC20" i="4"/>
  <c r="AC10" i="4"/>
  <c r="AA31" i="4"/>
  <c r="O19" i="4"/>
  <c r="M39" i="4"/>
  <c r="AE24" i="4"/>
  <c r="AK19" i="4"/>
  <c r="AK42" i="4"/>
  <c r="B15" i="4"/>
  <c r="E32" i="4"/>
  <c r="AM18" i="4"/>
  <c r="O35" i="4"/>
  <c r="G15" i="4"/>
  <c r="K55" i="4"/>
  <c r="AJ26" i="4"/>
  <c r="AB38" i="4"/>
  <c r="AK34" i="4"/>
  <c r="Z51" i="4"/>
  <c r="AB47" i="4"/>
  <c r="B17" i="4"/>
  <c r="O48" i="4"/>
  <c r="AA36" i="4"/>
  <c r="E47" i="4"/>
  <c r="AI18" i="4"/>
  <c r="AI39" i="4"/>
  <c r="Z39" i="4"/>
  <c r="M31" i="4"/>
  <c r="B20" i="4"/>
  <c r="D27" i="4"/>
  <c r="G29" i="4"/>
  <c r="D44" i="4"/>
  <c r="M55" i="4"/>
  <c r="O43" i="4"/>
  <c r="AI17" i="4"/>
  <c r="K14" i="4"/>
  <c r="Z34" i="4"/>
  <c r="AB31" i="4"/>
  <c r="AA25" i="4"/>
  <c r="AE56" i="4"/>
  <c r="Z32" i="4"/>
  <c r="C35" i="4"/>
  <c r="D21" i="4"/>
  <c r="J24" i="4"/>
  <c r="E23" i="4"/>
  <c r="AE28" i="4"/>
  <c r="AH28" i="4"/>
  <c r="K33" i="4"/>
  <c r="E24" i="4"/>
  <c r="L26" i="4"/>
  <c r="M13" i="4"/>
  <c r="E14" i="4"/>
  <c r="AA41" i="4"/>
  <c r="J36" i="4"/>
  <c r="O42" i="4"/>
  <c r="D26" i="4"/>
  <c r="AL15" i="4"/>
  <c r="J30" i="4"/>
  <c r="AI34" i="4"/>
  <c r="AA55" i="4"/>
  <c r="AB28" i="4"/>
  <c r="AE22" i="4"/>
  <c r="AJ35" i="4"/>
  <c r="AB56" i="4"/>
  <c r="AE15" i="4"/>
  <c r="AE18" i="4"/>
  <c r="M52" i="4"/>
  <c r="D39" i="4"/>
  <c r="AB19" i="4"/>
  <c r="M21" i="4"/>
  <c r="AK17" i="4"/>
  <c r="AJ10" i="4"/>
  <c r="AA18" i="4"/>
  <c r="B52" i="4"/>
  <c r="C36" i="4"/>
  <c r="M40" i="4"/>
  <c r="D43" i="4"/>
  <c r="M10" i="4"/>
  <c r="K39" i="4"/>
  <c r="B35" i="4"/>
  <c r="O10" i="4"/>
  <c r="AH34" i="4"/>
  <c r="AE13" i="4"/>
  <c r="AJ51" i="4"/>
  <c r="AB50" i="4"/>
  <c r="J41" i="4"/>
  <c r="AK39" i="4"/>
  <c r="AB18" i="4"/>
  <c r="J26" i="4"/>
  <c r="AJ50" i="4"/>
  <c r="K29" i="4"/>
  <c r="AA19" i="4"/>
  <c r="AB10" i="4"/>
  <c r="D52" i="4"/>
  <c r="B27" i="4"/>
  <c r="Z33" i="4"/>
  <c r="C39" i="4"/>
  <c r="AE37" i="4"/>
  <c r="AI31" i="4"/>
  <c r="Z23" i="4"/>
  <c r="B25" i="4"/>
  <c r="C48" i="4"/>
  <c r="C28" i="4"/>
  <c r="M34" i="4"/>
  <c r="C23" i="4"/>
  <c r="K15" i="4"/>
  <c r="L13" i="4"/>
  <c r="C51" i="4"/>
  <c r="AL50" i="4"/>
  <c r="AB51" i="4"/>
  <c r="AJ33" i="4"/>
  <c r="AB40" i="4"/>
  <c r="J33" i="4"/>
  <c r="AK15" i="4"/>
  <c r="AC15" i="4"/>
  <c r="Z44" i="4"/>
  <c r="AC32" i="4"/>
  <c r="AJ21" i="4"/>
  <c r="AB14" i="4"/>
  <c r="AA48" i="4"/>
  <c r="G56" i="4"/>
  <c r="G12" i="4"/>
  <c r="J19" i="4"/>
  <c r="O37" i="4"/>
  <c r="M38" i="4"/>
  <c r="AH41" i="4"/>
  <c r="AE17" i="4"/>
  <c r="AJ37" i="4"/>
  <c r="AC14" i="4"/>
  <c r="AC37" i="4"/>
  <c r="B56" i="4"/>
  <c r="B28" i="4"/>
  <c r="M14" i="4"/>
  <c r="J25" i="4"/>
  <c r="AM41" i="4"/>
  <c r="AC17" i="4"/>
  <c r="M51" i="4"/>
  <c r="M22" i="4"/>
  <c r="AI53" i="4"/>
  <c r="E17" i="4"/>
  <c r="G51" i="4"/>
  <c r="AL43" i="4"/>
  <c r="AC30" i="4"/>
  <c r="AM32" i="4"/>
  <c r="AA43" i="4"/>
  <c r="AI37" i="4"/>
  <c r="AA15" i="4"/>
  <c r="C29" i="4"/>
  <c r="O13" i="4"/>
  <c r="J32" i="4"/>
  <c r="D20" i="4"/>
  <c r="Z41" i="4"/>
  <c r="AH50" i="4"/>
  <c r="K46" i="4"/>
  <c r="L16" i="4"/>
  <c r="E44" i="4"/>
  <c r="E45" i="4"/>
  <c r="M33" i="4"/>
  <c r="B41" i="4"/>
  <c r="C53" i="4"/>
  <c r="D38" i="4"/>
  <c r="AC18" i="4"/>
  <c r="AH13" i="4"/>
  <c r="K30" i="4"/>
  <c r="AC50" i="4"/>
  <c r="AJ17" i="4"/>
  <c r="AE51" i="4"/>
  <c r="D37" i="4"/>
  <c r="G39" i="4"/>
  <c r="B10" i="4"/>
  <c r="G53" i="4"/>
  <c r="O26" i="4"/>
  <c r="AM30" i="4"/>
  <c r="AD19" i="4"/>
  <c r="D23" i="4"/>
  <c r="D51" i="4"/>
  <c r="G48" i="4"/>
  <c r="M24" i="4"/>
  <c r="B11" i="4"/>
  <c r="AK11" i="4"/>
  <c r="C30" i="4"/>
  <c r="B18" i="4"/>
  <c r="O12" i="4"/>
  <c r="AC42" i="4"/>
  <c r="AM46" i="4"/>
  <c r="AH27" i="4"/>
  <c r="Z38" i="4"/>
  <c r="AL44" i="4"/>
  <c r="AJ13" i="4"/>
  <c r="AE21" i="4"/>
  <c r="AI23" i="4"/>
  <c r="AM35" i="4"/>
  <c r="Z28" i="4"/>
  <c r="O52" i="4"/>
  <c r="O33" i="4"/>
  <c r="J20" i="4"/>
  <c r="B51" i="4"/>
  <c r="J43" i="4"/>
  <c r="AH24" i="4"/>
  <c r="J34" i="4"/>
  <c r="L30" i="4"/>
  <c r="D36" i="4"/>
  <c r="O27" i="4"/>
  <c r="L24" i="4"/>
  <c r="J17" i="4"/>
  <c r="C32" i="4"/>
  <c r="L22" i="4"/>
  <c r="E55" i="4"/>
  <c r="AE38" i="4"/>
  <c r="AK51" i="4"/>
  <c r="AI10" i="4"/>
  <c r="AA33" i="4"/>
  <c r="K20" i="4"/>
  <c r="AE11" i="4"/>
  <c r="AC51" i="4"/>
  <c r="J35" i="4"/>
  <c r="Z12" i="4"/>
  <c r="D34" i="4"/>
  <c r="C26" i="4"/>
  <c r="AI30" i="4"/>
  <c r="AK33" i="4"/>
  <c r="AD43" i="4"/>
  <c r="AJ48" i="4"/>
  <c r="AL19" i="4"/>
  <c r="AK26" i="4"/>
  <c r="B50" i="4"/>
  <c r="O11" i="4"/>
  <c r="AH38" i="4"/>
  <c r="AJ42" i="4"/>
  <c r="AI48" i="4"/>
  <c r="G25" i="4"/>
  <c r="AM23" i="4"/>
  <c r="B44" i="4"/>
  <c r="AC36" i="4"/>
  <c r="D17" i="4"/>
  <c r="L37" i="4"/>
  <c r="AA50" i="4"/>
  <c r="AE27" i="4"/>
  <c r="AA21" i="4"/>
  <c r="AI22" i="4"/>
  <c r="AA53" i="4"/>
  <c r="L39" i="4"/>
  <c r="L20" i="4"/>
  <c r="J40" i="4"/>
  <c r="M17" i="4"/>
  <c r="M53" i="4"/>
  <c r="AM10" i="4"/>
  <c r="AC28" i="4"/>
  <c r="C15" i="4"/>
  <c r="G55" i="4"/>
  <c r="B32" i="4"/>
  <c r="C54" i="4"/>
  <c r="D35" i="4"/>
  <c r="G41" i="4"/>
  <c r="O44" i="4"/>
  <c r="AA20" i="4"/>
  <c r="K53" i="4"/>
  <c r="AA14" i="4"/>
  <c r="AH26" i="4"/>
  <c r="AA32" i="4"/>
  <c r="AH22" i="4"/>
  <c r="AJ27" i="4"/>
  <c r="O32" i="4"/>
  <c r="L56" i="4"/>
  <c r="AL34" i="4"/>
  <c r="D28" i="4"/>
  <c r="AE43" i="4"/>
  <c r="AL28" i="4"/>
  <c r="AB25" i="4"/>
  <c r="M19" i="4"/>
  <c r="E28" i="4"/>
  <c r="C55" i="4"/>
  <c r="L29" i="4"/>
  <c r="B12" i="4"/>
  <c r="AH18" i="4"/>
  <c r="L27" i="4"/>
  <c r="C38" i="4"/>
  <c r="B16" i="4"/>
  <c r="J21" i="4"/>
  <c r="AL39" i="4"/>
  <c r="AC53" i="4"/>
  <c r="K54" i="4"/>
  <c r="AI42" i="4"/>
  <c r="AA12" i="4"/>
  <c r="AA29" i="4"/>
  <c r="J15" i="4"/>
  <c r="J52" i="4"/>
  <c r="D11" i="4"/>
  <c r="M50" i="4"/>
  <c r="B40" i="4"/>
  <c r="E20" i="4"/>
  <c r="O54" i="4"/>
  <c r="AM22" i="4"/>
  <c r="AC40" i="4"/>
  <c r="D41" i="4"/>
  <c r="L19" i="4"/>
  <c r="L14" i="4"/>
  <c r="L48" i="4"/>
  <c r="C10" i="4"/>
  <c r="AJ32" i="4"/>
  <c r="D54" i="4"/>
  <c r="G22" i="4"/>
  <c r="D50" i="4"/>
  <c r="AK46" i="4"/>
  <c r="AM37" i="4"/>
  <c r="AH23" i="4"/>
  <c r="Z26" i="4"/>
  <c r="K41" i="4"/>
  <c r="AA16" i="4"/>
  <c r="AA51" i="4"/>
  <c r="AD23" i="4"/>
  <c r="K10" i="4"/>
  <c r="AM17" i="4"/>
  <c r="AM43" i="4"/>
  <c r="O30" i="4"/>
  <c r="D16" i="4"/>
  <c r="Z55" i="4"/>
  <c r="G19" i="4"/>
  <c r="E11" i="4"/>
  <c r="AL54" i="4"/>
  <c r="AC12" i="4"/>
  <c r="B26" i="4"/>
  <c r="L34" i="4"/>
  <c r="D24" i="4"/>
  <c r="L46" i="4"/>
  <c r="M16" i="4"/>
  <c r="AJ12" i="4"/>
  <c r="C34" i="4"/>
  <c r="L21" i="4"/>
  <c r="M30" i="4"/>
  <c r="AB36" i="4"/>
  <c r="AM33" i="4"/>
  <c r="AE36" i="4"/>
  <c r="Z18" i="4"/>
  <c r="AI35" i="4"/>
  <c r="Z13" i="4"/>
  <c r="Z15" i="4"/>
  <c r="AE32" i="4"/>
  <c r="K26" i="4"/>
  <c r="K36" i="4"/>
  <c r="AM31" i="4"/>
  <c r="M28" i="4"/>
  <c r="B37" i="4"/>
  <c r="AB11" i="4"/>
  <c r="D33" i="4"/>
  <c r="L10" i="4"/>
  <c r="AH11" i="4"/>
  <c r="AA46" i="4"/>
  <c r="AM14" i="4"/>
  <c r="Z48" i="4"/>
  <c r="Z11" i="4"/>
  <c r="AI16" i="4"/>
  <c r="C16" i="4"/>
  <c r="D30" i="4"/>
  <c r="J51" i="4"/>
  <c r="Z47" i="4"/>
  <c r="AJ22" i="4"/>
  <c r="E52" i="4"/>
  <c r="AA54" i="4"/>
  <c r="AK27" i="4"/>
  <c r="Z53" i="4"/>
  <c r="L45" i="4"/>
  <c r="L41" i="4"/>
  <c r="AH29" i="4"/>
  <c r="Z25" i="4"/>
  <c r="AA56" i="4"/>
  <c r="AM25" i="4"/>
  <c r="AK14" i="4"/>
  <c r="O45" i="4"/>
  <c r="B42" i="4"/>
  <c r="AM44" i="4"/>
  <c r="O16" i="4"/>
  <c r="G16" i="4"/>
  <c r="O14" i="4"/>
  <c r="M12" i="4"/>
  <c r="AK12" i="4"/>
  <c r="M26" i="4"/>
  <c r="G17" i="4"/>
  <c r="L55" i="4"/>
  <c r="J46" i="4"/>
  <c r="AL22" i="4"/>
  <c r="D32" i="4"/>
  <c r="AJ19" i="4"/>
  <c r="AJ40" i="4"/>
  <c r="AA38" i="4"/>
  <c r="AB39" i="4"/>
  <c r="AE55" i="4"/>
  <c r="AM28" i="4"/>
  <c r="AI24" i="4"/>
  <c r="O55" i="4"/>
  <c r="AA34" i="4"/>
  <c r="AC31" i="4"/>
  <c r="C37" i="4"/>
  <c r="G33" i="4"/>
  <c r="D55" i="4"/>
  <c r="AI56" i="4"/>
  <c r="O29" i="4"/>
  <c r="E41" i="4"/>
  <c r="AD46" i="4"/>
  <c r="AD14" i="4"/>
  <c r="F23" i="4"/>
  <c r="AD22" i="4"/>
  <c r="N55" i="4"/>
  <c r="F11" i="4"/>
  <c r="AA13" i="4"/>
  <c r="F29" i="4"/>
  <c r="AL32" i="4"/>
  <c r="L25" i="4"/>
  <c r="O51" i="4"/>
  <c r="AE30" i="4"/>
  <c r="C21" i="4"/>
  <c r="AK20" i="4"/>
  <c r="B39" i="4"/>
  <c r="AA44" i="4"/>
  <c r="Z27" i="4"/>
  <c r="AE14" i="4"/>
  <c r="AJ11" i="4"/>
  <c r="E27" i="4"/>
  <c r="M56" i="4"/>
  <c r="M27" i="4"/>
  <c r="M48" i="4"/>
  <c r="K40" i="4"/>
  <c r="AC19" i="4"/>
  <c r="Z17" i="4"/>
  <c r="G10" i="4"/>
  <c r="C33" i="4"/>
  <c r="Z42" i="4"/>
  <c r="M46" i="4"/>
  <c r="B46" i="4"/>
  <c r="N45" i="4"/>
  <c r="C44" i="4"/>
  <c r="M35" i="4"/>
  <c r="AA45" i="4"/>
  <c r="Z56" i="4"/>
  <c r="AC56" i="4"/>
  <c r="J50" i="4"/>
  <c r="J16" i="4"/>
  <c r="G13" i="4"/>
  <c r="L50" i="4"/>
  <c r="D13" i="4"/>
  <c r="O21" i="4"/>
  <c r="E31" i="4"/>
  <c r="M54" i="4"/>
  <c r="B38" i="4"/>
  <c r="K16" i="4"/>
  <c r="E35" i="4"/>
  <c r="L35" i="4"/>
  <c r="AL40" i="4"/>
  <c r="AH56" i="4"/>
  <c r="Z43" i="4"/>
  <c r="Z19" i="4"/>
  <c r="B23" i="4"/>
  <c r="O38" i="4"/>
  <c r="AB24" i="4"/>
  <c r="E22" i="4"/>
  <c r="G11" i="4"/>
  <c r="AH43" i="4"/>
  <c r="G34" i="4"/>
  <c r="AM21" i="4"/>
  <c r="F22" i="4"/>
  <c r="AD26" i="4"/>
  <c r="F27" i="4"/>
  <c r="AL47" i="4"/>
  <c r="F13" i="4"/>
  <c r="F48" i="4"/>
  <c r="N54" i="4"/>
  <c r="C12" i="4"/>
  <c r="N23" i="4"/>
  <c r="AL42" i="4"/>
  <c r="AL46" i="4"/>
  <c r="F30" i="4"/>
  <c r="AD28" i="4"/>
  <c r="F15" i="4"/>
  <c r="F41" i="4"/>
  <c r="N34" i="4"/>
  <c r="N32" i="4"/>
  <c r="N47" i="4"/>
  <c r="AL51" i="4"/>
  <c r="N29" i="4"/>
  <c r="N30" i="4"/>
  <c r="AL21" i="4"/>
  <c r="AD10" i="4"/>
  <c r="N41" i="4"/>
  <c r="N52" i="4"/>
  <c r="F56" i="4"/>
  <c r="AL48" i="4"/>
  <c r="F21" i="4"/>
  <c r="F19" i="4"/>
  <c r="F50" i="4"/>
  <c r="AD40" i="4"/>
  <c r="AD37" i="4"/>
  <c r="F28" i="4"/>
  <c r="AD12" i="4"/>
  <c r="AD16" i="4"/>
  <c r="F35" i="4"/>
  <c r="AD34" i="4"/>
  <c r="AE40" i="4"/>
  <c r="AK16" i="4"/>
  <c r="E40" i="4"/>
  <c r="C20" i="4"/>
  <c r="AE19" i="4"/>
  <c r="AM50" i="4"/>
  <c r="AI28" i="4"/>
  <c r="O31" i="4"/>
  <c r="AK13" i="4"/>
  <c r="G42" i="4"/>
  <c r="D10" i="4"/>
  <c r="O34" i="4"/>
  <c r="K24" i="4"/>
  <c r="AM53" i="4"/>
  <c r="AB27" i="4"/>
  <c r="AJ28" i="4"/>
  <c r="AK54" i="4"/>
  <c r="AB23" i="4"/>
  <c r="AE54" i="4"/>
  <c r="E25" i="4"/>
  <c r="M11" i="4"/>
  <c r="M45" i="4"/>
  <c r="D42" i="4"/>
  <c r="AM20" i="4"/>
  <c r="AI14" i="4"/>
  <c r="G54" i="4"/>
  <c r="M36" i="4"/>
  <c r="AL31" i="4"/>
  <c r="F32" i="4"/>
  <c r="N16" i="4"/>
  <c r="AL33" i="4"/>
  <c r="N14" i="4"/>
  <c r="AD29" i="4"/>
  <c r="N36" i="4"/>
  <c r="N44" i="4"/>
  <c r="N43" i="4"/>
  <c r="AD51" i="4"/>
  <c r="AB33" i="4"/>
  <c r="O40" i="4"/>
  <c r="AL18" i="4"/>
  <c r="G27" i="4"/>
  <c r="AJ14" i="4"/>
  <c r="O23" i="4"/>
  <c r="O50" i="4"/>
  <c r="K22" i="4"/>
  <c r="AM15" i="4"/>
  <c r="AI21" i="4"/>
  <c r="J39" i="4"/>
  <c r="O20" i="4"/>
  <c r="O39" i="4"/>
  <c r="L33" i="4"/>
  <c r="AK44" i="4"/>
  <c r="K17" i="4"/>
  <c r="E51" i="4"/>
  <c r="D53" i="4"/>
  <c r="M42" i="4"/>
  <c r="AM24" i="4"/>
  <c r="AD11" i="4"/>
  <c r="AM12" i="4"/>
  <c r="AL14" i="4"/>
  <c r="J13" i="4"/>
  <c r="AM40" i="4"/>
  <c r="Z14" i="4"/>
  <c r="F25" i="4"/>
  <c r="N31" i="4"/>
  <c r="N13" i="4"/>
  <c r="AD44" i="4"/>
  <c r="AD17" i="4"/>
  <c r="AL38" i="4"/>
  <c r="AL13" i="4"/>
  <c r="N26" i="4"/>
  <c r="G24" i="4"/>
  <c r="C52" i="4"/>
  <c r="AH52" i="4"/>
  <c r="AD15" i="4"/>
  <c r="AH47" i="4"/>
  <c r="AA22" i="4"/>
  <c r="L53" i="4"/>
  <c r="L54" i="4"/>
  <c r="AC23" i="4"/>
  <c r="AL27" i="4"/>
  <c r="G18" i="4"/>
  <c r="AL12" i="4"/>
  <c r="L43" i="4"/>
  <c r="D12" i="4"/>
  <c r="AL11" i="4"/>
  <c r="AK18" i="4"/>
  <c r="AI29" i="4"/>
  <c r="L12" i="4"/>
  <c r="M37" i="4"/>
  <c r="G23" i="4"/>
  <c r="AE25" i="4"/>
  <c r="E43" i="4"/>
  <c r="E30" i="4"/>
  <c r="AM54" i="4"/>
  <c r="G30" i="4"/>
  <c r="AK35" i="4"/>
  <c r="AH53" i="4"/>
  <c r="AK23" i="4"/>
  <c r="AB15" i="4"/>
  <c r="K12" i="4"/>
  <c r="K19" i="4"/>
  <c r="E56" i="4"/>
  <c r="Z21" i="4"/>
  <c r="C11" i="4"/>
  <c r="AJ56" i="4"/>
  <c r="G26" i="4"/>
  <c r="E18" i="4"/>
  <c r="AK36" i="4"/>
  <c r="AL10" i="4"/>
  <c r="G37" i="4"/>
  <c r="Z52" i="4"/>
  <c r="D48" i="4"/>
  <c r="K13" i="4"/>
  <c r="AK10" i="4"/>
  <c r="G46" i="4"/>
  <c r="J54" i="4"/>
  <c r="J44" i="4"/>
  <c r="AJ20" i="4"/>
  <c r="AD53" i="4"/>
  <c r="L52" i="4"/>
  <c r="AE48" i="4"/>
  <c r="B29" i="4"/>
  <c r="AB43" i="4"/>
  <c r="N28" i="4"/>
  <c r="N27" i="4"/>
  <c r="AD54" i="4"/>
  <c r="AD33" i="4"/>
  <c r="N10" i="4"/>
  <c r="F47" i="4"/>
  <c r="AD52" i="4"/>
  <c r="N40" i="4"/>
  <c r="F18" i="4"/>
  <c r="AI11" i="4"/>
  <c r="N15" i="4"/>
  <c r="F33" i="4"/>
  <c r="AD50" i="4"/>
  <c r="N21" i="4"/>
  <c r="N22" i="4"/>
  <c r="F26" i="4"/>
  <c r="AD30" i="4"/>
  <c r="AD25" i="4"/>
  <c r="F39" i="4"/>
  <c r="N19" i="4"/>
  <c r="AD38" i="4"/>
  <c r="L11" i="4"/>
  <c r="AD36" i="4"/>
  <c r="AL17" i="4"/>
  <c r="AL55" i="4"/>
  <c r="AD13" i="4"/>
  <c r="F20" i="4"/>
  <c r="AL29" i="4"/>
  <c r="N25" i="4"/>
  <c r="N42" i="4"/>
  <c r="AL52" i="4"/>
  <c r="F17" i="4"/>
  <c r="N17" i="4"/>
  <c r="F52" i="4"/>
  <c r="N11" i="4"/>
  <c r="AL56" i="4"/>
  <c r="F37" i="4"/>
  <c r="AE47" i="4"/>
  <c r="L17" i="4"/>
  <c r="Z54" i="4"/>
  <c r="AB13" i="4"/>
  <c r="C18" i="4"/>
  <c r="AC48" i="4"/>
  <c r="AH35" i="4"/>
  <c r="B45" i="4"/>
  <c r="AH45" i="4"/>
  <c r="C50" i="4"/>
  <c r="B19" i="4"/>
  <c r="D31" i="4"/>
  <c r="AC39" i="4"/>
  <c r="AI55" i="4"/>
  <c r="AE52" i="4"/>
  <c r="B22" i="4"/>
  <c r="L28" i="4"/>
  <c r="B47" i="4"/>
  <c r="B24" i="4"/>
  <c r="AA28" i="4"/>
  <c r="AL24" i="4"/>
  <c r="AE12" i="4"/>
  <c r="AI19" i="4"/>
  <c r="G14" i="4"/>
  <c r="AI51" i="4"/>
  <c r="AH36" i="4"/>
  <c r="AB55" i="4"/>
  <c r="AD32" i="4"/>
  <c r="F53" i="4"/>
  <c r="F10" i="4"/>
  <c r="N24" i="4"/>
  <c r="F54" i="4"/>
  <c r="F43" i="4"/>
  <c r="N39" i="4"/>
  <c r="F38" i="4"/>
  <c r="AD42" i="4"/>
  <c r="F46" i="4"/>
  <c r="AD24" i="4"/>
  <c r="N53" i="4"/>
  <c r="AD41" i="4"/>
  <c r="F36" i="4"/>
  <c r="N33" i="4"/>
  <c r="K50" i="4"/>
  <c r="F14" i="4"/>
  <c r="N12" i="4"/>
  <c r="AD21" i="4"/>
  <c r="N18" i="4"/>
  <c r="N48" i="4"/>
  <c r="AL25" i="4"/>
  <c r="N38" i="4"/>
  <c r="AD47" i="4"/>
  <c r="N20" i="4"/>
  <c r="AD56" i="4"/>
  <c r="N56" i="4"/>
  <c r="N51" i="4"/>
  <c r="AD18" i="4"/>
  <c r="AL53" i="4"/>
  <c r="F55" i="4"/>
  <c r="F34" i="4"/>
  <c r="F40" i="4"/>
  <c r="F31" i="4"/>
  <c r="AD20" i="4"/>
  <c r="F24" i="4"/>
  <c r="AL37" i="4"/>
  <c r="F12" i="4"/>
  <c r="AL41" i="4"/>
  <c r="AD55" i="4"/>
  <c r="N37" i="4"/>
  <c r="F42" i="4"/>
  <c r="AI52" i="4"/>
  <c r="N35" i="4"/>
  <c r="F16" i="4"/>
  <c r="F51" i="4"/>
  <c r="N50" i="4"/>
  <c r="N46" i="4"/>
  <c r="F44" i="4"/>
  <c r="F44" i="5" l="1"/>
  <c r="V44" i="4"/>
  <c r="AT44" i="4" s="1"/>
  <c r="AT44" i="5" s="1"/>
  <c r="N46" i="5"/>
  <c r="N50" i="5"/>
  <c r="N49" i="4"/>
  <c r="N49" i="5" s="1"/>
  <c r="F51" i="5"/>
  <c r="V51" i="4"/>
  <c r="V51" i="5" s="1"/>
  <c r="F16" i="5"/>
  <c r="V16" i="4"/>
  <c r="V16" i="5" s="1"/>
  <c r="N35" i="5"/>
  <c r="AI52" i="5"/>
  <c r="AQ52" i="4"/>
  <c r="AQ52" i="5" s="1"/>
  <c r="V42" i="4"/>
  <c r="V42" i="5" s="1"/>
  <c r="F42" i="5"/>
  <c r="N37" i="5"/>
  <c r="AD55" i="5"/>
  <c r="AL41" i="5"/>
  <c r="F12" i="5"/>
  <c r="V12" i="4"/>
  <c r="V12" i="5" s="1"/>
  <c r="AL37" i="5"/>
  <c r="F24" i="5"/>
  <c r="V24" i="4"/>
  <c r="AD20" i="5"/>
  <c r="V31" i="4"/>
  <c r="V31" i="5" s="1"/>
  <c r="F31" i="5"/>
  <c r="F40" i="5"/>
  <c r="V40" i="4"/>
  <c r="V40" i="5" s="1"/>
  <c r="V34" i="4"/>
  <c r="V34" i="5" s="1"/>
  <c r="F34" i="5"/>
  <c r="F55" i="5"/>
  <c r="V55" i="4"/>
  <c r="V55" i="5" s="1"/>
  <c r="AL53" i="5"/>
  <c r="AD18" i="5"/>
  <c r="N51" i="5"/>
  <c r="N56" i="5"/>
  <c r="AD56" i="5"/>
  <c r="N20" i="5"/>
  <c r="AD47" i="5"/>
  <c r="N38" i="5"/>
  <c r="AL25" i="5"/>
  <c r="N48" i="5"/>
  <c r="N18" i="5"/>
  <c r="AD21" i="5"/>
  <c r="N12" i="5"/>
  <c r="V14" i="4"/>
  <c r="AT14" i="4" s="1"/>
  <c r="AT14" i="5" s="1"/>
  <c r="F14" i="5"/>
  <c r="K49" i="4"/>
  <c r="K8" i="4" s="1"/>
  <c r="K8" i="5" s="1"/>
  <c r="K50" i="5"/>
  <c r="N33" i="5"/>
  <c r="V36" i="4"/>
  <c r="V36" i="5" s="1"/>
  <c r="F36" i="5"/>
  <c r="AD41" i="5"/>
  <c r="N53" i="5"/>
  <c r="AD24" i="5"/>
  <c r="F46" i="5"/>
  <c r="V46" i="4"/>
  <c r="AT46" i="4" s="1"/>
  <c r="AT46" i="5" s="1"/>
  <c r="AD42" i="5"/>
  <c r="F38" i="5"/>
  <c r="V38" i="4"/>
  <c r="V38" i="5" s="1"/>
  <c r="N39" i="5"/>
  <c r="V43" i="4"/>
  <c r="V43" i="5" s="1"/>
  <c r="F43" i="5"/>
  <c r="F54" i="5"/>
  <c r="V54" i="4"/>
  <c r="AT54" i="4" s="1"/>
  <c r="AT54" i="5" s="1"/>
  <c r="N24" i="5"/>
  <c r="F9" i="4"/>
  <c r="F9" i="5" s="1"/>
  <c r="F10" i="5"/>
  <c r="V10" i="4"/>
  <c r="AT10" i="4" s="1"/>
  <c r="AT10" i="5" s="1"/>
  <c r="V53" i="4"/>
  <c r="V53" i="5" s="1"/>
  <c r="F53" i="5"/>
  <c r="AD32" i="5"/>
  <c r="AB55" i="5"/>
  <c r="AH36" i="5"/>
  <c r="AN36" i="4"/>
  <c r="AN36" i="5" s="1"/>
  <c r="AI51" i="5"/>
  <c r="W14" i="4"/>
  <c r="W14" i="5" s="1"/>
  <c r="G14" i="5"/>
  <c r="AI19" i="5"/>
  <c r="AE12" i="5"/>
  <c r="AL24" i="5"/>
  <c r="AA28" i="5"/>
  <c r="B24" i="5"/>
  <c r="R24" i="4"/>
  <c r="R24" i="5" s="1"/>
  <c r="H24" i="4"/>
  <c r="H24" i="5" s="1"/>
  <c r="B47" i="5"/>
  <c r="R47" i="4"/>
  <c r="H47" i="4"/>
  <c r="H47" i="5" s="1"/>
  <c r="L28" i="5"/>
  <c r="R22" i="4"/>
  <c r="R22" i="5" s="1"/>
  <c r="B22" i="5"/>
  <c r="H22" i="4"/>
  <c r="H22" i="5" s="1"/>
  <c r="AE52" i="5"/>
  <c r="AI55" i="5"/>
  <c r="AC39" i="5"/>
  <c r="D31" i="5"/>
  <c r="T31" i="4"/>
  <c r="T31" i="5" s="1"/>
  <c r="R19" i="4"/>
  <c r="R19" i="5" s="1"/>
  <c r="B19" i="5"/>
  <c r="H19" i="4"/>
  <c r="H19" i="5" s="1"/>
  <c r="C50" i="5"/>
  <c r="C49" i="4"/>
  <c r="C49" i="5" s="1"/>
  <c r="S50" i="4"/>
  <c r="AH45" i="5"/>
  <c r="AN45" i="4"/>
  <c r="AN45" i="5" s="1"/>
  <c r="R45" i="4"/>
  <c r="R45" i="5" s="1"/>
  <c r="H45" i="4"/>
  <c r="H45" i="5" s="1"/>
  <c r="B45" i="5"/>
  <c r="AH35" i="5"/>
  <c r="AN35" i="4"/>
  <c r="AN35" i="5" s="1"/>
  <c r="AC48" i="5"/>
  <c r="S18" i="4"/>
  <c r="S18" i="5" s="1"/>
  <c r="C18" i="5"/>
  <c r="AB13" i="5"/>
  <c r="Z54" i="5"/>
  <c r="AF54" i="4"/>
  <c r="AF54" i="5" s="1"/>
  <c r="L17" i="5"/>
  <c r="AE47" i="5"/>
  <c r="F37" i="5"/>
  <c r="V37" i="4"/>
  <c r="AT37" i="4" s="1"/>
  <c r="AT37" i="5" s="1"/>
  <c r="AL56" i="5"/>
  <c r="N11" i="5"/>
  <c r="F52" i="5"/>
  <c r="V52" i="4"/>
  <c r="AT52" i="4" s="1"/>
  <c r="AT52" i="5" s="1"/>
  <c r="N17" i="5"/>
  <c r="F17" i="5"/>
  <c r="V17" i="4"/>
  <c r="AL52" i="5"/>
  <c r="N42" i="5"/>
  <c r="N25" i="5"/>
  <c r="AL29" i="5"/>
  <c r="F20" i="5"/>
  <c r="V20" i="4"/>
  <c r="AT20" i="4" s="1"/>
  <c r="AT20" i="5" s="1"/>
  <c r="AD13" i="5"/>
  <c r="AL55" i="5"/>
  <c r="AL17" i="5"/>
  <c r="AD36" i="5"/>
  <c r="L11" i="5"/>
  <c r="AD38" i="5"/>
  <c r="N19" i="5"/>
  <c r="V39" i="4"/>
  <c r="F39" i="5"/>
  <c r="AD25" i="5"/>
  <c r="AD30" i="5"/>
  <c r="F26" i="5"/>
  <c r="V26" i="4"/>
  <c r="V26" i="5" s="1"/>
  <c r="N22" i="5"/>
  <c r="N21" i="5"/>
  <c r="AD49" i="4"/>
  <c r="AD50" i="5"/>
  <c r="F33" i="5"/>
  <c r="V33" i="4"/>
  <c r="V33" i="5" s="1"/>
  <c r="N15" i="5"/>
  <c r="AI11" i="5"/>
  <c r="V18" i="4"/>
  <c r="F18" i="5"/>
  <c r="N40" i="5"/>
  <c r="AD52" i="5"/>
  <c r="F47" i="5"/>
  <c r="V47" i="4"/>
  <c r="N10" i="5"/>
  <c r="N9" i="4"/>
  <c r="AD33" i="5"/>
  <c r="AD54" i="5"/>
  <c r="N27" i="5"/>
  <c r="N28" i="5"/>
  <c r="AB43" i="5"/>
  <c r="B29" i="5"/>
  <c r="R29" i="4"/>
  <c r="X29" i="4" s="1"/>
  <c r="X29" i="5" s="1"/>
  <c r="H29" i="4"/>
  <c r="H29" i="5" s="1"/>
  <c r="AE48" i="5"/>
  <c r="L52" i="5"/>
  <c r="AD53" i="5"/>
  <c r="AJ20" i="5"/>
  <c r="J44" i="5"/>
  <c r="P44" i="4"/>
  <c r="P44" i="5" s="1"/>
  <c r="J54" i="5"/>
  <c r="P54" i="4"/>
  <c r="P54" i="5" s="1"/>
  <c r="G46" i="5"/>
  <c r="W46" i="4"/>
  <c r="W46" i="5" s="1"/>
  <c r="AK10" i="5"/>
  <c r="AK9" i="4"/>
  <c r="AK9" i="5" s="1"/>
  <c r="K13" i="5"/>
  <c r="D48" i="5"/>
  <c r="T48" i="4"/>
  <c r="Z52" i="5"/>
  <c r="AF52" i="4"/>
  <c r="AF52" i="5" s="1"/>
  <c r="G37" i="5"/>
  <c r="W37" i="4"/>
  <c r="W37" i="5" s="1"/>
  <c r="AL10" i="5"/>
  <c r="AL9" i="4"/>
  <c r="AL9" i="5" s="1"/>
  <c r="AK36" i="5"/>
  <c r="E18" i="5"/>
  <c r="U18" i="4"/>
  <c r="U18" i="5" s="1"/>
  <c r="W26" i="4"/>
  <c r="W26" i="5" s="1"/>
  <c r="G26" i="5"/>
  <c r="AJ56" i="5"/>
  <c r="C11" i="5"/>
  <c r="S11" i="4"/>
  <c r="S11" i="5" s="1"/>
  <c r="Z21" i="5"/>
  <c r="AF21" i="4"/>
  <c r="AF21" i="5" s="1"/>
  <c r="U56" i="4"/>
  <c r="AS56" i="4" s="1"/>
  <c r="AS56" i="5" s="1"/>
  <c r="E56" i="5"/>
  <c r="K19" i="5"/>
  <c r="K12" i="5"/>
  <c r="AB15" i="5"/>
  <c r="AK23" i="5"/>
  <c r="AH53" i="5"/>
  <c r="AN53" i="4"/>
  <c r="AN53" i="5" s="1"/>
  <c r="AK35" i="5"/>
  <c r="G30" i="5"/>
  <c r="W30" i="4"/>
  <c r="W30" i="5" s="1"/>
  <c r="AM54" i="5"/>
  <c r="E30" i="5"/>
  <c r="U30" i="4"/>
  <c r="AS30" i="4" s="1"/>
  <c r="AS30" i="5" s="1"/>
  <c r="E43" i="5"/>
  <c r="U43" i="4"/>
  <c r="AE25" i="5"/>
  <c r="G23" i="5"/>
  <c r="W23" i="4"/>
  <c r="W23" i="5" s="1"/>
  <c r="M37" i="5"/>
  <c r="L12" i="5"/>
  <c r="AI29" i="5"/>
  <c r="AK18" i="5"/>
  <c r="AS18" i="4"/>
  <c r="AS18" i="5" s="1"/>
  <c r="AL11" i="5"/>
  <c r="AT11" i="4"/>
  <c r="AT11" i="5" s="1"/>
  <c r="T12" i="4"/>
  <c r="D12" i="5"/>
  <c r="L43" i="5"/>
  <c r="AL12" i="5"/>
  <c r="G18" i="5"/>
  <c r="W18" i="4"/>
  <c r="W18" i="5" s="1"/>
  <c r="AL27" i="5"/>
  <c r="AC23" i="5"/>
  <c r="L54" i="5"/>
  <c r="L53" i="5"/>
  <c r="AA22" i="5"/>
  <c r="AH47" i="5"/>
  <c r="AN47" i="4"/>
  <c r="AN47" i="5" s="1"/>
  <c r="AD15" i="5"/>
  <c r="AH52" i="5"/>
  <c r="AP52" i="4"/>
  <c r="AP52" i="5" s="1"/>
  <c r="AN52" i="4"/>
  <c r="AN52" i="5" s="1"/>
  <c r="S52" i="4"/>
  <c r="S52" i="5" s="1"/>
  <c r="C52" i="5"/>
  <c r="W24" i="4"/>
  <c r="W24" i="5" s="1"/>
  <c r="G24" i="5"/>
  <c r="N26" i="5"/>
  <c r="AL13" i="5"/>
  <c r="AL38" i="5"/>
  <c r="AD17" i="5"/>
  <c r="AD44" i="5"/>
  <c r="N13" i="5"/>
  <c r="N31" i="5"/>
  <c r="V25" i="4"/>
  <c r="AT25" i="4" s="1"/>
  <c r="AT25" i="5" s="1"/>
  <c r="F25" i="5"/>
  <c r="Z14" i="5"/>
  <c r="AF14" i="4"/>
  <c r="AF14" i="5" s="1"/>
  <c r="AM40" i="5"/>
  <c r="AU40" i="4"/>
  <c r="AU40" i="5" s="1"/>
  <c r="J13" i="5"/>
  <c r="P13" i="4"/>
  <c r="P13" i="5" s="1"/>
  <c r="AL14" i="5"/>
  <c r="AM12" i="5"/>
  <c r="AD11" i="5"/>
  <c r="AM24" i="5"/>
  <c r="M42" i="5"/>
  <c r="D53" i="5"/>
  <c r="T53" i="4"/>
  <c r="T53" i="5" s="1"/>
  <c r="U51" i="4"/>
  <c r="U51" i="5" s="1"/>
  <c r="E51" i="5"/>
  <c r="K17" i="5"/>
  <c r="AK44" i="5"/>
  <c r="L33" i="5"/>
  <c r="O39" i="5"/>
  <c r="O20" i="5"/>
  <c r="J39" i="5"/>
  <c r="P39" i="4"/>
  <c r="P39" i="5" s="1"/>
  <c r="AI21" i="5"/>
  <c r="AM15" i="5"/>
  <c r="K22" i="5"/>
  <c r="O49" i="4"/>
  <c r="O49" i="5" s="1"/>
  <c r="O50" i="5"/>
  <c r="O23" i="5"/>
  <c r="AJ14" i="5"/>
  <c r="G27" i="5"/>
  <c r="W27" i="4"/>
  <c r="W27" i="5" s="1"/>
  <c r="AL18" i="5"/>
  <c r="O40" i="5"/>
  <c r="AB33" i="5"/>
  <c r="AD51" i="5"/>
  <c r="N43" i="5"/>
  <c r="N44" i="5"/>
  <c r="N36" i="5"/>
  <c r="AD29" i="5"/>
  <c r="N14" i="5"/>
  <c r="AL33" i="5"/>
  <c r="N16" i="5"/>
  <c r="F32" i="5"/>
  <c r="V32" i="4"/>
  <c r="V32" i="5" s="1"/>
  <c r="AL31" i="5"/>
  <c r="M36" i="5"/>
  <c r="W54" i="4"/>
  <c r="G54" i="5"/>
  <c r="AI14" i="5"/>
  <c r="AM20" i="5"/>
  <c r="T42" i="4"/>
  <c r="D42" i="5"/>
  <c r="M45" i="5"/>
  <c r="M11" i="5"/>
  <c r="E25" i="5"/>
  <c r="U25" i="4"/>
  <c r="AE54" i="5"/>
  <c r="AB23" i="5"/>
  <c r="AK54" i="5"/>
  <c r="AJ28" i="5"/>
  <c r="AB27" i="5"/>
  <c r="AM53" i="5"/>
  <c r="K24" i="5"/>
  <c r="O34" i="5"/>
  <c r="D10" i="5"/>
  <c r="T10" i="4"/>
  <c r="T10" i="5" s="1"/>
  <c r="D9" i="4"/>
  <c r="G42" i="5"/>
  <c r="W42" i="4"/>
  <c r="W42" i="5" s="1"/>
  <c r="AK13" i="5"/>
  <c r="O31" i="5"/>
  <c r="AI28" i="5"/>
  <c r="AM49" i="4"/>
  <c r="AM49" i="5" s="1"/>
  <c r="AM50" i="5"/>
  <c r="AU50" i="4"/>
  <c r="AU50" i="5" s="1"/>
  <c r="AE19" i="5"/>
  <c r="C20" i="5"/>
  <c r="S20" i="4"/>
  <c r="E40" i="5"/>
  <c r="U40" i="4"/>
  <c r="AK16" i="5"/>
  <c r="AE40" i="5"/>
  <c r="AD34" i="5"/>
  <c r="F35" i="5"/>
  <c r="V35" i="4"/>
  <c r="AD16" i="5"/>
  <c r="AD12" i="5"/>
  <c r="V28" i="4"/>
  <c r="F28" i="5"/>
  <c r="AD37" i="5"/>
  <c r="AD40" i="5"/>
  <c r="F49" i="4"/>
  <c r="F49" i="5" s="1"/>
  <c r="F50" i="5"/>
  <c r="V50" i="4"/>
  <c r="F19" i="5"/>
  <c r="V19" i="4"/>
  <c r="AT19" i="4" s="1"/>
  <c r="AT19" i="5" s="1"/>
  <c r="F21" i="5"/>
  <c r="V21" i="4"/>
  <c r="AT21" i="4" s="1"/>
  <c r="AT21" i="5" s="1"/>
  <c r="AL48" i="5"/>
  <c r="F56" i="5"/>
  <c r="V56" i="4"/>
  <c r="V56" i="5" s="1"/>
  <c r="N52" i="5"/>
  <c r="N41" i="5"/>
  <c r="AD10" i="5"/>
  <c r="AD9" i="4"/>
  <c r="AD9" i="5" s="1"/>
  <c r="AL21" i="5"/>
  <c r="N30" i="5"/>
  <c r="N29" i="5"/>
  <c r="AL51" i="5"/>
  <c r="AT51" i="4"/>
  <c r="AT51" i="5" s="1"/>
  <c r="N47" i="5"/>
  <c r="N32" i="5"/>
  <c r="N34" i="5"/>
  <c r="V41" i="4"/>
  <c r="AT41" i="4" s="1"/>
  <c r="AT41" i="5" s="1"/>
  <c r="F41" i="5"/>
  <c r="F15" i="5"/>
  <c r="V15" i="4"/>
  <c r="V15" i="5" s="1"/>
  <c r="AD28" i="5"/>
  <c r="F30" i="5"/>
  <c r="V30" i="4"/>
  <c r="V30" i="5" s="1"/>
  <c r="AL46" i="5"/>
  <c r="AT42" i="4"/>
  <c r="AT42" i="5" s="1"/>
  <c r="AL42" i="5"/>
  <c r="N23" i="5"/>
  <c r="S12" i="4"/>
  <c r="X12" i="4" s="1"/>
  <c r="X12" i="5" s="1"/>
  <c r="C12" i="5"/>
  <c r="N54" i="5"/>
  <c r="V48" i="4"/>
  <c r="V48" i="5" s="1"/>
  <c r="F48" i="5"/>
  <c r="V13" i="4"/>
  <c r="V13" i="5" s="1"/>
  <c r="F13" i="5"/>
  <c r="AL47" i="5"/>
  <c r="V27" i="4"/>
  <c r="F27" i="5"/>
  <c r="AD26" i="5"/>
  <c r="V22" i="4"/>
  <c r="AT22" i="4" s="1"/>
  <c r="AT22" i="5" s="1"/>
  <c r="F22" i="5"/>
  <c r="AM21" i="5"/>
  <c r="AU21" i="4"/>
  <c r="AU21" i="5" s="1"/>
  <c r="W34" i="4"/>
  <c r="W34" i="5" s="1"/>
  <c r="G34" i="5"/>
  <c r="AN43" i="4"/>
  <c r="AN43" i="5" s="1"/>
  <c r="AH43" i="5"/>
  <c r="W11" i="4"/>
  <c r="W11" i="5" s="1"/>
  <c r="G11" i="5"/>
  <c r="U22" i="4"/>
  <c r="U22" i="5" s="1"/>
  <c r="E22" i="5"/>
  <c r="AB24" i="5"/>
  <c r="O38" i="5"/>
  <c r="R23" i="4"/>
  <c r="R23" i="5" s="1"/>
  <c r="B23" i="5"/>
  <c r="H23" i="4"/>
  <c r="H23" i="5" s="1"/>
  <c r="Z19" i="5"/>
  <c r="AF19" i="4"/>
  <c r="AF19" i="5" s="1"/>
  <c r="Z43" i="5"/>
  <c r="AF43" i="4"/>
  <c r="AF43" i="5" s="1"/>
  <c r="AH56" i="5"/>
  <c r="AN56" i="4"/>
  <c r="AN56" i="5" s="1"/>
  <c r="AL40" i="5"/>
  <c r="L35" i="5"/>
  <c r="U35" i="4"/>
  <c r="E35" i="5"/>
  <c r="K16" i="5"/>
  <c r="R38" i="4"/>
  <c r="R38" i="5" s="1"/>
  <c r="B38" i="5"/>
  <c r="H38" i="4"/>
  <c r="H38" i="5" s="1"/>
  <c r="M54" i="5"/>
  <c r="U31" i="4"/>
  <c r="U31" i="5" s="1"/>
  <c r="E31" i="5"/>
  <c r="O21" i="5"/>
  <c r="T13" i="4"/>
  <c r="D13" i="5"/>
  <c r="L50" i="5"/>
  <c r="L49" i="4"/>
  <c r="L49" i="5" s="1"/>
  <c r="G13" i="5"/>
  <c r="W13" i="4"/>
  <c r="W13" i="5" s="1"/>
  <c r="J16" i="5"/>
  <c r="P16" i="4"/>
  <c r="P16" i="5" s="1"/>
  <c r="J49" i="4"/>
  <c r="J49" i="5" s="1"/>
  <c r="J50" i="5"/>
  <c r="P50" i="4"/>
  <c r="P50" i="5" s="1"/>
  <c r="AC56" i="5"/>
  <c r="Z56" i="5"/>
  <c r="AF56" i="4"/>
  <c r="AF56" i="5" s="1"/>
  <c r="AA45" i="5"/>
  <c r="AQ45" i="4"/>
  <c r="AQ45" i="5" s="1"/>
  <c r="M35" i="5"/>
  <c r="S44" i="4"/>
  <c r="C44" i="5"/>
  <c r="N45" i="5"/>
  <c r="B46" i="5"/>
  <c r="R46" i="4"/>
  <c r="X46" i="4" s="1"/>
  <c r="X46" i="5" s="1"/>
  <c r="H46" i="4"/>
  <c r="H46" i="5" s="1"/>
  <c r="M46" i="5"/>
  <c r="Z42" i="5"/>
  <c r="AF42" i="4"/>
  <c r="AF42" i="5" s="1"/>
  <c r="C33" i="5"/>
  <c r="S33" i="4"/>
  <c r="S33" i="5" s="1"/>
  <c r="W10" i="4"/>
  <c r="W10" i="5" s="1"/>
  <c r="G10" i="5"/>
  <c r="G9" i="4"/>
  <c r="Z17" i="5"/>
  <c r="AF17" i="4"/>
  <c r="AF17" i="5" s="1"/>
  <c r="AC19" i="5"/>
  <c r="K40" i="5"/>
  <c r="M48" i="5"/>
  <c r="M27" i="5"/>
  <c r="M56" i="5"/>
  <c r="U27" i="4"/>
  <c r="E27" i="5"/>
  <c r="AJ11" i="5"/>
  <c r="AE14" i="5"/>
  <c r="Z27" i="5"/>
  <c r="AF27" i="4"/>
  <c r="AF27" i="5" s="1"/>
  <c r="AA44" i="5"/>
  <c r="R39" i="4"/>
  <c r="AP39" i="4" s="1"/>
  <c r="AP39" i="5" s="1"/>
  <c r="B39" i="5"/>
  <c r="H39" i="4"/>
  <c r="H39" i="5" s="1"/>
  <c r="AK20" i="5"/>
  <c r="S21" i="4"/>
  <c r="S21" i="5" s="1"/>
  <c r="C21" i="5"/>
  <c r="AE30" i="5"/>
  <c r="O51" i="5"/>
  <c r="L25" i="5"/>
  <c r="AL32" i="5"/>
  <c r="F29" i="5"/>
  <c r="V29" i="4"/>
  <c r="AT29" i="4" s="1"/>
  <c r="AT29" i="5" s="1"/>
  <c r="AA13" i="5"/>
  <c r="V11" i="4"/>
  <c r="V11" i="5" s="1"/>
  <c r="F11" i="5"/>
  <c r="N55" i="5"/>
  <c r="AD22" i="5"/>
  <c r="V23" i="4"/>
  <c r="AT23" i="4" s="1"/>
  <c r="AT23" i="5" s="1"/>
  <c r="F23" i="5"/>
  <c r="AD14" i="5"/>
  <c r="AD46" i="5"/>
  <c r="U41" i="4"/>
  <c r="E41" i="5"/>
  <c r="O29" i="5"/>
  <c r="AI56" i="5"/>
  <c r="T55" i="4"/>
  <c r="T55" i="5" s="1"/>
  <c r="D55" i="5"/>
  <c r="W33" i="4"/>
  <c r="W33" i="5" s="1"/>
  <c r="G33" i="5"/>
  <c r="C37" i="5"/>
  <c r="S37" i="4"/>
  <c r="AC31" i="5"/>
  <c r="AA34" i="5"/>
  <c r="O55" i="5"/>
  <c r="AI24" i="5"/>
  <c r="AM28" i="5"/>
  <c r="AU28" i="4"/>
  <c r="AU28" i="5" s="1"/>
  <c r="AE55" i="5"/>
  <c r="AB39" i="5"/>
  <c r="AA38" i="5"/>
  <c r="AJ40" i="5"/>
  <c r="AJ19" i="5"/>
  <c r="D32" i="5"/>
  <c r="T32" i="4"/>
  <c r="AL22" i="5"/>
  <c r="J46" i="5"/>
  <c r="P46" i="4"/>
  <c r="P46" i="5" s="1"/>
  <c r="L55" i="5"/>
  <c r="W17" i="4"/>
  <c r="W17" i="5" s="1"/>
  <c r="G17" i="5"/>
  <c r="M26" i="5"/>
  <c r="AK12" i="5"/>
  <c r="M12" i="5"/>
  <c r="O14" i="5"/>
  <c r="G16" i="5"/>
  <c r="W16" i="4"/>
  <c r="W16" i="5" s="1"/>
  <c r="O16" i="5"/>
  <c r="AM44" i="5"/>
  <c r="AU44" i="4"/>
  <c r="AU44" i="5" s="1"/>
  <c r="B42" i="5"/>
  <c r="R42" i="4"/>
  <c r="H42" i="4"/>
  <c r="H42" i="5" s="1"/>
  <c r="O45" i="5"/>
  <c r="AK14" i="5"/>
  <c r="AM25" i="5"/>
  <c r="AA56" i="5"/>
  <c r="Z25" i="5"/>
  <c r="AF25" i="4"/>
  <c r="AF25" i="5" s="1"/>
  <c r="AH29" i="5"/>
  <c r="AN29" i="4"/>
  <c r="AN29" i="5" s="1"/>
  <c r="L41" i="5"/>
  <c r="L45" i="5"/>
  <c r="AF53" i="4"/>
  <c r="AF53" i="5" s="1"/>
  <c r="Z53" i="5"/>
  <c r="AK27" i="5"/>
  <c r="AA54" i="5"/>
  <c r="E52" i="5"/>
  <c r="U52" i="4"/>
  <c r="U52" i="5" s="1"/>
  <c r="AJ22" i="5"/>
  <c r="AR22" i="4"/>
  <c r="AR22" i="5" s="1"/>
  <c r="Z47" i="5"/>
  <c r="AF47" i="4"/>
  <c r="AF47" i="5" s="1"/>
  <c r="J51" i="5"/>
  <c r="P51" i="4"/>
  <c r="P51" i="5" s="1"/>
  <c r="T30" i="4"/>
  <c r="T30" i="5" s="1"/>
  <c r="D30" i="5"/>
  <c r="S16" i="4"/>
  <c r="S16" i="5" s="1"/>
  <c r="C16" i="5"/>
  <c r="AI16" i="5"/>
  <c r="AF11" i="4"/>
  <c r="AF11" i="5" s="1"/>
  <c r="Z11" i="5"/>
  <c r="Z48" i="5"/>
  <c r="AF48" i="4"/>
  <c r="AF48" i="5" s="1"/>
  <c r="AM14" i="5"/>
  <c r="AU14" i="4"/>
  <c r="AU14" i="5" s="1"/>
  <c r="AA46" i="5"/>
  <c r="AH11" i="5"/>
  <c r="AN11" i="4"/>
  <c r="AN11" i="5" s="1"/>
  <c r="AP11" i="4"/>
  <c r="AP11" i="5" s="1"/>
  <c r="L10" i="5"/>
  <c r="L9" i="4"/>
  <c r="D33" i="5"/>
  <c r="T33" i="4"/>
  <c r="AR33" i="4" s="1"/>
  <c r="AR33" i="5" s="1"/>
  <c r="AB11" i="5"/>
  <c r="B37" i="5"/>
  <c r="R37" i="4"/>
  <c r="H37" i="4"/>
  <c r="H37" i="5" s="1"/>
  <c r="M28" i="5"/>
  <c r="AM31" i="5"/>
  <c r="K36" i="5"/>
  <c r="K26" i="5"/>
  <c r="AE32" i="5"/>
  <c r="Z15" i="5"/>
  <c r="AF15" i="4"/>
  <c r="AF15" i="5" s="1"/>
  <c r="Z13" i="5"/>
  <c r="AF13" i="4"/>
  <c r="AF13" i="5" s="1"/>
  <c r="AI35" i="5"/>
  <c r="Z18" i="5"/>
  <c r="AF18" i="4"/>
  <c r="AF18" i="5" s="1"/>
  <c r="AE36" i="5"/>
  <c r="AM33" i="5"/>
  <c r="AU33" i="4"/>
  <c r="AU33" i="5" s="1"/>
  <c r="AB36" i="5"/>
  <c r="M30" i="5"/>
  <c r="L21" i="5"/>
  <c r="C34" i="5"/>
  <c r="S34" i="4"/>
  <c r="AJ12" i="5"/>
  <c r="M16" i="5"/>
  <c r="L46" i="5"/>
  <c r="T24" i="4"/>
  <c r="T24" i="5" s="1"/>
  <c r="D24" i="5"/>
  <c r="L34" i="5"/>
  <c r="B26" i="5"/>
  <c r="R26" i="4"/>
  <c r="R26" i="5" s="1"/>
  <c r="H26" i="4"/>
  <c r="H26" i="5" s="1"/>
  <c r="AC12" i="5"/>
  <c r="AL54" i="5"/>
  <c r="E11" i="5"/>
  <c r="U11" i="4"/>
  <c r="U11" i="5" s="1"/>
  <c r="W19" i="4"/>
  <c r="W19" i="5" s="1"/>
  <c r="G19" i="5"/>
  <c r="Z55" i="5"/>
  <c r="AF55" i="4"/>
  <c r="AF55" i="5" s="1"/>
  <c r="D16" i="5"/>
  <c r="T16" i="4"/>
  <c r="T16" i="5" s="1"/>
  <c r="O30" i="5"/>
  <c r="AM43" i="5"/>
  <c r="AU43" i="4"/>
  <c r="AU43" i="5" s="1"/>
  <c r="AM17" i="5"/>
  <c r="K10" i="5"/>
  <c r="K9" i="4"/>
  <c r="K9" i="5" s="1"/>
  <c r="AD23" i="5"/>
  <c r="AA51" i="5"/>
  <c r="AA16" i="5"/>
  <c r="K41" i="5"/>
  <c r="Z26" i="5"/>
  <c r="AF26" i="4"/>
  <c r="AF26" i="5" s="1"/>
  <c r="AN23" i="4"/>
  <c r="AN23" i="5" s="1"/>
  <c r="AH23" i="5"/>
  <c r="AM37" i="5"/>
  <c r="AU37" i="4"/>
  <c r="AU37" i="5" s="1"/>
  <c r="AK46" i="5"/>
  <c r="AS46" i="4"/>
  <c r="AS46" i="5" s="1"/>
  <c r="D50" i="5"/>
  <c r="T50" i="4"/>
  <c r="AR50" i="4" s="1"/>
  <c r="AR50" i="5" s="1"/>
  <c r="D49" i="4"/>
  <c r="G22" i="5"/>
  <c r="W22" i="4"/>
  <c r="W22" i="5" s="1"/>
  <c r="D54" i="5"/>
  <c r="T54" i="4"/>
  <c r="AJ32" i="5"/>
  <c r="C10" i="5"/>
  <c r="S10" i="4"/>
  <c r="S10" i="5" s="1"/>
  <c r="C9" i="4"/>
  <c r="L48" i="5"/>
  <c r="L14" i="5"/>
  <c r="L19" i="5"/>
  <c r="T41" i="4"/>
  <c r="T41" i="5" s="1"/>
  <c r="D41" i="5"/>
  <c r="AC40" i="5"/>
  <c r="AM22" i="5"/>
  <c r="O54" i="5"/>
  <c r="U20" i="4"/>
  <c r="AS20" i="4" s="1"/>
  <c r="AS20" i="5" s="1"/>
  <c r="E20" i="5"/>
  <c r="R40" i="4"/>
  <c r="R40" i="5" s="1"/>
  <c r="B40" i="5"/>
  <c r="H40" i="4"/>
  <c r="H40" i="5" s="1"/>
  <c r="M49" i="4"/>
  <c r="M49" i="5" s="1"/>
  <c r="M50" i="5"/>
  <c r="D11" i="5"/>
  <c r="T11" i="4"/>
  <c r="T11" i="5" s="1"/>
  <c r="J52" i="5"/>
  <c r="P52" i="4"/>
  <c r="P52" i="5" s="1"/>
  <c r="J15" i="5"/>
  <c r="P15" i="4"/>
  <c r="P15" i="5" s="1"/>
  <c r="AA29" i="5"/>
  <c r="AA12" i="5"/>
  <c r="AI42" i="5"/>
  <c r="K54" i="5"/>
  <c r="AC53" i="5"/>
  <c r="AL39" i="5"/>
  <c r="J21" i="5"/>
  <c r="P21" i="4"/>
  <c r="P21" i="5" s="1"/>
  <c r="R16" i="4"/>
  <c r="AP16" i="4" s="1"/>
  <c r="AP16" i="5" s="1"/>
  <c r="H16" i="4"/>
  <c r="H16" i="5" s="1"/>
  <c r="B16" i="5"/>
  <c r="S38" i="4"/>
  <c r="C38" i="5"/>
  <c r="L27" i="5"/>
  <c r="AN18" i="4"/>
  <c r="AN18" i="5" s="1"/>
  <c r="AH18" i="5"/>
  <c r="R12" i="4"/>
  <c r="R12" i="5" s="1"/>
  <c r="B12" i="5"/>
  <c r="H12" i="4"/>
  <c r="H12" i="5" s="1"/>
  <c r="L29" i="5"/>
  <c r="C55" i="5"/>
  <c r="S55" i="4"/>
  <c r="S55" i="5" s="1"/>
  <c r="U28" i="4"/>
  <c r="E28" i="5"/>
  <c r="M19" i="5"/>
  <c r="AB25" i="5"/>
  <c r="AL28" i="5"/>
  <c r="AE43" i="5"/>
  <c r="D28" i="5"/>
  <c r="T28" i="4"/>
  <c r="AL34" i="5"/>
  <c r="AT34" i="4"/>
  <c r="AT34" i="5" s="1"/>
  <c r="L56" i="5"/>
  <c r="O32" i="5"/>
  <c r="AJ27" i="5"/>
  <c r="AH22" i="5"/>
  <c r="AN22" i="4"/>
  <c r="AN22" i="5" s="1"/>
  <c r="AA32" i="5"/>
  <c r="AN26" i="4"/>
  <c r="AN26" i="5" s="1"/>
  <c r="AH26" i="5"/>
  <c r="AA14" i="5"/>
  <c r="K53" i="5"/>
  <c r="AA20" i="5"/>
  <c r="O44" i="5"/>
  <c r="W41" i="4"/>
  <c r="W41" i="5" s="1"/>
  <c r="G41" i="5"/>
  <c r="D35" i="5"/>
  <c r="T35" i="4"/>
  <c r="T35" i="5" s="1"/>
  <c r="C54" i="5"/>
  <c r="S54" i="4"/>
  <c r="S54" i="5" s="1"/>
  <c r="B32" i="5"/>
  <c r="R32" i="4"/>
  <c r="H32" i="4"/>
  <c r="H32" i="5" s="1"/>
  <c r="W55" i="4"/>
  <c r="W55" i="5" s="1"/>
  <c r="G55" i="5"/>
  <c r="C15" i="5"/>
  <c r="S15" i="4"/>
  <c r="AC28" i="5"/>
  <c r="AM10" i="5"/>
  <c r="AM9" i="4"/>
  <c r="AU10" i="4"/>
  <c r="AU10" i="5" s="1"/>
  <c r="M53" i="5"/>
  <c r="M17" i="5"/>
  <c r="J40" i="5"/>
  <c r="P40" i="4"/>
  <c r="P40" i="5" s="1"/>
  <c r="L20" i="5"/>
  <c r="L39" i="5"/>
  <c r="AA53" i="5"/>
  <c r="AI22" i="5"/>
  <c r="AA21" i="5"/>
  <c r="AE27" i="5"/>
  <c r="AA49" i="4"/>
  <c r="AA49" i="5" s="1"/>
  <c r="AA50" i="5"/>
  <c r="L37" i="5"/>
  <c r="D17" i="5"/>
  <c r="T17" i="4"/>
  <c r="T17" i="5" s="1"/>
  <c r="AC36" i="5"/>
  <c r="R44" i="4"/>
  <c r="R44" i="5" s="1"/>
  <c r="B44" i="5"/>
  <c r="H44" i="4"/>
  <c r="H44" i="5" s="1"/>
  <c r="AM23" i="5"/>
  <c r="AU23" i="4"/>
  <c r="AU23" i="5" s="1"/>
  <c r="W25" i="4"/>
  <c r="W25" i="5" s="1"/>
  <c r="G25" i="5"/>
  <c r="AI48" i="5"/>
  <c r="AQ48" i="4"/>
  <c r="AQ48" i="5" s="1"/>
  <c r="AJ42" i="5"/>
  <c r="AH38" i="5"/>
  <c r="AN38" i="4"/>
  <c r="AN38" i="5" s="1"/>
  <c r="O11" i="5"/>
  <c r="B50" i="5"/>
  <c r="R50" i="4"/>
  <c r="R50" i="5" s="1"/>
  <c r="B49" i="4"/>
  <c r="H50" i="4"/>
  <c r="H50" i="5" s="1"/>
  <c r="AK26" i="5"/>
  <c r="AL19" i="5"/>
  <c r="AJ48" i="5"/>
  <c r="AD43" i="5"/>
  <c r="AK33" i="5"/>
  <c r="AI30" i="5"/>
  <c r="AQ30" i="4"/>
  <c r="AQ30" i="5" s="1"/>
  <c r="C26" i="5"/>
  <c r="S26" i="4"/>
  <c r="S26" i="5" s="1"/>
  <c r="D34" i="5"/>
  <c r="T34" i="4"/>
  <c r="AR34" i="4" s="1"/>
  <c r="AR34" i="5" s="1"/>
  <c r="Z12" i="5"/>
  <c r="AF12" i="4"/>
  <c r="AF12" i="5" s="1"/>
  <c r="J35" i="5"/>
  <c r="P35" i="4"/>
  <c r="P35" i="5" s="1"/>
  <c r="AC51" i="5"/>
  <c r="AE11" i="5"/>
  <c r="K20" i="5"/>
  <c r="AA33" i="5"/>
  <c r="AI10" i="5"/>
  <c r="AI9" i="4"/>
  <c r="AK51" i="5"/>
  <c r="AE38" i="5"/>
  <c r="U55" i="4"/>
  <c r="U55" i="5" s="1"/>
  <c r="E55" i="5"/>
  <c r="L22" i="5"/>
  <c r="C32" i="5"/>
  <c r="S32" i="4"/>
  <c r="J17" i="5"/>
  <c r="P17" i="4"/>
  <c r="P17" i="5" s="1"/>
  <c r="L24" i="5"/>
  <c r="O27" i="5"/>
  <c r="D36" i="5"/>
  <c r="T36" i="4"/>
  <c r="L30" i="5"/>
  <c r="J34" i="5"/>
  <c r="P34" i="4"/>
  <c r="P34" i="5" s="1"/>
  <c r="AH24" i="5"/>
  <c r="AN24" i="4"/>
  <c r="AN24" i="5" s="1"/>
  <c r="AP24" i="4"/>
  <c r="AP24" i="5" s="1"/>
  <c r="J43" i="5"/>
  <c r="P43" i="4"/>
  <c r="P43" i="5" s="1"/>
  <c r="B51" i="5"/>
  <c r="R51" i="4"/>
  <c r="R51" i="5" s="1"/>
  <c r="H51" i="4"/>
  <c r="H51" i="5" s="1"/>
  <c r="J20" i="5"/>
  <c r="P20" i="4"/>
  <c r="P20" i="5" s="1"/>
  <c r="O33" i="5"/>
  <c r="O52" i="5"/>
  <c r="Z28" i="5"/>
  <c r="AF28" i="4"/>
  <c r="AF28" i="5" s="1"/>
  <c r="AM35" i="5"/>
  <c r="AI23" i="5"/>
  <c r="AE21" i="5"/>
  <c r="AJ13" i="5"/>
  <c r="AL44" i="5"/>
  <c r="Z38" i="5"/>
  <c r="AF38" i="4"/>
  <c r="AF38" i="5" s="1"/>
  <c r="AH27" i="5"/>
  <c r="AN27" i="4"/>
  <c r="AN27" i="5" s="1"/>
  <c r="AM46" i="5"/>
  <c r="AC42" i="5"/>
  <c r="O12" i="5"/>
  <c r="B18" i="5"/>
  <c r="H18" i="4"/>
  <c r="H18" i="5" s="1"/>
  <c r="R18" i="4"/>
  <c r="C30" i="5"/>
  <c r="S30" i="4"/>
  <c r="S30" i="5" s="1"/>
  <c r="AS11" i="4"/>
  <c r="AS11" i="5" s="1"/>
  <c r="AK11" i="5"/>
  <c r="B11" i="5"/>
  <c r="R11" i="4"/>
  <c r="R11" i="5" s="1"/>
  <c r="H11" i="4"/>
  <c r="H11" i="5" s="1"/>
  <c r="M24" i="5"/>
  <c r="G48" i="5"/>
  <c r="W48" i="4"/>
  <c r="W48" i="5" s="1"/>
  <c r="T51" i="4"/>
  <c r="T51" i="5" s="1"/>
  <c r="D51" i="5"/>
  <c r="T23" i="4"/>
  <c r="D23" i="5"/>
  <c r="AD19" i="5"/>
  <c r="AM30" i="5"/>
  <c r="AU30" i="4"/>
  <c r="AU30" i="5" s="1"/>
  <c r="O26" i="5"/>
  <c r="W53" i="4"/>
  <c r="W53" i="5" s="1"/>
  <c r="G53" i="5"/>
  <c r="B9" i="4"/>
  <c r="B9" i="5" s="1"/>
  <c r="B10" i="5"/>
  <c r="R10" i="4"/>
  <c r="H10" i="4"/>
  <c r="H10" i="5" s="1"/>
  <c r="W39" i="4"/>
  <c r="W39" i="5" s="1"/>
  <c r="G39" i="5"/>
  <c r="D37" i="5"/>
  <c r="T37" i="4"/>
  <c r="AE51" i="5"/>
  <c r="AJ17" i="5"/>
  <c r="AC50" i="5"/>
  <c r="AC49" i="4"/>
  <c r="AC49" i="5" s="1"/>
  <c r="K30" i="5"/>
  <c r="AH13" i="5"/>
  <c r="AN13" i="4"/>
  <c r="AN13" i="5" s="1"/>
  <c r="AC18" i="5"/>
  <c r="D38" i="5"/>
  <c r="T38" i="4"/>
  <c r="T38" i="5" s="1"/>
  <c r="C53" i="5"/>
  <c r="S53" i="4"/>
  <c r="B41" i="5"/>
  <c r="R41" i="4"/>
  <c r="R41" i="5" s="1"/>
  <c r="H41" i="4"/>
  <c r="H41" i="5" s="1"/>
  <c r="M33" i="5"/>
  <c r="U45" i="4"/>
  <c r="U45" i="5" s="1"/>
  <c r="E45" i="5"/>
  <c r="E44" i="5"/>
  <c r="U44" i="4"/>
  <c r="L16" i="5"/>
  <c r="K46" i="5"/>
  <c r="AH50" i="5"/>
  <c r="AN50" i="4"/>
  <c r="AN50" i="5" s="1"/>
  <c r="AH49" i="4"/>
  <c r="AH49" i="5" s="1"/>
  <c r="Z41" i="5"/>
  <c r="AF41" i="4"/>
  <c r="AF41" i="5" s="1"/>
  <c r="D20" i="5"/>
  <c r="T20" i="4"/>
  <c r="AR20" i="4" s="1"/>
  <c r="AR20" i="5" s="1"/>
  <c r="J32" i="5"/>
  <c r="P32" i="4"/>
  <c r="P32" i="5" s="1"/>
  <c r="O13" i="5"/>
  <c r="C29" i="5"/>
  <c r="S29" i="4"/>
  <c r="S29" i="5" s="1"/>
  <c r="AA15" i="5"/>
  <c r="AI37" i="5"/>
  <c r="AA43" i="5"/>
  <c r="AM32" i="5"/>
  <c r="AC30" i="5"/>
  <c r="AL43" i="5"/>
  <c r="AT43" i="4"/>
  <c r="AT43" i="5" s="1"/>
  <c r="G51" i="5"/>
  <c r="W51" i="4"/>
  <c r="W51" i="5" s="1"/>
  <c r="U17" i="4"/>
  <c r="E17" i="5"/>
  <c r="AI53" i="5"/>
  <c r="M22" i="5"/>
  <c r="M51" i="5"/>
  <c r="AC17" i="5"/>
  <c r="AM41" i="5"/>
  <c r="AU41" i="4"/>
  <c r="AU41" i="5" s="1"/>
  <c r="J25" i="5"/>
  <c r="P25" i="4"/>
  <c r="P25" i="5" s="1"/>
  <c r="M14" i="5"/>
  <c r="B28" i="5"/>
  <c r="R28" i="4"/>
  <c r="H28" i="4"/>
  <c r="H28" i="5" s="1"/>
  <c r="R56" i="4"/>
  <c r="R56" i="5" s="1"/>
  <c r="B56" i="5"/>
  <c r="H56" i="4"/>
  <c r="H56" i="5" s="1"/>
  <c r="AC37" i="5"/>
  <c r="AC14" i="5"/>
  <c r="AJ37" i="5"/>
  <c r="AE17" i="5"/>
  <c r="AH41" i="5"/>
  <c r="AN41" i="4"/>
  <c r="AN41" i="5" s="1"/>
  <c r="AP41" i="4"/>
  <c r="AP41" i="5" s="1"/>
  <c r="M38" i="5"/>
  <c r="O37" i="5"/>
  <c r="J19" i="5"/>
  <c r="P19" i="4"/>
  <c r="P19" i="5" s="1"/>
  <c r="W12" i="4"/>
  <c r="W12" i="5" s="1"/>
  <c r="G12" i="5"/>
  <c r="G56" i="5"/>
  <c r="W56" i="4"/>
  <c r="W56" i="5" s="1"/>
  <c r="AA48" i="5"/>
  <c r="AB14" i="5"/>
  <c r="AJ21" i="5"/>
  <c r="AC32" i="5"/>
  <c r="Z44" i="5"/>
  <c r="AF44" i="4"/>
  <c r="AF44" i="5" s="1"/>
  <c r="AC15" i="5"/>
  <c r="AK15" i="5"/>
  <c r="J33" i="5"/>
  <c r="P33" i="4"/>
  <c r="P33" i="5" s="1"/>
  <c r="AB40" i="5"/>
  <c r="AJ33" i="5"/>
  <c r="AB51" i="5"/>
  <c r="AL50" i="5"/>
  <c r="AL49" i="4"/>
  <c r="AL49" i="5" s="1"/>
  <c r="C51" i="5"/>
  <c r="S51" i="4"/>
  <c r="S51" i="5" s="1"/>
  <c r="L13" i="5"/>
  <c r="K15" i="5"/>
  <c r="C23" i="5"/>
  <c r="S23" i="4"/>
  <c r="M34" i="5"/>
  <c r="S28" i="4"/>
  <c r="S28" i="5" s="1"/>
  <c r="C28" i="5"/>
  <c r="S48" i="4"/>
  <c r="S48" i="5" s="1"/>
  <c r="C48" i="5"/>
  <c r="B25" i="5"/>
  <c r="R25" i="4"/>
  <c r="R25" i="5" s="1"/>
  <c r="H25" i="4"/>
  <c r="H25" i="5" s="1"/>
  <c r="Z23" i="5"/>
  <c r="AF23" i="4"/>
  <c r="AF23" i="5" s="1"/>
  <c r="AI31" i="5"/>
  <c r="AE37" i="5"/>
  <c r="C39" i="5"/>
  <c r="S39" i="4"/>
  <c r="Z33" i="5"/>
  <c r="AF33" i="4"/>
  <c r="AF33" i="5" s="1"/>
  <c r="R27" i="4"/>
  <c r="B27" i="5"/>
  <c r="H27" i="4"/>
  <c r="H27" i="5" s="1"/>
  <c r="T52" i="4"/>
  <c r="D52" i="5"/>
  <c r="AB10" i="5"/>
  <c r="AB9" i="4"/>
  <c r="AA19" i="5"/>
  <c r="K29" i="5"/>
  <c r="AJ49" i="4"/>
  <c r="AJ49" i="5" s="1"/>
  <c r="AJ50" i="5"/>
  <c r="J26" i="5"/>
  <c r="P26" i="4"/>
  <c r="P26" i="5" s="1"/>
  <c r="AB18" i="5"/>
  <c r="AK39" i="5"/>
  <c r="J41" i="5"/>
  <c r="P41" i="4"/>
  <c r="P41" i="5" s="1"/>
  <c r="AB49" i="4"/>
  <c r="AB49" i="5" s="1"/>
  <c r="AB50" i="5"/>
  <c r="AJ51" i="5"/>
  <c r="AE13" i="5"/>
  <c r="AH34" i="5"/>
  <c r="AN34" i="4"/>
  <c r="AN34" i="5" s="1"/>
  <c r="O9" i="4"/>
  <c r="O10" i="5"/>
  <c r="B35" i="5"/>
  <c r="R35" i="4"/>
  <c r="R35" i="5" s="1"/>
  <c r="H35" i="4"/>
  <c r="H35" i="5" s="1"/>
  <c r="K39" i="5"/>
  <c r="M9" i="4"/>
  <c r="M9" i="5" s="1"/>
  <c r="M10" i="5"/>
  <c r="T43" i="4"/>
  <c r="T43" i="5" s="1"/>
  <c r="D43" i="5"/>
  <c r="M40" i="5"/>
  <c r="C36" i="5"/>
  <c r="S36" i="4"/>
  <c r="B52" i="5"/>
  <c r="R52" i="4"/>
  <c r="R52" i="5" s="1"/>
  <c r="H52" i="4"/>
  <c r="H52" i="5" s="1"/>
  <c r="AA18" i="5"/>
  <c r="AJ10" i="5"/>
  <c r="AJ9" i="4"/>
  <c r="AJ9" i="5" s="1"/>
  <c r="AR10" i="4"/>
  <c r="AR10" i="5" s="1"/>
  <c r="AK17" i="5"/>
  <c r="M21" i="5"/>
  <c r="AB19" i="5"/>
  <c r="T39" i="4"/>
  <c r="AR39" i="4" s="1"/>
  <c r="AR39" i="5" s="1"/>
  <c r="D39" i="5"/>
  <c r="M52" i="5"/>
  <c r="AE18" i="5"/>
  <c r="AE15" i="5"/>
  <c r="AB56" i="5"/>
  <c r="AJ35" i="5"/>
  <c r="AE22" i="5"/>
  <c r="AB28" i="5"/>
  <c r="AA55" i="5"/>
  <c r="AI34" i="5"/>
  <c r="J30" i="5"/>
  <c r="P30" i="4"/>
  <c r="P30" i="5" s="1"/>
  <c r="AL15" i="5"/>
  <c r="D26" i="5"/>
  <c r="T26" i="4"/>
  <c r="O42" i="5"/>
  <c r="J36" i="5"/>
  <c r="P36" i="4"/>
  <c r="P36" i="5" s="1"/>
  <c r="AA41" i="5"/>
  <c r="U14" i="4"/>
  <c r="E14" i="5"/>
  <c r="M13" i="5"/>
  <c r="L26" i="5"/>
  <c r="E24" i="5"/>
  <c r="U24" i="4"/>
  <c r="U24" i="5" s="1"/>
  <c r="K33" i="5"/>
  <c r="AH28" i="5"/>
  <c r="AN28" i="4"/>
  <c r="AN28" i="5" s="1"/>
  <c r="AE28" i="5"/>
  <c r="E23" i="5"/>
  <c r="U23" i="4"/>
  <c r="J24" i="5"/>
  <c r="P24" i="4"/>
  <c r="P24" i="5" s="1"/>
  <c r="T21" i="4"/>
  <c r="T21" i="5" s="1"/>
  <c r="D21" i="5"/>
  <c r="C35" i="5"/>
  <c r="S35" i="4"/>
  <c r="Z32" i="5"/>
  <c r="AF32" i="4"/>
  <c r="AF32" i="5" s="1"/>
  <c r="AE56" i="5"/>
  <c r="AA25" i="5"/>
  <c r="AB31" i="5"/>
  <c r="Z34" i="5"/>
  <c r="AF34" i="4"/>
  <c r="AF34" i="5" s="1"/>
  <c r="K14" i="5"/>
  <c r="AI17" i="5"/>
  <c r="AQ17" i="4"/>
  <c r="AQ17" i="5" s="1"/>
  <c r="O43" i="5"/>
  <c r="M55" i="5"/>
  <c r="D44" i="5"/>
  <c r="T44" i="4"/>
  <c r="W29" i="4"/>
  <c r="W29" i="5" s="1"/>
  <c r="G29" i="5"/>
  <c r="T27" i="4"/>
  <c r="T27" i="5" s="1"/>
  <c r="D27" i="5"/>
  <c r="R20" i="4"/>
  <c r="R20" i="5" s="1"/>
  <c r="B20" i="5"/>
  <c r="H20" i="4"/>
  <c r="H20" i="5" s="1"/>
  <c r="M31" i="5"/>
  <c r="Z39" i="5"/>
  <c r="AF39" i="4"/>
  <c r="AF39" i="5" s="1"/>
  <c r="AI39" i="5"/>
  <c r="AI18" i="5"/>
  <c r="AQ18" i="4"/>
  <c r="AQ18" i="5" s="1"/>
  <c r="E47" i="5"/>
  <c r="U47" i="4"/>
  <c r="U47" i="5" s="1"/>
  <c r="AA36" i="5"/>
  <c r="O48" i="5"/>
  <c r="B17" i="5"/>
  <c r="R17" i="4"/>
  <c r="H17" i="4"/>
  <c r="H17" i="5" s="1"/>
  <c r="AB47" i="5"/>
  <c r="Z51" i="5"/>
  <c r="AF51" i="4"/>
  <c r="AF51" i="5" s="1"/>
  <c r="AK34" i="5"/>
  <c r="AB38" i="5"/>
  <c r="AJ26" i="5"/>
  <c r="K55" i="5"/>
  <c r="G15" i="5"/>
  <c r="W15" i="4"/>
  <c r="W15" i="5" s="1"/>
  <c r="O35" i="5"/>
  <c r="AM18" i="5"/>
  <c r="AU18" i="4"/>
  <c r="AU18" i="5" s="1"/>
  <c r="E32" i="5"/>
  <c r="U32" i="4"/>
  <c r="R15" i="4"/>
  <c r="R15" i="5" s="1"/>
  <c r="B15" i="5"/>
  <c r="H15" i="4"/>
  <c r="H15" i="5" s="1"/>
  <c r="AK42" i="5"/>
  <c r="AK19" i="5"/>
  <c r="AE24" i="5"/>
  <c r="M39" i="5"/>
  <c r="O19" i="5"/>
  <c r="AA31" i="5"/>
  <c r="AC10" i="5"/>
  <c r="AC9" i="4"/>
  <c r="AC9" i="5" s="1"/>
  <c r="AC20" i="5"/>
  <c r="AH16" i="5"/>
  <c r="AN16" i="4"/>
  <c r="AN16" i="5" s="1"/>
  <c r="AM51" i="5"/>
  <c r="AC35" i="5"/>
  <c r="G44" i="5"/>
  <c r="W44" i="4"/>
  <c r="W44" i="5" s="1"/>
  <c r="C45" i="5"/>
  <c r="S45" i="4"/>
  <c r="S45" i="5" s="1"/>
  <c r="AB34" i="5"/>
  <c r="W21" i="4"/>
  <c r="W21" i="5" s="1"/>
  <c r="G21" i="5"/>
  <c r="D40" i="5"/>
  <c r="T40" i="4"/>
  <c r="T40" i="5" s="1"/>
  <c r="U39" i="4"/>
  <c r="E39" i="5"/>
  <c r="R54" i="4"/>
  <c r="R54" i="5" s="1"/>
  <c r="B54" i="5"/>
  <c r="H54" i="4"/>
  <c r="H54" i="5" s="1"/>
  <c r="B53" i="5"/>
  <c r="R53" i="4"/>
  <c r="R53" i="5" s="1"/>
  <c r="H53" i="4"/>
  <c r="H53" i="5" s="1"/>
  <c r="G52" i="5"/>
  <c r="W52" i="4"/>
  <c r="W52" i="5" s="1"/>
  <c r="T47" i="4"/>
  <c r="D47" i="5"/>
  <c r="AA42" i="5"/>
  <c r="AE46" i="5"/>
  <c r="AK25" i="5"/>
  <c r="Z22" i="5"/>
  <c r="AF22" i="4"/>
  <c r="AF22" i="5" s="1"/>
  <c r="AH19" i="5"/>
  <c r="AN19" i="4"/>
  <c r="AN19" i="5" s="1"/>
  <c r="AP19" i="4"/>
  <c r="AP19" i="5" s="1"/>
  <c r="O28" i="5"/>
  <c r="W35" i="4"/>
  <c r="W35" i="5" s="1"/>
  <c r="G35" i="5"/>
  <c r="T19" i="4"/>
  <c r="D19" i="5"/>
  <c r="AK43" i="5"/>
  <c r="M43" i="5"/>
  <c r="C25" i="5"/>
  <c r="S25" i="4"/>
  <c r="M41" i="5"/>
  <c r="O53" i="5"/>
  <c r="J23" i="5"/>
  <c r="P23" i="4"/>
  <c r="P23" i="5" s="1"/>
  <c r="AI40" i="5"/>
  <c r="AK48" i="5"/>
  <c r="Z50" i="5"/>
  <c r="Z49" i="4"/>
  <c r="Z49" i="5" s="1"/>
  <c r="AF50" i="4"/>
  <c r="AF50" i="5" s="1"/>
  <c r="AN44" i="4"/>
  <c r="AN44" i="5" s="1"/>
  <c r="AH44" i="5"/>
  <c r="AE44" i="5"/>
  <c r="AI43" i="5"/>
  <c r="AM11" i="5"/>
  <c r="AU11" i="4"/>
  <c r="AU11" i="5" s="1"/>
  <c r="AC47" i="5"/>
  <c r="AI25" i="5"/>
  <c r="AL35" i="5"/>
  <c r="AH31" i="5"/>
  <c r="AN31" i="4"/>
  <c r="AN31" i="5" s="1"/>
  <c r="AP31" i="4"/>
  <c r="AP31" i="5" s="1"/>
  <c r="L40" i="5"/>
  <c r="G40" i="5"/>
  <c r="W40" i="4"/>
  <c r="W40" i="5" s="1"/>
  <c r="G38" i="5"/>
  <c r="W38" i="4"/>
  <c r="W38" i="5" s="1"/>
  <c r="B30" i="5"/>
  <c r="R30" i="4"/>
  <c r="R30" i="5" s="1"/>
  <c r="H30" i="4"/>
  <c r="H30" i="5" s="1"/>
  <c r="L36" i="5"/>
  <c r="E46" i="5"/>
  <c r="U46" i="4"/>
  <c r="U46" i="5" s="1"/>
  <c r="K51" i="5"/>
  <c r="AB37" i="5"/>
  <c r="AI15" i="5"/>
  <c r="AL36" i="5"/>
  <c r="K35" i="5"/>
  <c r="W45" i="4"/>
  <c r="G45" i="5"/>
  <c r="E26" i="5"/>
  <c r="U26" i="4"/>
  <c r="M23" i="5"/>
  <c r="K31" i="5"/>
  <c r="AJ44" i="5"/>
  <c r="C14" i="5"/>
  <c r="S14" i="4"/>
  <c r="L32" i="5"/>
  <c r="C13" i="5"/>
  <c r="S13" i="4"/>
  <c r="S13" i="5" s="1"/>
  <c r="U16" i="4"/>
  <c r="U16" i="5" s="1"/>
  <c r="E16" i="5"/>
  <c r="AA23" i="5"/>
  <c r="AK22" i="5"/>
  <c r="AH55" i="5"/>
  <c r="AN55" i="4"/>
  <c r="AN55" i="5" s="1"/>
  <c r="AM26" i="5"/>
  <c r="AU26" i="4"/>
  <c r="AU26" i="5" s="1"/>
  <c r="AH33" i="5"/>
  <c r="AN33" i="4"/>
  <c r="AN33" i="5" s="1"/>
  <c r="K48" i="5"/>
  <c r="AJ46" i="5"/>
  <c r="AE26" i="5"/>
  <c r="AC13" i="5"/>
  <c r="AH39" i="5"/>
  <c r="AN39" i="4"/>
  <c r="AN39" i="5" s="1"/>
  <c r="AB52" i="5"/>
  <c r="AM16" i="5"/>
  <c r="AU16" i="4"/>
  <c r="AU16" i="5" s="1"/>
  <c r="S47" i="4"/>
  <c r="S47" i="5" s="1"/>
  <c r="C47" i="5"/>
  <c r="L31" i="5"/>
  <c r="C40" i="5"/>
  <c r="S40" i="4"/>
  <c r="E53" i="5"/>
  <c r="U53" i="4"/>
  <c r="U53" i="5" s="1"/>
  <c r="S43" i="4"/>
  <c r="C43" i="5"/>
  <c r="O36" i="5"/>
  <c r="L42" i="5"/>
  <c r="U15" i="4"/>
  <c r="E15" i="5"/>
  <c r="U19" i="4"/>
  <c r="E19" i="5"/>
  <c r="Z36" i="5"/>
  <c r="AF36" i="4"/>
  <c r="AF36" i="5" s="1"/>
  <c r="AH17" i="5"/>
  <c r="AN17" i="4"/>
  <c r="AN17" i="5" s="1"/>
  <c r="AJ31" i="5"/>
  <c r="AR31" i="4"/>
  <c r="AR31" i="5" s="1"/>
  <c r="AM55" i="5"/>
  <c r="AU55" i="4"/>
  <c r="AU55" i="5" s="1"/>
  <c r="AE23" i="5"/>
  <c r="K44" i="5"/>
  <c r="AK28" i="5"/>
  <c r="AN40" i="4"/>
  <c r="AN40" i="5" s="1"/>
  <c r="AH40" i="5"/>
  <c r="AB35" i="5"/>
  <c r="AE42" i="5"/>
  <c r="AM34" i="5"/>
  <c r="AU34" i="4"/>
  <c r="AU34" i="5" s="1"/>
  <c r="AE34" i="5"/>
  <c r="AB44" i="5"/>
  <c r="AB41" i="5"/>
  <c r="AM48" i="5"/>
  <c r="AU48" i="4"/>
  <c r="AU48" i="5" s="1"/>
  <c r="J22" i="5"/>
  <c r="P22" i="4"/>
  <c r="P22" i="5" s="1"/>
  <c r="J10" i="5"/>
  <c r="J9" i="4"/>
  <c r="P9" i="4" s="1"/>
  <c r="P9" i="5" s="1"/>
  <c r="P10" i="4"/>
  <c r="P10" i="5" s="1"/>
  <c r="P45" i="4"/>
  <c r="P45" i="5" s="1"/>
  <c r="J45" i="5"/>
  <c r="AC33" i="5"/>
  <c r="AB30" i="5"/>
  <c r="AL26" i="5"/>
  <c r="AE33" i="5"/>
  <c r="AB46" i="5"/>
  <c r="M15" i="5"/>
  <c r="D29" i="5"/>
  <c r="T29" i="4"/>
  <c r="T29" i="5" s="1"/>
  <c r="W36" i="4"/>
  <c r="W36" i="5" s="1"/>
  <c r="G36" i="5"/>
  <c r="M25" i="5"/>
  <c r="G47" i="5"/>
  <c r="W47" i="4"/>
  <c r="W47" i="5" s="1"/>
  <c r="L18" i="5"/>
  <c r="O47" i="5"/>
  <c r="E12" i="5"/>
  <c r="U12" i="4"/>
  <c r="U12" i="5" s="1"/>
  <c r="D25" i="5"/>
  <c r="T25" i="4"/>
  <c r="AA39" i="5"/>
  <c r="AI20" i="5"/>
  <c r="AK38" i="5"/>
  <c r="AD45" i="5"/>
  <c r="AC21" i="5"/>
  <c r="K56" i="5"/>
  <c r="AB53" i="5"/>
  <c r="AP30" i="4"/>
  <c r="AP30" i="5" s="1"/>
  <c r="AH30" i="5"/>
  <c r="AN30" i="4"/>
  <c r="AN30" i="5" s="1"/>
  <c r="AH51" i="5"/>
  <c r="AN51" i="4"/>
  <c r="AN51" i="5" s="1"/>
  <c r="AP51" i="4"/>
  <c r="AP51" i="5" s="1"/>
  <c r="AC26" i="5"/>
  <c r="AI26" i="5"/>
  <c r="AQ26" i="4"/>
  <c r="AQ26" i="5" s="1"/>
  <c r="AB12" i="5"/>
  <c r="AB26" i="5"/>
  <c r="AF31" i="4"/>
  <c r="AF31" i="5" s="1"/>
  <c r="Z31" i="5"/>
  <c r="AE41" i="5"/>
  <c r="J12" i="5"/>
  <c r="P12" i="4"/>
  <c r="P12" i="5" s="1"/>
  <c r="AJ23" i="5"/>
  <c r="J53" i="5"/>
  <c r="P53" i="4"/>
  <c r="P53" i="5" s="1"/>
  <c r="AD39" i="5"/>
  <c r="AN14" i="4"/>
  <c r="AN14" i="5" s="1"/>
  <c r="AH14" i="5"/>
  <c r="AC27" i="5"/>
  <c r="AH48" i="5"/>
  <c r="AN48" i="4"/>
  <c r="AN48" i="5" s="1"/>
  <c r="AI36" i="5"/>
  <c r="AB45" i="5"/>
  <c r="AC25" i="5"/>
  <c r="AD27" i="5"/>
  <c r="AA27" i="5"/>
  <c r="AK56" i="5"/>
  <c r="AA40" i="5"/>
  <c r="K11" i="5"/>
  <c r="AC34" i="5"/>
  <c r="K27" i="5"/>
  <c r="AA35" i="5"/>
  <c r="AE35" i="5"/>
  <c r="AA10" i="5"/>
  <c r="AA9" i="4"/>
  <c r="AJ29" i="5"/>
  <c r="AU29" i="4"/>
  <c r="AU29" i="5" s="1"/>
  <c r="AM29" i="5"/>
  <c r="AJ39" i="5"/>
  <c r="AF35" i="4"/>
  <c r="AF35" i="5" s="1"/>
  <c r="Z35" i="5"/>
  <c r="J18" i="5"/>
  <c r="P18" i="4"/>
  <c r="P18" i="5" s="1"/>
  <c r="AM27" i="5"/>
  <c r="AU27" i="4"/>
  <c r="AU27" i="5" s="1"/>
  <c r="K38" i="5"/>
  <c r="AK47" i="5"/>
  <c r="AS47" i="4"/>
  <c r="AS47" i="5" s="1"/>
  <c r="G43" i="5"/>
  <c r="W43" i="4"/>
  <c r="W43" i="5" s="1"/>
  <c r="D56" i="5"/>
  <c r="T56" i="4"/>
  <c r="T56" i="5" s="1"/>
  <c r="L38" i="5"/>
  <c r="U29" i="4"/>
  <c r="U29" i="5" s="1"/>
  <c r="E29" i="5"/>
  <c r="E36" i="5"/>
  <c r="U36" i="4"/>
  <c r="U36" i="5" s="1"/>
  <c r="C17" i="5"/>
  <c r="S17" i="4"/>
  <c r="S17" i="5" s="1"/>
  <c r="AA30" i="5"/>
  <c r="AD48" i="5"/>
  <c r="AJ52" i="5"/>
  <c r="AB17" i="5"/>
  <c r="AJ47" i="5"/>
  <c r="R13" i="4"/>
  <c r="R13" i="5" s="1"/>
  <c r="B13" i="5"/>
  <c r="H13" i="4"/>
  <c r="H13" i="5" s="1"/>
  <c r="T45" i="4"/>
  <c r="D45" i="5"/>
  <c r="O18" i="5"/>
  <c r="AI46" i="5"/>
  <c r="M18" i="5"/>
  <c r="L15" i="5"/>
  <c r="L44" i="5"/>
  <c r="O15" i="5"/>
  <c r="R36" i="4"/>
  <c r="R36" i="5" s="1"/>
  <c r="B36" i="5"/>
  <c r="H36" i="4"/>
  <c r="H36" i="5" s="1"/>
  <c r="AI12" i="5"/>
  <c r="J38" i="5"/>
  <c r="P38" i="4"/>
  <c r="P38" i="5" s="1"/>
  <c r="AE50" i="5"/>
  <c r="AE49" i="4"/>
  <c r="AE49" i="5" s="1"/>
  <c r="AB16" i="5"/>
  <c r="K45" i="5"/>
  <c r="J47" i="5"/>
  <c r="P47" i="4"/>
  <c r="P47" i="5" s="1"/>
  <c r="AC45" i="5"/>
  <c r="AC16" i="5"/>
  <c r="AE31" i="5"/>
  <c r="J37" i="5"/>
  <c r="P37" i="4"/>
  <c r="P37" i="5" s="1"/>
  <c r="AJ53" i="5"/>
  <c r="AR53" i="4"/>
  <c r="AR53" i="5" s="1"/>
  <c r="AK45" i="5"/>
  <c r="R43" i="4"/>
  <c r="H43" i="4"/>
  <c r="H43" i="5" s="1"/>
  <c r="B43" i="5"/>
  <c r="C19" i="5"/>
  <c r="S19" i="4"/>
  <c r="G50" i="5"/>
  <c r="G49" i="4"/>
  <c r="W50" i="4"/>
  <c r="W50" i="5" s="1"/>
  <c r="R34" i="4"/>
  <c r="B34" i="5"/>
  <c r="H34" i="4"/>
  <c r="H34" i="5" s="1"/>
  <c r="B33" i="5"/>
  <c r="R33" i="4"/>
  <c r="H33" i="4"/>
  <c r="H33" i="5" s="1"/>
  <c r="E50" i="5"/>
  <c r="E49" i="4"/>
  <c r="U50" i="4"/>
  <c r="U50" i="5" s="1"/>
  <c r="O46" i="5"/>
  <c r="C42" i="5"/>
  <c r="S42" i="4"/>
  <c r="S42" i="5" s="1"/>
  <c r="J11" i="5"/>
  <c r="P11" i="4"/>
  <c r="P11" i="5" s="1"/>
  <c r="AB22" i="5"/>
  <c r="AI32" i="5"/>
  <c r="AJ30" i="5"/>
  <c r="Z10" i="5"/>
  <c r="Z9" i="4"/>
  <c r="AF10" i="4"/>
  <c r="AF10" i="5" s="1"/>
  <c r="AK37" i="5"/>
  <c r="AK31" i="5"/>
  <c r="AS31" i="4"/>
  <c r="AS31" i="5" s="1"/>
  <c r="K25" i="5"/>
  <c r="J31" i="5"/>
  <c r="P31" i="4"/>
  <c r="P31" i="5" s="1"/>
  <c r="AK21" i="5"/>
  <c r="AA37" i="5"/>
  <c r="AJ54" i="5"/>
  <c r="Z40" i="5"/>
  <c r="AF40" i="4"/>
  <c r="AF40" i="5" s="1"/>
  <c r="AH32" i="5"/>
  <c r="AN32" i="4"/>
  <c r="AN32" i="5" s="1"/>
  <c r="K52" i="5"/>
  <c r="AC11" i="5"/>
  <c r="AC38" i="5"/>
  <c r="AM13" i="5"/>
  <c r="AK50" i="5"/>
  <c r="AK49" i="4"/>
  <c r="AK49" i="5" s="1"/>
  <c r="AS50" i="4"/>
  <c r="AS50" i="5" s="1"/>
  <c r="AE29" i="5"/>
  <c r="AJ25" i="5"/>
  <c r="AB48" i="5"/>
  <c r="K28" i="5"/>
  <c r="AE16" i="5"/>
  <c r="S41" i="4"/>
  <c r="S41" i="5" s="1"/>
  <c r="C41" i="5"/>
  <c r="G28" i="5"/>
  <c r="W28" i="4"/>
  <c r="W28" i="5" s="1"/>
  <c r="E38" i="5"/>
  <c r="U38" i="4"/>
  <c r="U38" i="5" s="1"/>
  <c r="B21" i="5"/>
  <c r="R21" i="4"/>
  <c r="H21" i="4"/>
  <c r="H21" i="5" s="1"/>
  <c r="L47" i="5"/>
  <c r="D18" i="5"/>
  <c r="T18" i="4"/>
  <c r="T18" i="5" s="1"/>
  <c r="C24" i="5"/>
  <c r="S24" i="4"/>
  <c r="S24" i="5" s="1"/>
  <c r="M47" i="5"/>
  <c r="Z20" i="5"/>
  <c r="AF20" i="4"/>
  <c r="AF20" i="5" s="1"/>
  <c r="AC55" i="5"/>
  <c r="AI54" i="5"/>
  <c r="AB20" i="5"/>
  <c r="K21" i="5"/>
  <c r="AL16" i="5"/>
  <c r="AT16" i="4"/>
  <c r="AT16" i="5" s="1"/>
  <c r="AJ24" i="5"/>
  <c r="AA17" i="5"/>
  <c r="AH15" i="5"/>
  <c r="AN15" i="4"/>
  <c r="AN15" i="5" s="1"/>
  <c r="AK24" i="5"/>
  <c r="AS24" i="4"/>
  <c r="AS24" i="5" s="1"/>
  <c r="J55" i="5"/>
  <c r="P55" i="4"/>
  <c r="P55" i="5" s="1"/>
  <c r="AC22" i="5"/>
  <c r="AM39" i="5"/>
  <c r="AI41" i="5"/>
  <c r="AQ41" i="4"/>
  <c r="AQ41" i="5" s="1"/>
  <c r="AN12" i="4"/>
  <c r="AN12" i="5" s="1"/>
  <c r="AH12" i="5"/>
  <c r="AL20" i="5"/>
  <c r="AN10" i="4"/>
  <c r="AN10" i="5" s="1"/>
  <c r="AH9" i="4"/>
  <c r="AN9" i="4" s="1"/>
  <c r="AN9" i="5" s="1"/>
  <c r="AH10" i="5"/>
  <c r="AK52" i="5"/>
  <c r="AS52" i="4"/>
  <c r="AS52" i="5" s="1"/>
  <c r="AR55" i="4"/>
  <c r="AR55" i="5" s="1"/>
  <c r="AJ55" i="5"/>
  <c r="AF45" i="4"/>
  <c r="AF45" i="5" s="1"/>
  <c r="Z45" i="5"/>
  <c r="AL45" i="5"/>
  <c r="AE10" i="5"/>
  <c r="AE9" i="4"/>
  <c r="AA26" i="5"/>
  <c r="AD35" i="5"/>
  <c r="AJ34" i="5"/>
  <c r="AM38" i="5"/>
  <c r="K37" i="5"/>
  <c r="E42" i="5"/>
  <c r="U42" i="4"/>
  <c r="T22" i="4"/>
  <c r="T22" i="5" s="1"/>
  <c r="D22" i="5"/>
  <c r="M20" i="5"/>
  <c r="AI13" i="5"/>
  <c r="AQ13" i="4"/>
  <c r="AQ13" i="5" s="1"/>
  <c r="M29" i="5"/>
  <c r="M32" i="5"/>
  <c r="F45" i="5"/>
  <c r="V45" i="4"/>
  <c r="AT45" i="4" s="1"/>
  <c r="AT45" i="5" s="1"/>
  <c r="L51" i="5"/>
  <c r="C27" i="5"/>
  <c r="S27" i="4"/>
  <c r="AH37" i="5"/>
  <c r="AN37" i="4"/>
  <c r="AN37" i="5" s="1"/>
  <c r="Z24" i="5"/>
  <c r="AF24" i="4"/>
  <c r="AF24" i="5" s="1"/>
  <c r="AK30" i="5"/>
  <c r="AB42" i="5"/>
  <c r="K23" i="5"/>
  <c r="AE39" i="5"/>
  <c r="AB21" i="5"/>
  <c r="AC41" i="5"/>
  <c r="AC54" i="5"/>
  <c r="AJ18" i="5"/>
  <c r="AH25" i="5"/>
  <c r="AN25" i="4"/>
  <c r="AN25" i="5" s="1"/>
  <c r="O56" i="5"/>
  <c r="C22" i="5"/>
  <c r="S22" i="4"/>
  <c r="S22" i="5" s="1"/>
  <c r="S31" i="4"/>
  <c r="AQ31" i="4" s="1"/>
  <c r="AQ31" i="5" s="1"/>
  <c r="C31" i="5"/>
  <c r="E21" i="5"/>
  <c r="U21" i="4"/>
  <c r="U21" i="5" s="1"/>
  <c r="O41" i="5"/>
  <c r="T14" i="4"/>
  <c r="AR14" i="4" s="1"/>
  <c r="AR14" i="5" s="1"/>
  <c r="D14" i="5"/>
  <c r="J14" i="5"/>
  <c r="P14" i="4"/>
  <c r="P14" i="5" s="1"/>
  <c r="AA47" i="5"/>
  <c r="AH20" i="5"/>
  <c r="AN20" i="4"/>
  <c r="AN20" i="5" s="1"/>
  <c r="AP20" i="4"/>
  <c r="AP20" i="5" s="1"/>
  <c r="AK29" i="5"/>
  <c r="J42" i="5"/>
  <c r="P42" i="4"/>
  <c r="P42" i="5" s="1"/>
  <c r="AE53" i="5"/>
  <c r="W31" i="4"/>
  <c r="W31" i="5" s="1"/>
  <c r="G31" i="5"/>
  <c r="B55" i="5"/>
  <c r="R55" i="4"/>
  <c r="R55" i="5" s="1"/>
  <c r="H55" i="4"/>
  <c r="H55" i="5" s="1"/>
  <c r="O22" i="5"/>
  <c r="AK53" i="5"/>
  <c r="AS53" i="4"/>
  <c r="AS53" i="5" s="1"/>
  <c r="B48" i="5"/>
  <c r="R48" i="4"/>
  <c r="H48" i="4"/>
  <c r="H48" i="5" s="1"/>
  <c r="E10" i="5"/>
  <c r="U10" i="4"/>
  <c r="E9" i="4"/>
  <c r="T46" i="4"/>
  <c r="D46" i="5"/>
  <c r="E33" i="5"/>
  <c r="U33" i="4"/>
  <c r="K42" i="5"/>
  <c r="AI44" i="5"/>
  <c r="AM52" i="5"/>
  <c r="AC29" i="5"/>
  <c r="AA52" i="5"/>
  <c r="AL30" i="5"/>
  <c r="AH46" i="5"/>
  <c r="AN46" i="4"/>
  <c r="AN46" i="5" s="1"/>
  <c r="J29" i="5"/>
  <c r="P29" i="4"/>
  <c r="P29" i="5" s="1"/>
  <c r="J48" i="5"/>
  <c r="P48" i="4"/>
  <c r="P48" i="5" s="1"/>
  <c r="AH42" i="5"/>
  <c r="AN42" i="4"/>
  <c r="AN42" i="5" s="1"/>
  <c r="AM42" i="5"/>
  <c r="AM56" i="5"/>
  <c r="AU56" i="4"/>
  <c r="AU56" i="5" s="1"/>
  <c r="AB29" i="5"/>
  <c r="U54" i="4"/>
  <c r="AS54" i="4" s="1"/>
  <c r="AS54" i="5" s="1"/>
  <c r="E54" i="5"/>
  <c r="O17" i="5"/>
  <c r="O25" i="5"/>
  <c r="W32" i="4"/>
  <c r="W32" i="5" s="1"/>
  <c r="G32" i="5"/>
  <c r="B31" i="5"/>
  <c r="R31" i="4"/>
  <c r="R31" i="5" s="1"/>
  <c r="H31" i="4"/>
  <c r="H31" i="5" s="1"/>
  <c r="C46" i="5"/>
  <c r="S46" i="4"/>
  <c r="M44" i="5"/>
  <c r="B14" i="5"/>
  <c r="R14" i="4"/>
  <c r="H14" i="4"/>
  <c r="H14" i="5" s="1"/>
  <c r="K47" i="5"/>
  <c r="AC46" i="5"/>
  <c r="AI50" i="5"/>
  <c r="AI49" i="4"/>
  <c r="AI8" i="4" s="1"/>
  <c r="AJ16" i="5"/>
  <c r="AR16" i="4"/>
  <c r="AR16" i="5" s="1"/>
  <c r="Z46" i="5"/>
  <c r="AF46" i="4"/>
  <c r="AF46" i="5" s="1"/>
  <c r="Z29" i="5"/>
  <c r="AF29" i="4"/>
  <c r="AF29" i="5" s="1"/>
  <c r="K43" i="5"/>
  <c r="AK55" i="5"/>
  <c r="AE20" i="5"/>
  <c r="AB32" i="5"/>
  <c r="AI38" i="5"/>
  <c r="AM19" i="5"/>
  <c r="Z16" i="5"/>
  <c r="AF16" i="4"/>
  <c r="AF16" i="5" s="1"/>
  <c r="AC44" i="5"/>
  <c r="AC43" i="5"/>
  <c r="K32" i="5"/>
  <c r="AJ41" i="5"/>
  <c r="AR41" i="4"/>
  <c r="AR41" i="5" s="1"/>
  <c r="J27" i="5"/>
  <c r="P27" i="4"/>
  <c r="P27" i="5" s="1"/>
  <c r="AC24" i="5"/>
  <c r="K18" i="5"/>
  <c r="AA24" i="5"/>
  <c r="AJ36" i="5"/>
  <c r="AM36" i="5"/>
  <c r="L23" i="5"/>
  <c r="T15" i="4"/>
  <c r="T15" i="5" s="1"/>
  <c r="D15" i="5"/>
  <c r="E13" i="5"/>
  <c r="U13" i="4"/>
  <c r="U13" i="5" s="1"/>
  <c r="U48" i="4"/>
  <c r="U48" i="5" s="1"/>
  <c r="E48" i="5"/>
  <c r="G20" i="5"/>
  <c r="W20" i="4"/>
  <c r="W20" i="5" s="1"/>
  <c r="U37" i="4"/>
  <c r="E37" i="5"/>
  <c r="O24" i="5"/>
  <c r="C56" i="5"/>
  <c r="S56" i="4"/>
  <c r="U34" i="4"/>
  <c r="E34" i="5"/>
  <c r="AA11" i="5"/>
  <c r="AH21" i="5"/>
  <c r="AN21" i="4"/>
  <c r="AN21" i="5" s="1"/>
  <c r="AR43" i="4"/>
  <c r="AR43" i="5" s="1"/>
  <c r="AJ43" i="5"/>
  <c r="AH54" i="5"/>
  <c r="AN54" i="4"/>
  <c r="AN54" i="5" s="1"/>
  <c r="AP54" i="4"/>
  <c r="AP54" i="5" s="1"/>
  <c r="AK41" i="5"/>
  <c r="AD31" i="5"/>
  <c r="AR38" i="4"/>
  <c r="AR38" i="5" s="1"/>
  <c r="AJ38" i="5"/>
  <c r="J28" i="5"/>
  <c r="P28" i="4"/>
  <c r="P28" i="5" s="1"/>
  <c r="AK40" i="5"/>
  <c r="K34" i="5"/>
  <c r="AI47" i="5"/>
  <c r="AI33" i="5"/>
  <c r="AU47" i="4"/>
  <c r="AU47" i="5" s="1"/>
  <c r="AM47" i="5"/>
  <c r="Z37" i="5"/>
  <c r="AF37" i="4"/>
  <c r="AF37" i="5" s="1"/>
  <c r="AB54" i="5"/>
  <c r="AL23" i="5"/>
  <c r="AC52" i="5"/>
  <c r="AK32" i="5"/>
  <c r="AJ15" i="5"/>
  <c r="AR15" i="4"/>
  <c r="AR15" i="5" s="1"/>
  <c r="Z30" i="5"/>
  <c r="AF30" i="4"/>
  <c r="AF30" i="5" s="1"/>
  <c r="J56" i="5"/>
  <c r="P56" i="4"/>
  <c r="P56" i="5" s="1"/>
  <c r="AI27" i="5"/>
  <c r="AM8" i="4"/>
  <c r="AM8" i="5" s="1"/>
  <c r="AH9" i="5"/>
  <c r="AH8" i="4"/>
  <c r="AH8" i="5" s="1"/>
  <c r="Z9" i="5"/>
  <c r="Z8" i="4"/>
  <c r="Z8" i="5" s="1"/>
  <c r="AP15" i="4"/>
  <c r="AP15" i="5" s="1"/>
  <c r="AP46" i="4"/>
  <c r="AP46" i="5" s="1"/>
  <c r="R46" i="5"/>
  <c r="AQ29" i="4"/>
  <c r="AQ29" i="5" s="1"/>
  <c r="U30" i="5"/>
  <c r="AP22" i="4"/>
  <c r="AP45" i="4"/>
  <c r="AP45" i="5" s="1"/>
  <c r="X24" i="4"/>
  <c r="X24" i="5" s="1"/>
  <c r="T33" i="5"/>
  <c r="AU46" i="4"/>
  <c r="AU46" i="5" s="1"/>
  <c r="U56" i="5"/>
  <c r="AU17" i="4"/>
  <c r="AU17" i="5" s="1"/>
  <c r="AR51" i="4"/>
  <c r="AR51" i="5" s="1"/>
  <c r="AU52" i="4"/>
  <c r="AU52" i="5" s="1"/>
  <c r="AR18" i="4"/>
  <c r="AR18" i="5" s="1"/>
  <c r="AU32" i="4"/>
  <c r="AU32" i="5" s="1"/>
  <c r="AS48" i="4"/>
  <c r="AS48" i="5" s="1"/>
  <c r="AR17" i="4"/>
  <c r="AR17" i="5" s="1"/>
  <c r="AR27" i="4"/>
  <c r="AR27" i="5" s="1"/>
  <c r="AP34" i="4"/>
  <c r="U20" i="5"/>
  <c r="AU31" i="4"/>
  <c r="AU31" i="5" s="1"/>
  <c r="AQ21" i="4"/>
  <c r="AQ21" i="5" s="1"/>
  <c r="AQ51" i="4"/>
  <c r="AQ51" i="5" s="1"/>
  <c r="X51" i="4"/>
  <c r="X51" i="5" s="1"/>
  <c r="V45" i="5"/>
  <c r="X16" i="4"/>
  <c r="X16" i="5" s="1"/>
  <c r="R39" i="5"/>
  <c r="R16" i="5"/>
  <c r="AP56" i="4"/>
  <c r="AP56" i="5" s="1"/>
  <c r="AR30" i="4"/>
  <c r="AR30" i="5" s="1"/>
  <c r="AU13" i="4"/>
  <c r="AU13" i="5" s="1"/>
  <c r="T20" i="5"/>
  <c r="T14" i="5"/>
  <c r="AS51" i="4"/>
  <c r="AS51" i="5" s="1"/>
  <c r="D8" i="4"/>
  <c r="D8" i="5" s="1"/>
  <c r="AP12" i="4"/>
  <c r="AP12" i="5" s="1"/>
  <c r="AS29" i="4"/>
  <c r="AS29" i="5" s="1"/>
  <c r="T39" i="5"/>
  <c r="AP40" i="4"/>
  <c r="AP40" i="5" s="1"/>
  <c r="AR28" i="4"/>
  <c r="AR28" i="5" s="1"/>
  <c r="T28" i="5"/>
  <c r="X52" i="4"/>
  <c r="X52" i="5" s="1"/>
  <c r="X13" i="4"/>
  <c r="X13" i="5" s="1"/>
  <c r="X20" i="4"/>
  <c r="X20" i="5" s="1"/>
  <c r="H9" i="4"/>
  <c r="H9" i="5" s="1"/>
  <c r="V49" i="4"/>
  <c r="H49" i="4"/>
  <c r="H49" i="5" s="1"/>
  <c r="X48" i="4"/>
  <c r="X48" i="5" s="1"/>
  <c r="V52" i="5"/>
  <c r="V44" i="5"/>
  <c r="V9" i="4"/>
  <c r="V9" i="5" s="1"/>
  <c r="V37" i="5"/>
  <c r="V23" i="5"/>
  <c r="AT40" i="4"/>
  <c r="AT40" i="5" s="1"/>
  <c r="AR11" i="4"/>
  <c r="AR11" i="5" s="1"/>
  <c r="V19" i="5"/>
  <c r="X15" i="4"/>
  <c r="X15" i="5" s="1"/>
  <c r="AT15" i="4"/>
  <c r="AT15" i="5" s="1"/>
  <c r="V25" i="5"/>
  <c r="AT32" i="4"/>
  <c r="AT32" i="5" s="1"/>
  <c r="AT30" i="4"/>
  <c r="AT30" i="5" s="1"/>
  <c r="X41" i="4"/>
  <c r="X41" i="5" s="1"/>
  <c r="V21" i="5"/>
  <c r="V29" i="5"/>
  <c r="V14" i="5"/>
  <c r="X36" i="4"/>
  <c r="X36" i="5" s="1"/>
  <c r="X32" i="4"/>
  <c r="X32" i="5" s="1"/>
  <c r="V20" i="5"/>
  <c r="AT53" i="4"/>
  <c r="AT53" i="5" s="1"/>
  <c r="X53" i="4"/>
  <c r="X53" i="5" s="1"/>
  <c r="AT48" i="4"/>
  <c r="AT48" i="5" s="1"/>
  <c r="V22" i="5"/>
  <c r="AT33" i="4"/>
  <c r="AT33" i="5" s="1"/>
  <c r="AT13" i="4"/>
  <c r="AT13" i="5" s="1"/>
  <c r="S12" i="5"/>
  <c r="AQ12" i="4"/>
  <c r="AQ12" i="5" s="1"/>
  <c r="AD8" i="4"/>
  <c r="AD8" i="5" s="1"/>
  <c r="K49" i="5"/>
  <c r="S49" i="4"/>
  <c r="AA9" i="5"/>
  <c r="AA8" i="4"/>
  <c r="AT26" i="4"/>
  <c r="AT26" i="5" s="1"/>
  <c r="AT56" i="4"/>
  <c r="AT56" i="5" s="1"/>
  <c r="AN49" i="4"/>
  <c r="AN49" i="5" s="1"/>
  <c r="AD49" i="5"/>
  <c r="AF49" i="4"/>
  <c r="AF49" i="5" s="1"/>
  <c r="AI9" i="5"/>
  <c r="AQ50" i="4"/>
  <c r="AQ50" i="5" s="1"/>
  <c r="S50" i="5"/>
  <c r="AT27" i="4"/>
  <c r="V27" i="5"/>
  <c r="V39" i="5"/>
  <c r="AP22" i="5"/>
  <c r="AV10" i="3"/>
  <c r="AX10" i="3"/>
  <c r="X49" i="3"/>
  <c r="P49" i="3"/>
  <c r="H9" i="3"/>
  <c r="H8" i="3"/>
  <c r="AP33" i="4" l="1"/>
  <c r="AP33" i="5" s="1"/>
  <c r="R33" i="5"/>
  <c r="AQ19" i="4"/>
  <c r="AQ19" i="5" s="1"/>
  <c r="S19" i="5"/>
  <c r="R43" i="5"/>
  <c r="X43" i="4"/>
  <c r="X43" i="5" s="1"/>
  <c r="AQ40" i="4"/>
  <c r="AQ40" i="5" s="1"/>
  <c r="S40" i="5"/>
  <c r="AR44" i="4"/>
  <c r="AR44" i="5" s="1"/>
  <c r="T44" i="5"/>
  <c r="AS23" i="4"/>
  <c r="AS23" i="5" s="1"/>
  <c r="U23" i="5"/>
  <c r="AS14" i="4"/>
  <c r="AS14" i="5" s="1"/>
  <c r="U14" i="5"/>
  <c r="AB9" i="5"/>
  <c r="AB8" i="4"/>
  <c r="AB8" i="5" s="1"/>
  <c r="AS17" i="4"/>
  <c r="AS17" i="5" s="1"/>
  <c r="U17" i="5"/>
  <c r="AP32" i="4"/>
  <c r="AP32" i="5" s="1"/>
  <c r="R32" i="5"/>
  <c r="AQ38" i="4"/>
  <c r="AQ38" i="5" s="1"/>
  <c r="S38" i="5"/>
  <c r="AQ37" i="4"/>
  <c r="AQ37" i="5" s="1"/>
  <c r="S37" i="5"/>
  <c r="AU54" i="4"/>
  <c r="AU54" i="5" s="1"/>
  <c r="W54" i="5"/>
  <c r="AS36" i="4"/>
  <c r="AS36" i="5" s="1"/>
  <c r="AR48" i="4"/>
  <c r="AR48" i="5" s="1"/>
  <c r="T48" i="5"/>
  <c r="AF9" i="4"/>
  <c r="AF9" i="5" s="1"/>
  <c r="X38" i="4"/>
  <c r="X38" i="5" s="1"/>
  <c r="X37" i="4"/>
  <c r="X37" i="5" s="1"/>
  <c r="X40" i="4"/>
  <c r="X40" i="5" s="1"/>
  <c r="AP26" i="4"/>
  <c r="AP26" i="5" s="1"/>
  <c r="M8" i="4"/>
  <c r="M8" i="5" s="1"/>
  <c r="AR40" i="4"/>
  <c r="AR40" i="5" s="1"/>
  <c r="AM9" i="5"/>
  <c r="E49" i="5"/>
  <c r="U49" i="4"/>
  <c r="AS15" i="4"/>
  <c r="AS15" i="5" s="1"/>
  <c r="U15" i="5"/>
  <c r="AQ43" i="4"/>
  <c r="AQ43" i="5" s="1"/>
  <c r="S43" i="5"/>
  <c r="AS22" i="4"/>
  <c r="AS22" i="5" s="1"/>
  <c r="AQ14" i="4"/>
  <c r="AQ14" i="5" s="1"/>
  <c r="S14" i="5"/>
  <c r="W45" i="5"/>
  <c r="AU45" i="4"/>
  <c r="AU45" i="5" s="1"/>
  <c r="AR47" i="4"/>
  <c r="AR47" i="5" s="1"/>
  <c r="T47" i="5"/>
  <c r="AR21" i="4"/>
  <c r="AR21" i="5" s="1"/>
  <c r="AP18" i="4"/>
  <c r="X18" i="4"/>
  <c r="X18" i="5" s="1"/>
  <c r="R18" i="5"/>
  <c r="AS28" i="4"/>
  <c r="AS28" i="5" s="1"/>
  <c r="U28" i="5"/>
  <c r="AQ42" i="4"/>
  <c r="AQ42" i="5" s="1"/>
  <c r="AP37" i="4"/>
  <c r="R37" i="5"/>
  <c r="AS12" i="4"/>
  <c r="AS12" i="5" s="1"/>
  <c r="AS41" i="4"/>
  <c r="AS41" i="5" s="1"/>
  <c r="U41" i="5"/>
  <c r="AS27" i="4"/>
  <c r="AS27" i="5" s="1"/>
  <c r="U27" i="5"/>
  <c r="G9" i="5"/>
  <c r="G8" i="4"/>
  <c r="W9" i="4"/>
  <c r="W9" i="5" s="1"/>
  <c r="AS35" i="4"/>
  <c r="AS35" i="5" s="1"/>
  <c r="U35" i="5"/>
  <c r="AT50" i="4"/>
  <c r="AT50" i="5" s="1"/>
  <c r="V50" i="5"/>
  <c r="AQ20" i="4"/>
  <c r="AQ20" i="5" s="1"/>
  <c r="S20" i="5"/>
  <c r="AU12" i="4"/>
  <c r="AU12" i="5" s="1"/>
  <c r="AT47" i="4"/>
  <c r="AT47" i="5" s="1"/>
  <c r="V47" i="5"/>
  <c r="X39" i="4"/>
  <c r="X39" i="5" s="1"/>
  <c r="AP35" i="4"/>
  <c r="AP35" i="5" s="1"/>
  <c r="R28" i="5"/>
  <c r="X28" i="4"/>
  <c r="X28" i="5" s="1"/>
  <c r="AQ34" i="4"/>
  <c r="AQ34" i="5" s="1"/>
  <c r="S34" i="5"/>
  <c r="AP29" i="4"/>
  <c r="AP29" i="5" s="1"/>
  <c r="R29" i="5"/>
  <c r="AT17" i="4"/>
  <c r="AT17" i="5" s="1"/>
  <c r="V17" i="5"/>
  <c r="AV20" i="4"/>
  <c r="AV20" i="5" s="1"/>
  <c r="X31" i="4"/>
  <c r="X31" i="5" s="1"/>
  <c r="X25" i="4"/>
  <c r="X25" i="5" s="1"/>
  <c r="X17" i="4"/>
  <c r="X17" i="5" s="1"/>
  <c r="AQ10" i="4"/>
  <c r="AQ10" i="5" s="1"/>
  <c r="AQ33" i="4"/>
  <c r="AQ33" i="5" s="1"/>
  <c r="AP14" i="4"/>
  <c r="R14" i="5"/>
  <c r="AS21" i="4"/>
  <c r="AS21" i="5" s="1"/>
  <c r="AR45" i="4"/>
  <c r="T45" i="5"/>
  <c r="AP17" i="4"/>
  <c r="R17" i="5"/>
  <c r="AR26" i="4"/>
  <c r="AR26" i="5" s="1"/>
  <c r="T26" i="5"/>
  <c r="AQ39" i="4"/>
  <c r="AQ39" i="5" s="1"/>
  <c r="S39" i="5"/>
  <c r="AL8" i="4"/>
  <c r="AL8" i="5" s="1"/>
  <c r="V10" i="5"/>
  <c r="AP49" i="4"/>
  <c r="AP49" i="5" s="1"/>
  <c r="X54" i="4"/>
  <c r="X54" i="5" s="1"/>
  <c r="X50" i="4"/>
  <c r="X50" i="5" s="1"/>
  <c r="AP13" i="4"/>
  <c r="AP13" i="5" s="1"/>
  <c r="AP36" i="4"/>
  <c r="AP36" i="5" s="1"/>
  <c r="X19" i="4"/>
  <c r="X19" i="5" s="1"/>
  <c r="AU39" i="4"/>
  <c r="AU39" i="5" s="1"/>
  <c r="AJ8" i="4"/>
  <c r="AJ8" i="5" s="1"/>
  <c r="AK8" i="4"/>
  <c r="AK8" i="5" s="1"/>
  <c r="AS34" i="4"/>
  <c r="AS34" i="5" s="1"/>
  <c r="U34" i="5"/>
  <c r="AS33" i="4"/>
  <c r="AS33" i="5" s="1"/>
  <c r="U33" i="5"/>
  <c r="AU38" i="4"/>
  <c r="AU38" i="5" s="1"/>
  <c r="AR29" i="4"/>
  <c r="AR29" i="5" s="1"/>
  <c r="AS38" i="4"/>
  <c r="AS38" i="5" s="1"/>
  <c r="AS32" i="4"/>
  <c r="AS32" i="5" s="1"/>
  <c r="U32" i="5"/>
  <c r="AQ35" i="4"/>
  <c r="AQ35" i="5" s="1"/>
  <c r="S35" i="5"/>
  <c r="AR36" i="4"/>
  <c r="AR36" i="5" s="1"/>
  <c r="T36" i="5"/>
  <c r="AQ22" i="4"/>
  <c r="L9" i="5"/>
  <c r="L8" i="4"/>
  <c r="L8" i="5" s="1"/>
  <c r="X27" i="4"/>
  <c r="X27" i="5" s="1"/>
  <c r="AT35" i="4"/>
  <c r="AT35" i="5" s="1"/>
  <c r="V35" i="5"/>
  <c r="D9" i="5"/>
  <c r="T9" i="4"/>
  <c r="T9" i="5" s="1"/>
  <c r="AU24" i="4"/>
  <c r="AU24" i="5" s="1"/>
  <c r="AT18" i="4"/>
  <c r="AT18" i="5" s="1"/>
  <c r="V18" i="5"/>
  <c r="AQ46" i="4"/>
  <c r="AQ46" i="5" s="1"/>
  <c r="S46" i="5"/>
  <c r="R34" i="5"/>
  <c r="X34" i="4"/>
  <c r="X34" i="5" s="1"/>
  <c r="AR19" i="4"/>
  <c r="AR19" i="5" s="1"/>
  <c r="T19" i="5"/>
  <c r="AR23" i="4"/>
  <c r="AR23" i="5" s="1"/>
  <c r="T23" i="5"/>
  <c r="AQ32" i="4"/>
  <c r="AQ32" i="5" s="1"/>
  <c r="S32" i="5"/>
  <c r="R42" i="5"/>
  <c r="X42" i="4"/>
  <c r="X42" i="5" s="1"/>
  <c r="AU20" i="4"/>
  <c r="AU20" i="5" s="1"/>
  <c r="AI49" i="5"/>
  <c r="X22" i="4"/>
  <c r="X22" i="5" s="1"/>
  <c r="V54" i="5"/>
  <c r="X35" i="4"/>
  <c r="X35" i="5" s="1"/>
  <c r="B8" i="4"/>
  <c r="AS55" i="4"/>
  <c r="AS55" i="5" s="1"/>
  <c r="X55" i="4"/>
  <c r="X55" i="5" s="1"/>
  <c r="AR46" i="4"/>
  <c r="AR46" i="5" s="1"/>
  <c r="T46" i="5"/>
  <c r="AP25" i="4"/>
  <c r="AR24" i="4"/>
  <c r="AR24" i="5" s="1"/>
  <c r="AS44" i="4"/>
  <c r="AS44" i="5" s="1"/>
  <c r="U44" i="5"/>
  <c r="AQ53" i="4"/>
  <c r="AQ53" i="5" s="1"/>
  <c r="S53" i="5"/>
  <c r="AR37" i="4"/>
  <c r="AR37" i="5" s="1"/>
  <c r="T37" i="5"/>
  <c r="B49" i="5"/>
  <c r="R49" i="4"/>
  <c r="R49" i="5" s="1"/>
  <c r="AV41" i="4"/>
  <c r="AV41" i="5" s="1"/>
  <c r="P49" i="4"/>
  <c r="P49" i="5" s="1"/>
  <c r="AT49" i="4"/>
  <c r="AT49" i="5" s="1"/>
  <c r="T50" i="5"/>
  <c r="S31" i="5"/>
  <c r="X30" i="4"/>
  <c r="X30" i="5" s="1"/>
  <c r="AR35" i="4"/>
  <c r="AR35" i="5" s="1"/>
  <c r="AC8" i="4"/>
  <c r="AC8" i="5" s="1"/>
  <c r="X33" i="4"/>
  <c r="X33" i="5" s="1"/>
  <c r="X14" i="4"/>
  <c r="X14" i="5" s="1"/>
  <c r="J8" i="4"/>
  <c r="J8" i="5" s="1"/>
  <c r="E9" i="5"/>
  <c r="U9" i="4"/>
  <c r="E8" i="4"/>
  <c r="AP48" i="4"/>
  <c r="AP48" i="5" s="1"/>
  <c r="R48" i="5"/>
  <c r="G49" i="5"/>
  <c r="W49" i="4"/>
  <c r="W49" i="5" s="1"/>
  <c r="AS45" i="4"/>
  <c r="AS45" i="5" s="1"/>
  <c r="AR25" i="4"/>
  <c r="AR25" i="5" s="1"/>
  <c r="T25" i="5"/>
  <c r="AS26" i="4"/>
  <c r="AS26" i="5" s="1"/>
  <c r="U26" i="5"/>
  <c r="AU51" i="4"/>
  <c r="AU51" i="5" s="1"/>
  <c r="AP27" i="4"/>
  <c r="AP27" i="5" s="1"/>
  <c r="R27" i="5"/>
  <c r="AP10" i="4"/>
  <c r="R10" i="5"/>
  <c r="AP23" i="4"/>
  <c r="AQ16" i="4"/>
  <c r="AR32" i="4"/>
  <c r="AR32" i="5" s="1"/>
  <c r="T32" i="5"/>
  <c r="AQ44" i="4"/>
  <c r="AQ44" i="5" s="1"/>
  <c r="S44" i="5"/>
  <c r="AS13" i="4"/>
  <c r="AS13" i="5" s="1"/>
  <c r="AS25" i="4"/>
  <c r="AS25" i="5" s="1"/>
  <c r="U25" i="5"/>
  <c r="AS43" i="4"/>
  <c r="AS43" i="5" s="1"/>
  <c r="U43" i="5"/>
  <c r="AQ55" i="4"/>
  <c r="AQ55" i="5" s="1"/>
  <c r="AP47" i="4"/>
  <c r="R47" i="5"/>
  <c r="X47" i="4"/>
  <c r="X47" i="5" s="1"/>
  <c r="AT24" i="4"/>
  <c r="AT24" i="5" s="1"/>
  <c r="V24" i="5"/>
  <c r="AT9" i="4"/>
  <c r="AT9" i="5" s="1"/>
  <c r="AR9" i="4"/>
  <c r="AR9" i="5" s="1"/>
  <c r="AT39" i="4"/>
  <c r="AT39" i="5" s="1"/>
  <c r="AT38" i="4"/>
  <c r="AT31" i="4"/>
  <c r="AT31" i="5" s="1"/>
  <c r="F8" i="4"/>
  <c r="F8" i="5" s="1"/>
  <c r="V41" i="5"/>
  <c r="AT36" i="4"/>
  <c r="AT36" i="5" s="1"/>
  <c r="X10" i="4"/>
  <c r="X10" i="5" s="1"/>
  <c r="X56" i="4"/>
  <c r="X56" i="5" s="1"/>
  <c r="V46" i="5"/>
  <c r="X23" i="4"/>
  <c r="X23" i="5" s="1"/>
  <c r="X11" i="4"/>
  <c r="X11" i="5" s="1"/>
  <c r="AT12" i="4"/>
  <c r="AT12" i="5" s="1"/>
  <c r="X44" i="4"/>
  <c r="X44" i="5" s="1"/>
  <c r="AS16" i="4"/>
  <c r="AS16" i="5" s="1"/>
  <c r="AU42" i="4"/>
  <c r="AU42" i="5" s="1"/>
  <c r="T34" i="5"/>
  <c r="AR56" i="4"/>
  <c r="AR56" i="5" s="1"/>
  <c r="U54" i="5"/>
  <c r="AU36" i="4"/>
  <c r="AU36" i="5" s="1"/>
  <c r="R9" i="4"/>
  <c r="X45" i="4"/>
  <c r="X45" i="5" s="1"/>
  <c r="X21" i="4"/>
  <c r="X21" i="5" s="1"/>
  <c r="AP44" i="4"/>
  <c r="J9" i="5"/>
  <c r="X26" i="4"/>
  <c r="X26" i="5" s="1"/>
  <c r="AQ47" i="4"/>
  <c r="AQ47" i="5" s="1"/>
  <c r="AQ56" i="4"/>
  <c r="AQ56" i="5" s="1"/>
  <c r="S56" i="5"/>
  <c r="AS37" i="4"/>
  <c r="AS37" i="5" s="1"/>
  <c r="U37" i="5"/>
  <c r="AU19" i="4"/>
  <c r="AU19" i="5" s="1"/>
  <c r="AP42" i="4"/>
  <c r="AS10" i="4"/>
  <c r="AS10" i="5" s="1"/>
  <c r="U10" i="5"/>
  <c r="AQ27" i="4"/>
  <c r="AQ27" i="5" s="1"/>
  <c r="S27" i="5"/>
  <c r="AS42" i="4"/>
  <c r="AS42" i="5" s="1"/>
  <c r="U42" i="5"/>
  <c r="AE9" i="5"/>
  <c r="AE8" i="4"/>
  <c r="AE8" i="5" s="1"/>
  <c r="AQ54" i="4"/>
  <c r="AQ54" i="5" s="1"/>
  <c r="AP21" i="4"/>
  <c r="AP21" i="5" s="1"/>
  <c r="R21" i="5"/>
  <c r="AS19" i="4"/>
  <c r="AS19" i="5" s="1"/>
  <c r="U19" i="5"/>
  <c r="AP55" i="4"/>
  <c r="AQ25" i="4"/>
  <c r="AQ25" i="5" s="1"/>
  <c r="S25" i="5"/>
  <c r="AS39" i="4"/>
  <c r="AS39" i="5" s="1"/>
  <c r="U39" i="5"/>
  <c r="AP28" i="4"/>
  <c r="AP28" i="5" s="1"/>
  <c r="AQ36" i="4"/>
  <c r="AQ36" i="5" s="1"/>
  <c r="S36" i="5"/>
  <c r="O9" i="5"/>
  <c r="O8" i="4"/>
  <c r="O8" i="5" s="1"/>
  <c r="AR52" i="4"/>
  <c r="AR52" i="5" s="1"/>
  <c r="T52" i="5"/>
  <c r="AQ23" i="4"/>
  <c r="AQ23" i="5" s="1"/>
  <c r="S23" i="5"/>
  <c r="AP50" i="4"/>
  <c r="AP50" i="5" s="1"/>
  <c r="AU35" i="4"/>
  <c r="AU35" i="5" s="1"/>
  <c r="AP38" i="4"/>
  <c r="AP38" i="5" s="1"/>
  <c r="AQ15" i="4"/>
  <c r="AQ15" i="5" s="1"/>
  <c r="S15" i="5"/>
  <c r="AU22" i="4"/>
  <c r="AU22" i="5" s="1"/>
  <c r="C9" i="5"/>
  <c r="S9" i="4"/>
  <c r="C8" i="4"/>
  <c r="AR54" i="4"/>
  <c r="AR54" i="5" s="1"/>
  <c r="T54" i="5"/>
  <c r="D49" i="5"/>
  <c r="T49" i="4"/>
  <c r="AU25" i="4"/>
  <c r="AU25" i="5" s="1"/>
  <c r="AQ24" i="4"/>
  <c r="AR13" i="4"/>
  <c r="AR13" i="5" s="1"/>
  <c r="T13" i="5"/>
  <c r="AP43" i="4"/>
  <c r="AT28" i="4"/>
  <c r="AT28" i="5" s="1"/>
  <c r="V28" i="5"/>
  <c r="AS40" i="4"/>
  <c r="AS40" i="5" s="1"/>
  <c r="U40" i="5"/>
  <c r="AQ28" i="4"/>
  <c r="AQ28" i="5" s="1"/>
  <c r="AU53" i="4"/>
  <c r="AU53" i="5" s="1"/>
  <c r="AR42" i="4"/>
  <c r="AR42" i="5" s="1"/>
  <c r="T42" i="5"/>
  <c r="AU15" i="4"/>
  <c r="AU15" i="5" s="1"/>
  <c r="AR12" i="4"/>
  <c r="AR12" i="5" s="1"/>
  <c r="T12" i="5"/>
  <c r="AP53" i="4"/>
  <c r="AP53" i="5" s="1"/>
  <c r="N9" i="5"/>
  <c r="N8" i="4"/>
  <c r="N8" i="5" s="1"/>
  <c r="AQ11" i="4"/>
  <c r="AQ11" i="5" s="1"/>
  <c r="AT55" i="4"/>
  <c r="AT55" i="5" s="1"/>
  <c r="AV51" i="4"/>
  <c r="AV51" i="5" s="1"/>
  <c r="P8" i="4"/>
  <c r="P8" i="5" s="1"/>
  <c r="AV46" i="4"/>
  <c r="AV46" i="5" s="1"/>
  <c r="AV35" i="4"/>
  <c r="AV35" i="5" s="1"/>
  <c r="AP34" i="5"/>
  <c r="AV34" i="4"/>
  <c r="AV34" i="5" s="1"/>
  <c r="V49" i="5"/>
  <c r="AV48" i="4"/>
  <c r="AV48" i="5" s="1"/>
  <c r="X9" i="4"/>
  <c r="X9" i="5" s="1"/>
  <c r="AV11" i="4"/>
  <c r="AV11" i="5" s="1"/>
  <c r="AV15" i="4"/>
  <c r="AV15" i="5" s="1"/>
  <c r="AV30" i="4"/>
  <c r="AV30" i="5" s="1"/>
  <c r="AV32" i="4"/>
  <c r="AV32" i="5" s="1"/>
  <c r="AV13" i="4"/>
  <c r="AV13" i="5" s="1"/>
  <c r="AV36" i="4"/>
  <c r="AV36" i="5" s="1"/>
  <c r="AV31" i="4"/>
  <c r="AV31" i="5" s="1"/>
  <c r="V8" i="4"/>
  <c r="AT8" i="4" s="1"/>
  <c r="AT8" i="5" s="1"/>
  <c r="AV33" i="4"/>
  <c r="AV33" i="5" s="1"/>
  <c r="AV12" i="4"/>
  <c r="AV12" i="5" s="1"/>
  <c r="AV26" i="4"/>
  <c r="AV26" i="5" s="1"/>
  <c r="S49" i="5"/>
  <c r="AQ49" i="4"/>
  <c r="AT27" i="5"/>
  <c r="AV27" i="4"/>
  <c r="AV27" i="5" s="1"/>
  <c r="AA8" i="5"/>
  <c r="AF8" i="4"/>
  <c r="AF8" i="5" s="1"/>
  <c r="AV39" i="4"/>
  <c r="AV39" i="5" s="1"/>
  <c r="AI8" i="5"/>
  <c r="AT38" i="5"/>
  <c r="AV38" i="4"/>
  <c r="AV38" i="5" s="1"/>
  <c r="V8" i="5"/>
  <c r="R48" i="3"/>
  <c r="J9" i="3"/>
  <c r="B8" i="5" l="1"/>
  <c r="R8" i="4"/>
  <c r="AS49" i="4"/>
  <c r="AS49" i="5" s="1"/>
  <c r="U49" i="5"/>
  <c r="H8" i="4"/>
  <c r="H8" i="5" s="1"/>
  <c r="AV53" i="4"/>
  <c r="AV53" i="5" s="1"/>
  <c r="AV56" i="4"/>
  <c r="AV56" i="5" s="1"/>
  <c r="AR49" i="4"/>
  <c r="AR49" i="5" s="1"/>
  <c r="T49" i="5"/>
  <c r="C8" i="5"/>
  <c r="S8" i="4"/>
  <c r="AP42" i="5"/>
  <c r="AV42" i="4"/>
  <c r="AV42" i="5" s="1"/>
  <c r="R9" i="5"/>
  <c r="AP9" i="4"/>
  <c r="AV52" i="4"/>
  <c r="AV52" i="5" s="1"/>
  <c r="AP47" i="5"/>
  <c r="AV47" i="4"/>
  <c r="AV47" i="5" s="1"/>
  <c r="AP23" i="5"/>
  <c r="AV23" i="4"/>
  <c r="AV23" i="5" s="1"/>
  <c r="AS9" i="4"/>
  <c r="AS9" i="5" s="1"/>
  <c r="U9" i="5"/>
  <c r="AV19" i="4"/>
  <c r="AV19" i="5" s="1"/>
  <c r="AP17" i="5"/>
  <c r="AV17" i="4"/>
  <c r="AV17" i="5" s="1"/>
  <c r="G8" i="5"/>
  <c r="W8" i="4"/>
  <c r="AP37" i="5"/>
  <c r="AV37" i="4"/>
  <c r="AV37" i="5" s="1"/>
  <c r="AP43" i="5"/>
  <c r="AV43" i="4"/>
  <c r="AV43" i="5" s="1"/>
  <c r="AQ16" i="5"/>
  <c r="AV16" i="4"/>
  <c r="AV16" i="5" s="1"/>
  <c r="AV28" i="4"/>
  <c r="AV28" i="5" s="1"/>
  <c r="AN8" i="4"/>
  <c r="AN8" i="5" s="1"/>
  <c r="AV50" i="4"/>
  <c r="AV50" i="5" s="1"/>
  <c r="AV40" i="4"/>
  <c r="AV40" i="5" s="1"/>
  <c r="X49" i="4"/>
  <c r="X49" i="5" s="1"/>
  <c r="AV29" i="4"/>
  <c r="AV29" i="5" s="1"/>
  <c r="S9" i="5"/>
  <c r="AQ9" i="4"/>
  <c r="AQ9" i="5" s="1"/>
  <c r="AV44" i="4"/>
  <c r="AV44" i="5" s="1"/>
  <c r="AP44" i="5"/>
  <c r="AU49" i="4"/>
  <c r="AU49" i="5" s="1"/>
  <c r="T8" i="4"/>
  <c r="AQ22" i="5"/>
  <c r="AV22" i="4"/>
  <c r="AV22" i="5" s="1"/>
  <c r="AV54" i="4"/>
  <c r="AV54" i="5" s="1"/>
  <c r="AP14" i="5"/>
  <c r="AV14" i="4"/>
  <c r="AV14" i="5" s="1"/>
  <c r="E8" i="5"/>
  <c r="U8" i="4"/>
  <c r="AV21" i="4"/>
  <c r="AV21" i="5" s="1"/>
  <c r="AQ24" i="5"/>
  <c r="AV24" i="4"/>
  <c r="AV24" i="5" s="1"/>
  <c r="AP55" i="5"/>
  <c r="AV55" i="4"/>
  <c r="AV55" i="5" s="1"/>
  <c r="AP10" i="5"/>
  <c r="AV10" i="4"/>
  <c r="AV10" i="5" s="1"/>
  <c r="AP25" i="5"/>
  <c r="AV25" i="4"/>
  <c r="AV25" i="5" s="1"/>
  <c r="AR45" i="5"/>
  <c r="AV45" i="4"/>
  <c r="AV45" i="5" s="1"/>
  <c r="AP18" i="5"/>
  <c r="AV18" i="4"/>
  <c r="AV18" i="5" s="1"/>
  <c r="AU9" i="4"/>
  <c r="AU9" i="5" s="1"/>
  <c r="AQ49" i="5"/>
  <c r="M9" i="3"/>
  <c r="U48" i="3"/>
  <c r="AS48" i="3" s="1"/>
  <c r="O9" i="3"/>
  <c r="W48" i="3"/>
  <c r="AU48" i="3" s="1"/>
  <c r="K9" i="3"/>
  <c r="S48" i="3"/>
  <c r="AQ48" i="3" s="1"/>
  <c r="T48" i="3"/>
  <c r="AR48" i="3" s="1"/>
  <c r="L9" i="3"/>
  <c r="N9" i="3"/>
  <c r="V48" i="3"/>
  <c r="AT48" i="3" s="1"/>
  <c r="J8" i="3"/>
  <c r="R9" i="3"/>
  <c r="AP48" i="3"/>
  <c r="W8" i="5" l="1"/>
  <c r="AU8" i="4"/>
  <c r="AU8" i="5" s="1"/>
  <c r="AP9" i="5"/>
  <c r="AV9" i="4"/>
  <c r="AV9" i="5" s="1"/>
  <c r="S8" i="5"/>
  <c r="AQ8" i="4"/>
  <c r="AQ8" i="5" s="1"/>
  <c r="AS8" i="4"/>
  <c r="AS8" i="5" s="1"/>
  <c r="U8" i="5"/>
  <c r="X8" i="4"/>
  <c r="X8" i="5" s="1"/>
  <c r="R8" i="5"/>
  <c r="AP8" i="4"/>
  <c r="AV49" i="4"/>
  <c r="AV49" i="5" s="1"/>
  <c r="T8" i="5"/>
  <c r="AR8" i="4"/>
  <c r="AR8" i="5" s="1"/>
  <c r="AX48" i="3"/>
  <c r="P9" i="3"/>
  <c r="X48" i="3"/>
  <c r="AV48" i="3"/>
  <c r="R8" i="3"/>
  <c r="L8" i="3"/>
  <c r="T8" i="3" s="1"/>
  <c r="T9" i="3"/>
  <c r="O8" i="3"/>
  <c r="W8" i="3" s="1"/>
  <c r="W9" i="3"/>
  <c r="N8" i="3"/>
  <c r="V8" i="3" s="1"/>
  <c r="V9" i="3"/>
  <c r="K8" i="3"/>
  <c r="S8" i="3" s="1"/>
  <c r="S9" i="3"/>
  <c r="M8" i="3"/>
  <c r="U8" i="3" s="1"/>
  <c r="U9" i="3"/>
  <c r="AP8" i="5" l="1"/>
  <c r="AV8" i="4"/>
  <c r="AV8" i="5" s="1"/>
  <c r="X9" i="3"/>
  <c r="P8" i="3"/>
  <c r="X8" i="3"/>
  <c r="AT36" i="3"/>
  <c r="AS18" i="3" l="1"/>
  <c r="AS25" i="3"/>
  <c r="AS28" i="3"/>
  <c r="AS41" i="3"/>
  <c r="AS53" i="3"/>
  <c r="AT22" i="3"/>
  <c r="AT26" i="3"/>
  <c r="AT28" i="3"/>
  <c r="AT30" i="3"/>
  <c r="AT32" i="3"/>
  <c r="AT34" i="3"/>
  <c r="AT37" i="3"/>
  <c r="AT42" i="3"/>
  <c r="AT44" i="3"/>
  <c r="AL49" i="3"/>
  <c r="AT14" i="3"/>
  <c r="AT20" i="3"/>
  <c r="AT21" i="3"/>
  <c r="AT38" i="3"/>
  <c r="AT45" i="3"/>
  <c r="AT46" i="3"/>
  <c r="AT47" i="3"/>
  <c r="AS15" i="3"/>
  <c r="AS35" i="3"/>
  <c r="AS46" i="3"/>
  <c r="AS51" i="3"/>
  <c r="AT12" i="3"/>
  <c r="AS21" i="3"/>
  <c r="AS27" i="3"/>
  <c r="AS32" i="3"/>
  <c r="AS43" i="3"/>
  <c r="AS56" i="3"/>
  <c r="AT13" i="3"/>
  <c r="AT16" i="3"/>
  <c r="AP44" i="3" l="1"/>
  <c r="AS36" i="3"/>
  <c r="AP33" i="3"/>
  <c r="AP23" i="3"/>
  <c r="AP22" i="3"/>
  <c r="AP15" i="3"/>
  <c r="AS13" i="3"/>
  <c r="AT24" i="3"/>
  <c r="AL9" i="3"/>
  <c r="AK49" i="3"/>
  <c r="AS50" i="3"/>
  <c r="AP56" i="3"/>
  <c r="AP54" i="3"/>
  <c r="AP51" i="3"/>
  <c r="AP46" i="3"/>
  <c r="AP41" i="3"/>
  <c r="AP39" i="3"/>
  <c r="AP37" i="3"/>
  <c r="AS34" i="3"/>
  <c r="AP29" i="3"/>
  <c r="AP25" i="3"/>
  <c r="AS19" i="3"/>
  <c r="AS17" i="3"/>
  <c r="AP14" i="3"/>
  <c r="AP12" i="3"/>
  <c r="AA49" i="3"/>
  <c r="AQ56" i="3"/>
  <c r="AQ54" i="3"/>
  <c r="AQ52" i="3"/>
  <c r="AI49" i="3"/>
  <c r="AQ49" i="3" s="1"/>
  <c r="AQ50" i="3"/>
  <c r="AQ46" i="3"/>
  <c r="AQ44" i="3"/>
  <c r="AQ42" i="3"/>
  <c r="AQ40" i="3"/>
  <c r="AQ38" i="3"/>
  <c r="AQ36" i="3"/>
  <c r="AQ34" i="3"/>
  <c r="AQ32" i="3"/>
  <c r="AQ30" i="3"/>
  <c r="AQ28" i="3"/>
  <c r="AQ26" i="3"/>
  <c r="AQ24" i="3"/>
  <c r="AQ22" i="3"/>
  <c r="AQ20" i="3"/>
  <c r="AQ18" i="3"/>
  <c r="AQ16" i="3"/>
  <c r="AQ14" i="3"/>
  <c r="AQ12" i="3"/>
  <c r="AE49" i="3"/>
  <c r="AE9" i="3"/>
  <c r="AU56" i="3"/>
  <c r="AU55" i="3"/>
  <c r="AU54" i="3"/>
  <c r="AU53" i="3"/>
  <c r="AU52" i="3"/>
  <c r="AU51" i="3"/>
  <c r="AU50" i="3"/>
  <c r="AM49" i="3"/>
  <c r="AU47" i="3"/>
  <c r="AU46" i="3"/>
  <c r="AU4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U31" i="3"/>
  <c r="AU30" i="3"/>
  <c r="AU29" i="3"/>
  <c r="AU28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M9" i="3"/>
  <c r="AC9" i="3"/>
  <c r="AP53" i="3"/>
  <c r="AH49" i="3"/>
  <c r="AP50" i="3"/>
  <c r="AS44" i="3"/>
  <c r="AP42" i="3"/>
  <c r="AS38" i="3"/>
  <c r="AP32" i="3"/>
  <c r="AP30" i="3"/>
  <c r="AS26" i="3"/>
  <c r="AP21" i="3"/>
  <c r="AP17" i="3"/>
  <c r="AS12" i="3"/>
  <c r="AD9" i="3"/>
  <c r="AT55" i="3"/>
  <c r="AT53" i="3"/>
  <c r="AT51" i="3"/>
  <c r="AT43" i="3"/>
  <c r="AT41" i="3"/>
  <c r="AT39" i="3"/>
  <c r="AT18" i="3"/>
  <c r="AT15" i="3"/>
  <c r="AT11" i="3"/>
  <c r="Z49" i="3"/>
  <c r="AP55" i="3"/>
  <c r="AP52" i="3"/>
  <c r="AS47" i="3"/>
  <c r="AP40" i="3"/>
  <c r="AP38" i="3"/>
  <c r="AP36" i="3"/>
  <c r="AP34" i="3"/>
  <c r="AS30" i="3"/>
  <c r="AP28" i="3"/>
  <c r="AP26" i="3"/>
  <c r="AP24" i="3"/>
  <c r="AS20" i="3"/>
  <c r="AP18" i="3"/>
  <c r="AP16" i="3"/>
  <c r="AP13" i="3"/>
  <c r="AP11" i="3"/>
  <c r="AH9" i="3"/>
  <c r="AA9" i="3"/>
  <c r="AQ55" i="3"/>
  <c r="AQ53" i="3"/>
  <c r="AQ51" i="3"/>
  <c r="AQ47" i="3"/>
  <c r="AQ45" i="3"/>
  <c r="AQ43" i="3"/>
  <c r="AQ41" i="3"/>
  <c r="AQ39" i="3"/>
  <c r="AQ37" i="3"/>
  <c r="AQ35" i="3"/>
  <c r="AQ33" i="3"/>
  <c r="AQ31" i="3"/>
  <c r="AQ29" i="3"/>
  <c r="AQ27" i="3"/>
  <c r="AQ25" i="3"/>
  <c r="AQ23" i="3"/>
  <c r="AQ21" i="3"/>
  <c r="AQ19" i="3"/>
  <c r="AQ17" i="3"/>
  <c r="AQ15" i="3"/>
  <c r="AQ13" i="3"/>
  <c r="AQ11" i="3"/>
  <c r="AI9" i="3"/>
  <c r="AT35" i="3"/>
  <c r="AT33" i="3"/>
  <c r="AT31" i="3"/>
  <c r="AT29" i="3"/>
  <c r="AT27" i="3"/>
  <c r="AT25" i="3"/>
  <c r="AT23" i="3"/>
  <c r="AC49" i="3"/>
  <c r="Z9" i="3"/>
  <c r="AS54" i="3"/>
  <c r="AS52" i="3"/>
  <c r="AS45" i="3"/>
  <c r="AS42" i="3"/>
  <c r="AS39" i="3"/>
  <c r="AP35" i="3"/>
  <c r="AS31" i="3"/>
  <c r="AP27" i="3"/>
  <c r="AX27" i="3" s="1"/>
  <c r="AS24" i="3"/>
  <c r="AS22" i="3"/>
  <c r="AP20" i="3"/>
  <c r="AS16" i="3"/>
  <c r="AS14" i="3"/>
  <c r="AS11" i="3"/>
  <c r="AK9" i="3"/>
  <c r="AB49" i="3"/>
  <c r="AB9" i="3"/>
  <c r="AR56" i="3"/>
  <c r="AR55" i="3"/>
  <c r="AR54" i="3"/>
  <c r="AR53" i="3"/>
  <c r="AR52" i="3"/>
  <c r="AR51" i="3"/>
  <c r="AR50" i="3"/>
  <c r="AJ49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J9" i="3"/>
  <c r="AS55" i="3"/>
  <c r="AP47" i="3"/>
  <c r="AP45" i="3"/>
  <c r="AP43" i="3"/>
  <c r="AS40" i="3"/>
  <c r="AS37" i="3"/>
  <c r="AS33" i="3"/>
  <c r="AP31" i="3"/>
  <c r="AS29" i="3"/>
  <c r="AS23" i="3"/>
  <c r="AP19" i="3"/>
  <c r="AD49" i="3"/>
  <c r="AT49" i="3" s="1"/>
  <c r="AT56" i="3"/>
  <c r="AT54" i="3"/>
  <c r="AT52" i="3"/>
  <c r="AT50" i="3"/>
  <c r="AT40" i="3"/>
  <c r="AT19" i="3"/>
  <c r="AT17" i="3"/>
  <c r="AX26" i="3" l="1"/>
  <c r="AX36" i="3"/>
  <c r="AX52" i="3"/>
  <c r="AX53" i="3"/>
  <c r="AX46" i="3"/>
  <c r="AX16" i="3"/>
  <c r="AX42" i="3"/>
  <c r="AX33" i="3"/>
  <c r="AV31" i="3"/>
  <c r="AX31" i="3"/>
  <c r="AV43" i="3"/>
  <c r="AX43" i="3"/>
  <c r="AV20" i="3"/>
  <c r="AX20" i="3"/>
  <c r="AX18" i="3"/>
  <c r="AV28" i="3"/>
  <c r="AX28" i="3"/>
  <c r="AX38" i="3"/>
  <c r="AX55" i="3"/>
  <c r="AX30" i="3"/>
  <c r="AV37" i="3"/>
  <c r="AX37" i="3"/>
  <c r="AX51" i="3"/>
  <c r="AX15" i="3"/>
  <c r="AX19" i="3"/>
  <c r="AX45" i="3"/>
  <c r="AX35" i="3"/>
  <c r="AX11" i="3"/>
  <c r="AV40" i="3"/>
  <c r="AX40" i="3"/>
  <c r="AX17" i="3"/>
  <c r="AV32" i="3"/>
  <c r="AX32" i="3"/>
  <c r="AX50" i="3"/>
  <c r="AX12" i="3"/>
  <c r="AX25" i="3"/>
  <c r="AX39" i="3"/>
  <c r="AX54" i="3"/>
  <c r="AX22" i="3"/>
  <c r="AX44" i="3"/>
  <c r="AX47" i="3"/>
  <c r="AX13" i="3"/>
  <c r="AX24" i="3"/>
  <c r="AX34" i="3"/>
  <c r="AX21" i="3"/>
  <c r="AX14" i="3"/>
  <c r="AX29" i="3"/>
  <c r="AX41" i="3"/>
  <c r="AX56" i="3"/>
  <c r="AX23" i="3"/>
  <c r="AV19" i="3"/>
  <c r="AV18" i="3"/>
  <c r="AV17" i="3"/>
  <c r="AV13" i="3"/>
  <c r="AV24" i="3"/>
  <c r="AV34" i="3"/>
  <c r="AV21" i="3"/>
  <c r="AN49" i="3"/>
  <c r="AV14" i="3"/>
  <c r="AV29" i="3"/>
  <c r="AV41" i="3"/>
  <c r="AV56" i="3"/>
  <c r="AV23" i="3"/>
  <c r="AN9" i="3"/>
  <c r="AV55" i="3"/>
  <c r="AV30" i="3"/>
  <c r="AV47" i="3"/>
  <c r="AV27" i="3"/>
  <c r="AF9" i="3"/>
  <c r="AV16" i="3"/>
  <c r="AV26" i="3"/>
  <c r="AV36" i="3"/>
  <c r="AV52" i="3"/>
  <c r="AV42" i="3"/>
  <c r="AV53" i="3"/>
  <c r="AV46" i="3"/>
  <c r="AV33" i="3"/>
  <c r="AV51" i="3"/>
  <c r="AV15" i="3"/>
  <c r="AV38" i="3"/>
  <c r="AV45" i="3"/>
  <c r="AV35" i="3"/>
  <c r="AV11" i="3"/>
  <c r="AF49" i="3"/>
  <c r="AV50" i="3"/>
  <c r="AV12" i="3"/>
  <c r="AV25" i="3"/>
  <c r="AV39" i="3"/>
  <c r="AV54" i="3"/>
  <c r="AV22" i="3"/>
  <c r="AV44" i="3"/>
  <c r="AA8" i="3"/>
  <c r="AR49" i="3"/>
  <c r="AB8" i="3"/>
  <c r="Z8" i="3"/>
  <c r="AI8" i="3"/>
  <c r="AQ9" i="3"/>
  <c r="AH8" i="3"/>
  <c r="AP9" i="3"/>
  <c r="AM8" i="3"/>
  <c r="AU9" i="3"/>
  <c r="AL8" i="3"/>
  <c r="AT9" i="3"/>
  <c r="AD8" i="3"/>
  <c r="AP49" i="3"/>
  <c r="AC8" i="3"/>
  <c r="AS49" i="3"/>
  <c r="AJ8" i="3"/>
  <c r="AR9" i="3"/>
  <c r="AK8" i="3"/>
  <c r="AS8" i="3" s="1"/>
  <c r="AS9" i="3"/>
  <c r="AU49" i="3"/>
  <c r="AE8" i="3"/>
  <c r="AX49" i="3" l="1"/>
  <c r="AX9" i="3"/>
  <c r="AV49" i="3"/>
  <c r="AV9" i="3"/>
  <c r="AF8" i="3"/>
  <c r="AN8" i="3"/>
  <c r="AQ8" i="3"/>
  <c r="AR8" i="3"/>
  <c r="AT8" i="3"/>
  <c r="AU8" i="3"/>
  <c r="AP8" i="3"/>
  <c r="AX8" i="3" l="1"/>
  <c r="AV8" i="3"/>
  <c r="AZ26" i="1" l="1"/>
  <c r="AZ11" i="1"/>
  <c r="AZ48" i="1"/>
  <c r="AZ16" i="1"/>
  <c r="AZ47" i="1"/>
  <c r="AZ43" i="1"/>
  <c r="AZ30" i="1"/>
  <c r="AZ22" i="1"/>
  <c r="AZ17" i="1"/>
  <c r="AZ9" i="1"/>
  <c r="AZ19" i="1"/>
  <c r="AZ8" i="1"/>
  <c r="AZ15" i="1"/>
  <c r="AZ13" i="1"/>
  <c r="AZ51" i="1"/>
  <c r="AZ7" i="1"/>
  <c r="AZ49" i="1"/>
  <c r="AZ45" i="1"/>
  <c r="AZ37" i="1"/>
  <c r="AZ23" i="1"/>
  <c r="AZ44" i="1"/>
  <c r="AZ40" i="1"/>
  <c r="AZ33" i="1"/>
  <c r="AZ27" i="1"/>
  <c r="AZ52" i="1"/>
  <c r="AZ20" i="1"/>
  <c r="AZ10" i="1"/>
  <c r="AZ14" i="1"/>
  <c r="AZ18" i="1"/>
  <c r="AZ53" i="1"/>
  <c r="AZ41" i="1"/>
  <c r="AZ31" i="1"/>
  <c r="AZ42" i="1"/>
  <c r="AZ29" i="1"/>
  <c r="AZ39" i="1"/>
  <c r="AZ50" i="1"/>
  <c r="AZ35" i="1"/>
  <c r="AZ21" i="1"/>
  <c r="AZ12" i="1"/>
  <c r="AZ28" i="1"/>
  <c r="AZ32" i="1" l="1"/>
  <c r="AZ34" i="1"/>
  <c r="AZ46" i="1"/>
  <c r="AZ38" i="1"/>
  <c r="AZ36" i="1"/>
  <c r="AZ24" i="1"/>
  <c r="AZ6" i="1" l="1"/>
  <c r="AZ5" i="1" l="1"/>
  <c r="AZ15" i="3" l="1"/>
  <c r="AZ14" i="3"/>
  <c r="AZ45" i="3" l="1"/>
  <c r="AZ36" i="3"/>
  <c r="AZ12" i="3"/>
  <c r="AZ30" i="3"/>
  <c r="AZ28" i="3"/>
  <c r="AZ22" i="3"/>
  <c r="AZ44" i="3"/>
  <c r="AZ48" i="3"/>
  <c r="AZ54" i="3"/>
  <c r="AZ13" i="3"/>
  <c r="AZ34" i="3"/>
  <c r="AZ56" i="3"/>
  <c r="AZ16" i="3"/>
  <c r="AZ23" i="3"/>
  <c r="AZ31" i="3"/>
  <c r="AZ19" i="3"/>
  <c r="AZ37" i="3"/>
  <c r="AZ47" i="3"/>
  <c r="AZ35" i="3"/>
  <c r="AZ53" i="3"/>
  <c r="AZ21" i="3"/>
  <c r="AZ50" i="3"/>
  <c r="AZ33" i="3"/>
  <c r="AZ46" i="3"/>
  <c r="AZ52" i="3"/>
  <c r="AZ11" i="3"/>
  <c r="AZ24" i="3"/>
  <c r="AZ39" i="3"/>
  <c r="AZ18" i="3"/>
  <c r="AZ27" i="3"/>
  <c r="AZ43" i="3"/>
  <c r="AZ32" i="3"/>
  <c r="AZ10" i="3"/>
  <c r="AZ42" i="3"/>
  <c r="AZ29" i="3"/>
  <c r="AZ51" i="3"/>
  <c r="AZ55" i="3"/>
  <c r="AZ20" i="3"/>
  <c r="AZ38" i="3"/>
  <c r="AZ17" i="3"/>
  <c r="AZ26" i="3"/>
  <c r="AZ41" i="3"/>
  <c r="AZ25" i="3"/>
  <c r="AZ40" i="3"/>
  <c r="AZ9" i="3" l="1"/>
  <c r="AZ49" i="3"/>
  <c r="AZ8" i="3" l="1"/>
</calcChain>
</file>

<file path=xl/sharedStrings.xml><?xml version="1.0" encoding="utf-8"?>
<sst xmlns="http://schemas.openxmlformats.org/spreadsheetml/2006/main" count="591" uniqueCount="104">
  <si>
    <t>Wholetime</t>
  </si>
  <si>
    <t>Total Firefighters</t>
  </si>
  <si>
    <t>Fire Control</t>
  </si>
  <si>
    <t>Support Staff</t>
  </si>
  <si>
    <t>Total Staff</t>
  </si>
  <si>
    <t>FRA</t>
  </si>
  <si>
    <t>16-24</t>
  </si>
  <si>
    <t>25-35</t>
  </si>
  <si>
    <t>36-45</t>
  </si>
  <si>
    <t>46-55</t>
  </si>
  <si>
    <t>56+</t>
  </si>
  <si>
    <t>Age Not Stated</t>
  </si>
  <si>
    <r>
      <t xml:space="preserve">Average Age (calc) 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</si>
  <si>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England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</si>
  <si>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</si>
  <si>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</si>
  <si>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</si>
  <si>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</si>
  <si>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</si>
  <si>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</si>
  <si>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</si>
  <si>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</si>
  <si>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</si>
  <si>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</si>
  <si>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</si>
  <si>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</si>
  <si>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</si>
  <si>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</si>
  <si>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</si>
  <si>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</si>
  <si>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</si>
  <si>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Hampshire</t>
  </si>
  <si>
    <t>Hereford and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</si>
  <si>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</si>
  <si>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</si>
  <si>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</si>
  <si>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</si>
  <si>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</si>
  <si>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</si>
  <si>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</si>
  <si>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</si>
  <si>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</si>
  <si>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</si>
  <si>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</si>
  <si>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</si>
  <si>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</si>
  <si>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</si>
  <si>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</si>
  <si>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</si>
  <si>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</si>
  <si>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</si>
  <si>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</si>
  <si>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</si>
  <si>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Isles of Scilly</t>
  </si>
  <si>
    <t>Metropolitan fire and rescue authorities</t>
  </si>
  <si>
    <t>Greater Manchester</t>
  </si>
  <si>
    <t>Merseyside</t>
  </si>
  <si>
    <t>South Yorkshire</t>
  </si>
  <si>
    <t>Tyne and Wear</t>
  </si>
  <si>
    <t>West Midlands</t>
  </si>
  <si>
    <t>West Yorkshire</t>
  </si>
  <si>
    <t>Greater London</t>
  </si>
  <si>
    <t>1 The total number of employees</t>
  </si>
  <si>
    <t>Notes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</si>
  <si>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</si>
  <si>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</si>
  <si>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</si>
  <si>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Authorities.</t>
  </si>
  <si>
    <t>Updated alongside Fire and rescue workforce and pensions statistics</t>
  </si>
  <si>
    <t>Contact: FireStatistics@homeoffice.gsi.gov.uk</t>
  </si>
  <si>
    <t>Next Update: Autumn 2018</t>
  </si>
  <si>
    <t>-</t>
  </si>
  <si>
    <r>
      <t xml:space="preserve">Retained Duty System </t>
    </r>
    <r>
      <rPr>
        <vertAlign val="superscript"/>
        <sz val="11"/>
        <color theme="1"/>
        <rFont val="Calibri"/>
        <family val="2"/>
        <scheme val="minor"/>
      </rPr>
      <t>2</t>
    </r>
  </si>
  <si>
    <t>2 Also known as "On-call firefighters"</t>
  </si>
  <si>
    <t>The figures for 2016/17 were collected on a voluntary basis. Those eight FRSs with 0 new staff could be due to 0 new staff being recruited or due to the data being unavailable. West Yorkshire figures show an inconsistent total with tables 1120 and 1121.</t>
  </si>
  <si>
    <r>
      <t>FIRE STATISTICS TABLE 1122: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age and role</t>
    </r>
  </si>
  <si>
    <t>On call</t>
  </si>
  <si>
    <t>Mixed</t>
  </si>
  <si>
    <t>Asian or Asian British</t>
  </si>
  <si>
    <t>Black or Black British</t>
  </si>
  <si>
    <t>Age: 17-24</t>
  </si>
  <si>
    <t>Age: 25-35</t>
  </si>
  <si>
    <t>Age: 36-45</t>
  </si>
  <si>
    <t>Age: 46-55</t>
  </si>
  <si>
    <t>Age: 56-65</t>
  </si>
  <si>
    <t>Age: 66+</t>
  </si>
  <si>
    <t>Age
Not Stated</t>
  </si>
  <si>
    <t>White</t>
  </si>
  <si>
    <t>Chinese or Other Ethnicity</t>
  </si>
  <si>
    <t>Ethnic origin Not Stated</t>
  </si>
  <si>
    <t>The figures for 2016/17 were collected on a voluntary basis. Those eight FRSs with 0 new staff could be due to 0 new staff being recruited or due to the data being unavailable.</t>
  </si>
  <si>
    <t>2017-18</t>
  </si>
  <si>
    <t>2016-17</t>
  </si>
  <si>
    <r>
      <t>FIRE STATISTICS TABLE 1122: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age and role 2016-17</t>
    </r>
  </si>
  <si>
    <r>
      <t>FIRE STATISTICS TABLE 1122: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age and role 2017-18</t>
    </r>
  </si>
  <si>
    <t>Select a year from the drop-down list in the orange box below:</t>
  </si>
  <si>
    <t>Wholetime firefighters</t>
  </si>
  <si>
    <r>
      <t xml:space="preserve">On call firefighters </t>
    </r>
    <r>
      <rPr>
        <vertAlign val="superscript"/>
        <sz val="11"/>
        <color theme="1"/>
        <rFont val="Calibri"/>
        <family val="2"/>
        <scheme val="minor"/>
      </rPr>
      <t>2</t>
    </r>
  </si>
  <si>
    <t>Fire Control Staff</t>
  </si>
  <si>
    <t>2 Also known as "Retained Duty System firefighters"</t>
  </si>
  <si>
    <t>Contact: FireStatistics@homeoffice.gov.uk</t>
  </si>
  <si>
    <t>Next Update: Autumn 2019</t>
  </si>
  <si>
    <t>3 This figure is indicative. It is calculated using average ages for each age band and therefore should be used with caution.</t>
  </si>
  <si>
    <r>
      <t xml:space="preserve">Average Age (calc) 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</si>
</sst>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Arial Black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MS Sans Serif"/>
    </font>
    <font>
      <u/>
      <sz val="10"/>
      <color indexed="12"/>
      <name val="MS Sans Serif"/>
      <family val="2"/>
    </font>
    <font>
      <sz val="1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rgb="FFFF0000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5" fillId="0" borderId="0"/>
    <xf numFmtId="165" fontId="14" fillId="0" borderId="0" applyFont="0" applyFill="0" applyBorder="0" applyProtection="0">
      <alignment horizontal="right"/>
    </xf>
    <xf numFmtId="0" fontId="1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Border="1"/>
    <xf numFmtId="0" fontId="0" fillId="3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3" fillId="4" borderId="3" xfId="0" applyFont="1" applyFill="1" applyBorder="1"/>
    <xf numFmtId="3" fontId="3" fillId="3" borderId="3" xfId="0" applyNumberFormat="1" applyFont="1" applyFill="1" applyBorder="1" applyAlignment="1">
      <alignment horizontal="right"/>
    </xf>
    <xf numFmtId="1" fontId="8" fillId="3" borderId="0" xfId="1" applyNumberFormat="1" applyFont="1" applyFill="1" applyBorder="1" applyAlignment="1">
      <alignment horizontal="right"/>
    </xf>
    <xf numFmtId="1" fontId="3" fillId="3" borderId="0" xfId="1" applyNumberFormat="1" applyFont="1" applyFill="1" applyBorder="1" applyAlignment="1">
      <alignment horizontal="right"/>
    </xf>
    <xf numFmtId="164" fontId="0" fillId="3" borderId="0" xfId="0" applyNumberFormat="1" applyFill="1"/>
    <xf numFmtId="1" fontId="2" fillId="3" borderId="0" xfId="0" applyNumberFormat="1" applyFont="1" applyFill="1"/>
    <xf numFmtId="1" fontId="0" fillId="3" borderId="0" xfId="0" applyNumberFormat="1" applyFill="1"/>
    <xf numFmtId="0" fontId="3" fillId="4" borderId="0" xfId="0" applyFont="1" applyFill="1" applyBorder="1"/>
    <xf numFmtId="3" fontId="3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1" fontId="6" fillId="3" borderId="0" xfId="1" applyNumberFormat="1" applyFont="1" applyFill="1" applyBorder="1" applyAlignment="1">
      <alignment horizontal="right"/>
    </xf>
    <xf numFmtId="3" fontId="0" fillId="4" borderId="0" xfId="0" applyNumberFormat="1" applyFill="1" applyBorder="1"/>
    <xf numFmtId="0" fontId="0" fillId="4" borderId="1" xfId="0" applyFill="1" applyBorder="1"/>
    <xf numFmtId="3" fontId="0" fillId="3" borderId="1" xfId="0" applyNumberFormat="1" applyFont="1" applyFill="1" applyBorder="1" applyAlignment="1">
      <alignment horizontal="right"/>
    </xf>
    <xf numFmtId="1" fontId="6" fillId="3" borderId="1" xfId="1" applyNumberFormat="1" applyFont="1" applyFill="1" applyBorder="1" applyAlignment="1">
      <alignment horizontal="right"/>
    </xf>
    <xf numFmtId="1" fontId="8" fillId="3" borderId="1" xfId="1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9" fillId="4" borderId="0" xfId="0" applyFont="1" applyFill="1"/>
    <xf numFmtId="0" fontId="0" fillId="4" borderId="0" xfId="0" applyFill="1" applyAlignment="1">
      <alignment wrapText="1"/>
    </xf>
    <xf numFmtId="0" fontId="10" fillId="4" borderId="0" xfId="2" applyFont="1" applyFill="1"/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0" fillId="4" borderId="0" xfId="2" applyFill="1" applyAlignment="1">
      <alignment horizontal="right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3" fontId="0" fillId="4" borderId="0" xfId="0" applyNumberFormat="1" applyFill="1"/>
    <xf numFmtId="0" fontId="3" fillId="4" borderId="0" xfId="0" applyFont="1" applyFill="1"/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  <xf numFmtId="0" fontId="0" fillId="4" borderId="3" xfId="0" applyFill="1" applyBorder="1"/>
    <xf numFmtId="0" fontId="0" fillId="4" borderId="0" xfId="0" applyFill="1" applyBorder="1" applyAlignment="1">
      <alignment horizontal="left" wrapText="1"/>
    </xf>
    <xf numFmtId="0" fontId="9" fillId="4" borderId="0" xfId="0" applyFont="1" applyFill="1" applyBorder="1"/>
    <xf numFmtId="0" fontId="0" fillId="4" borderId="0" xfId="0" applyFill="1" applyBorder="1" applyAlignment="1">
      <alignment wrapText="1"/>
    </xf>
    <xf numFmtId="0" fontId="10" fillId="4" borderId="0" xfId="2" applyFont="1" applyFill="1" applyBorder="1"/>
    <xf numFmtId="0" fontId="0" fillId="4" borderId="0" xfId="0" applyFill="1" applyBorder="1" applyAlignment="1">
      <alignment horizontal="right"/>
    </xf>
    <xf numFmtId="0" fontId="10" fillId="0" borderId="0" xfId="2" applyAlignment="1">
      <alignment horizontal="right"/>
    </xf>
    <xf numFmtId="0" fontId="10" fillId="4" borderId="0" xfId="2" applyFill="1" applyBorder="1"/>
    <xf numFmtId="0" fontId="0" fillId="4" borderId="0" xfId="0" applyFill="1" applyAlignment="1">
      <alignment horizontal="left"/>
    </xf>
    <xf numFmtId="1" fontId="17" fillId="3" borderId="0" xfId="0" applyNumberFormat="1" applyFont="1" applyFill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wrapText="1"/>
    </xf>
  </cellXfs>
  <cellStyles count="8">
    <cellStyle name="Comma 2" xfId="5" xr:uid="{00000000-0005-0000-0000-000000000000}"/>
    <cellStyle name="Hyperlink" xfId="2" xr:uid="{00000000-0005-0000-0000-000001000000}"/>
    <cellStyle name="Hyperlink 2" xfId="6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Percent" xfId="1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7"/>
  <sheetViews>
    <sheetView workbookViewId="0">
      <pane ySplit="5" topLeftCell="A39" activePane="bottomLeft" state="frozen"/>
      <selection activeCell="R45" sqref="R7:W45"/>
      <selection pane="bottomLeft" activeCell="R45" sqref="R7:W45"/>
    </sheetView>
  </sheetViews>
  <sheetFormatPr defaultColWidth="9.1796875" defaultRowHeight="14.5" x14ac:dyDescent="0.35"/>
  <cols>
    <col min="1" max="1" width="50.7265625" style="4" customWidth="1"/>
    <col min="2" max="8" width="8.7265625" style="4" customWidth="1"/>
    <col min="9" max="9" width="2.7265625" style="4" customWidth="1"/>
    <col min="10" max="16" width="8.7265625" style="4" customWidth="1"/>
    <col min="17" max="17" width="2.7265625" style="4" customWidth="1"/>
    <col min="18" max="24" width="8.7265625" style="4" customWidth="1"/>
    <col min="25" max="25" width="2.7265625" style="4" customWidth="1"/>
    <col min="26" max="32" width="8.7265625" style="4" customWidth="1"/>
    <col min="33" max="33" width="2.7265625" style="4" customWidth="1"/>
    <col min="34" max="40" width="8.7265625" style="4" customWidth="1"/>
    <col min="41" max="41" width="2.7265625" style="4" customWidth="1"/>
    <col min="42" max="48" width="8.7265625" style="4" customWidth="1"/>
    <col min="49" max="16384" width="9.1796875" style="4"/>
  </cols>
  <sheetData>
    <row r="1" spans="1:58" s="1" customFormat="1" ht="23.25" customHeight="1" x14ac:dyDescent="0.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8" s="3" customFormat="1" x14ac:dyDescent="0.35">
      <c r="A2" s="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58" s="7" customFormat="1" ht="15.75" customHeight="1" thickBot="1" x14ac:dyDescent="0.4">
      <c r="A3" s="4"/>
      <c r="B3" s="62" t="s">
        <v>0</v>
      </c>
      <c r="C3" s="62"/>
      <c r="D3" s="62"/>
      <c r="E3" s="62"/>
      <c r="F3" s="62"/>
      <c r="G3" s="62"/>
      <c r="H3" s="62"/>
      <c r="I3" s="5"/>
      <c r="J3" s="62" t="s">
        <v>72</v>
      </c>
      <c r="K3" s="62"/>
      <c r="L3" s="62"/>
      <c r="M3" s="62"/>
      <c r="N3" s="62"/>
      <c r="O3" s="62"/>
      <c r="P3" s="62"/>
      <c r="Q3" s="38"/>
      <c r="R3" s="63" t="s">
        <v>1</v>
      </c>
      <c r="S3" s="63"/>
      <c r="T3" s="63"/>
      <c r="U3" s="63"/>
      <c r="V3" s="63"/>
      <c r="W3" s="63"/>
      <c r="X3" s="63"/>
      <c r="Y3" s="5"/>
      <c r="Z3" s="62" t="s">
        <v>2</v>
      </c>
      <c r="AA3" s="62"/>
      <c r="AB3" s="62"/>
      <c r="AC3" s="62"/>
      <c r="AD3" s="62"/>
      <c r="AE3" s="62"/>
      <c r="AF3" s="6"/>
      <c r="AG3" s="5"/>
      <c r="AH3" s="62" t="s">
        <v>3</v>
      </c>
      <c r="AI3" s="62"/>
      <c r="AJ3" s="62"/>
      <c r="AK3" s="62"/>
      <c r="AL3" s="62"/>
      <c r="AM3" s="62"/>
      <c r="AN3" s="6"/>
      <c r="AO3" s="5"/>
      <c r="AP3" s="63" t="s">
        <v>4</v>
      </c>
      <c r="AQ3" s="63"/>
      <c r="AR3" s="63"/>
      <c r="AS3" s="63"/>
      <c r="AT3" s="63"/>
      <c r="AU3" s="63"/>
      <c r="AV3" s="63"/>
    </row>
    <row r="4" spans="1:58" s="12" customFormat="1" ht="46" thickBot="1" x14ac:dyDescent="0.4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11"/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10" t="s">
        <v>12</v>
      </c>
      <c r="Q4" s="11"/>
      <c r="R4" s="9" t="s">
        <v>6</v>
      </c>
      <c r="S4" s="9" t="s">
        <v>7</v>
      </c>
      <c r="T4" s="9" t="s">
        <v>8</v>
      </c>
      <c r="U4" s="9" t="s">
        <v>9</v>
      </c>
      <c r="V4" s="9" t="s">
        <v>10</v>
      </c>
      <c r="W4" s="9" t="s">
        <v>11</v>
      </c>
      <c r="X4" s="10" t="s">
        <v>12</v>
      </c>
      <c r="Y4" s="11"/>
      <c r="Z4" s="9" t="s">
        <v>6</v>
      </c>
      <c r="AA4" s="9" t="s">
        <v>7</v>
      </c>
      <c r="AB4" s="9" t="s">
        <v>8</v>
      </c>
      <c r="AC4" s="9" t="s">
        <v>9</v>
      </c>
      <c r="AD4" s="9" t="s">
        <v>10</v>
      </c>
      <c r="AE4" s="9" t="s">
        <v>11</v>
      </c>
      <c r="AF4" s="10" t="s">
        <v>12</v>
      </c>
      <c r="AG4" s="11"/>
      <c r="AH4" s="9" t="s">
        <v>6</v>
      </c>
      <c r="AI4" s="9" t="s">
        <v>7</v>
      </c>
      <c r="AJ4" s="9" t="s">
        <v>8</v>
      </c>
      <c r="AK4" s="9" t="s">
        <v>9</v>
      </c>
      <c r="AL4" s="9" t="s">
        <v>10</v>
      </c>
      <c r="AM4" s="9" t="s">
        <v>11</v>
      </c>
      <c r="AN4" s="10" t="s">
        <v>12</v>
      </c>
      <c r="AO4" s="11"/>
      <c r="AP4" s="9" t="s">
        <v>6</v>
      </c>
      <c r="AQ4" s="9" t="s">
        <v>7</v>
      </c>
      <c r="AR4" s="9" t="s">
        <v>8</v>
      </c>
      <c r="AS4" s="9" t="s">
        <v>9</v>
      </c>
      <c r="AT4" s="9" t="s">
        <v>10</v>
      </c>
      <c r="AU4" s="9" t="s">
        <v>11</v>
      </c>
      <c r="AV4" s="10" t="s">
        <v>12</v>
      </c>
    </row>
    <row r="5" spans="1:58" s="7" customFormat="1" ht="15" customHeight="1" x14ac:dyDescent="0.35">
      <c r="A5" s="13" t="s">
        <v>13</v>
      </c>
      <c r="B5" s="14">
        <f>B6+B46</f>
        <v>68</v>
      </c>
      <c r="C5" s="14">
        <f t="shared" ref="C5:G5" si="0">C6+C46</f>
        <v>271</v>
      </c>
      <c r="D5" s="14">
        <f t="shared" si="0"/>
        <v>85</v>
      </c>
      <c r="E5" s="14">
        <f t="shared" si="0"/>
        <v>51</v>
      </c>
      <c r="F5" s="14">
        <f t="shared" si="0"/>
        <v>1</v>
      </c>
      <c r="G5" s="14">
        <f t="shared" si="0"/>
        <v>0</v>
      </c>
      <c r="H5" s="15">
        <v>32.664194915254242</v>
      </c>
      <c r="I5" s="14"/>
      <c r="J5" s="14">
        <f t="shared" ref="J5" si="1">J6+J46</f>
        <v>259</v>
      </c>
      <c r="K5" s="14">
        <f t="shared" ref="K5" si="2">K6+K46</f>
        <v>467</v>
      </c>
      <c r="L5" s="14">
        <f t="shared" ref="L5" si="3">L6+L46</f>
        <v>192</v>
      </c>
      <c r="M5" s="14">
        <f t="shared" ref="M5" si="4">M6+M46</f>
        <v>73</v>
      </c>
      <c r="N5" s="14">
        <f t="shared" ref="N5" si="5">N6+N46</f>
        <v>7</v>
      </c>
      <c r="O5" s="14">
        <f t="shared" ref="O5" si="6">O6+O46</f>
        <v>10</v>
      </c>
      <c r="P5" s="16">
        <v>31.118236472945895</v>
      </c>
      <c r="Q5" s="14"/>
      <c r="R5" s="14">
        <f>J5+B5</f>
        <v>327</v>
      </c>
      <c r="S5" s="14">
        <f t="shared" ref="S5:W5" si="7">K5+C5</f>
        <v>738</v>
      </c>
      <c r="T5" s="14">
        <f t="shared" si="7"/>
        <v>277</v>
      </c>
      <c r="U5" s="14">
        <f t="shared" si="7"/>
        <v>124</v>
      </c>
      <c r="V5" s="14">
        <f t="shared" si="7"/>
        <v>8</v>
      </c>
      <c r="W5" s="14">
        <f t="shared" si="7"/>
        <v>10</v>
      </c>
      <c r="X5" s="16">
        <v>31.614625850340136</v>
      </c>
      <c r="Y5" s="14"/>
      <c r="Z5" s="14">
        <f t="shared" ref="Z5" si="8">Z6+Z46</f>
        <v>11</v>
      </c>
      <c r="AA5" s="14">
        <f t="shared" ref="AA5" si="9">AA6+AA46</f>
        <v>31</v>
      </c>
      <c r="AB5" s="14">
        <f t="shared" ref="AB5" si="10">AB6+AB46</f>
        <v>14</v>
      </c>
      <c r="AC5" s="14">
        <f t="shared" ref="AC5" si="11">AC6+AC46</f>
        <v>3</v>
      </c>
      <c r="AD5" s="14">
        <f t="shared" ref="AD5" si="12">AD6+AD46</f>
        <v>2</v>
      </c>
      <c r="AE5" s="14">
        <f t="shared" ref="AE5" si="13">AE6+AE46</f>
        <v>0</v>
      </c>
      <c r="AF5" s="15">
        <v>32.614754098360656</v>
      </c>
      <c r="AG5" s="14"/>
      <c r="AH5" s="14">
        <f t="shared" ref="AH5" si="14">AH6+AH46</f>
        <v>116</v>
      </c>
      <c r="AI5" s="14">
        <f t="shared" ref="AI5" si="15">AI6+AI46</f>
        <v>214</v>
      </c>
      <c r="AJ5" s="14">
        <f t="shared" ref="AJ5" si="16">AJ6+AJ46</f>
        <v>147</v>
      </c>
      <c r="AK5" s="14">
        <f t="shared" ref="AK5" si="17">AK6+AK46</f>
        <v>163</v>
      </c>
      <c r="AL5" s="14">
        <f t="shared" ref="AL5" si="18">AL6+AL46</f>
        <v>65</v>
      </c>
      <c r="AM5" s="14">
        <f t="shared" ref="AM5" si="19">AM6+AM46</f>
        <v>14</v>
      </c>
      <c r="AN5" s="15">
        <v>38.130834512022631</v>
      </c>
      <c r="AO5" s="14"/>
      <c r="AP5" s="14">
        <f>R5+Z5+AH5</f>
        <v>454</v>
      </c>
      <c r="AQ5" s="14">
        <f t="shared" ref="AQ5:AU5" si="20">S5+AA5+AI5</f>
        <v>983</v>
      </c>
      <c r="AR5" s="14">
        <f t="shared" si="20"/>
        <v>438</v>
      </c>
      <c r="AS5" s="14">
        <f t="shared" si="20"/>
        <v>290</v>
      </c>
      <c r="AT5" s="14">
        <f t="shared" si="20"/>
        <v>75</v>
      </c>
      <c r="AU5" s="14">
        <f t="shared" si="20"/>
        <v>24</v>
      </c>
      <c r="AV5" s="16">
        <v>33.700402144772113</v>
      </c>
      <c r="AW5" s="17"/>
      <c r="AX5" s="55">
        <f>SUM(AP5:AU5)</f>
        <v>2264</v>
      </c>
      <c r="AY5" s="55">
        <v>2262</v>
      </c>
      <c r="AZ5" s="18">
        <f>AX5-AY5</f>
        <v>2</v>
      </c>
      <c r="BA5" s="17"/>
      <c r="BB5" s="17"/>
      <c r="BC5" s="17"/>
      <c r="BD5" s="17"/>
      <c r="BE5" s="17"/>
      <c r="BF5" s="19"/>
    </row>
    <row r="6" spans="1:58" s="7" customFormat="1" ht="15" customHeight="1" x14ac:dyDescent="0.35">
      <c r="A6" s="20" t="s">
        <v>14</v>
      </c>
      <c r="B6" s="21">
        <f t="shared" ref="B6:G6" si="21">SUM(B7:B45)</f>
        <v>35</v>
      </c>
      <c r="C6" s="21">
        <f t="shared" si="21"/>
        <v>170</v>
      </c>
      <c r="D6" s="21">
        <f t="shared" si="21"/>
        <v>65</v>
      </c>
      <c r="E6" s="21">
        <f t="shared" si="21"/>
        <v>46</v>
      </c>
      <c r="F6" s="21">
        <f t="shared" si="21"/>
        <v>1</v>
      </c>
      <c r="G6" s="21">
        <f t="shared" si="21"/>
        <v>0</v>
      </c>
      <c r="H6" s="15">
        <v>34.073482428115007</v>
      </c>
      <c r="I6" s="21"/>
      <c r="J6" s="21">
        <f t="shared" ref="J6:O6" si="22">SUM(J7:J45)</f>
        <v>256</v>
      </c>
      <c r="K6" s="21">
        <f t="shared" si="22"/>
        <v>456</v>
      </c>
      <c r="L6" s="21">
        <f t="shared" si="22"/>
        <v>190</v>
      </c>
      <c r="M6" s="21">
        <f t="shared" si="22"/>
        <v>73</v>
      </c>
      <c r="N6" s="21">
        <f t="shared" si="22"/>
        <v>7</v>
      </c>
      <c r="O6" s="21">
        <f t="shared" si="22"/>
        <v>10</v>
      </c>
      <c r="P6" s="16">
        <v>31.145621181262726</v>
      </c>
      <c r="Q6" s="21"/>
      <c r="R6" s="21">
        <f t="shared" ref="R6:W6" si="23">SUM(R7:R45)</f>
        <v>291</v>
      </c>
      <c r="S6" s="21">
        <f t="shared" si="23"/>
        <v>626</v>
      </c>
      <c r="T6" s="21">
        <f t="shared" si="23"/>
        <v>255</v>
      </c>
      <c r="U6" s="21">
        <f t="shared" si="23"/>
        <v>119</v>
      </c>
      <c r="V6" s="21">
        <f t="shared" si="23"/>
        <v>8</v>
      </c>
      <c r="W6" s="21">
        <f t="shared" si="23"/>
        <v>10</v>
      </c>
      <c r="X6" s="16">
        <v>31.853281853281853</v>
      </c>
      <c r="Y6" s="21"/>
      <c r="Z6" s="21">
        <f t="shared" ref="Z6:AE6" si="24">SUM(Z7:Z45)</f>
        <v>8</v>
      </c>
      <c r="AA6" s="21">
        <f t="shared" si="24"/>
        <v>15</v>
      </c>
      <c r="AB6" s="21">
        <f t="shared" si="24"/>
        <v>10</v>
      </c>
      <c r="AC6" s="21">
        <f t="shared" si="24"/>
        <v>2</v>
      </c>
      <c r="AD6" s="21">
        <f t="shared" si="24"/>
        <v>1</v>
      </c>
      <c r="AE6" s="21">
        <f t="shared" si="24"/>
        <v>0</v>
      </c>
      <c r="AF6" s="15">
        <v>32.680555555555557</v>
      </c>
      <c r="AG6" s="21"/>
      <c r="AH6" s="21">
        <f t="shared" ref="AH6:AM6" si="25">SUM(AH7:AH45)</f>
        <v>81</v>
      </c>
      <c r="AI6" s="21">
        <f t="shared" si="25"/>
        <v>142</v>
      </c>
      <c r="AJ6" s="21">
        <f t="shared" si="25"/>
        <v>103</v>
      </c>
      <c r="AK6" s="21">
        <f t="shared" si="25"/>
        <v>130</v>
      </c>
      <c r="AL6" s="21">
        <f t="shared" si="25"/>
        <v>50</v>
      </c>
      <c r="AM6" s="21">
        <f t="shared" si="25"/>
        <v>14</v>
      </c>
      <c r="AN6" s="15">
        <v>38.863188976377948</v>
      </c>
      <c r="AO6" s="21"/>
      <c r="AP6" s="21">
        <f>SUM(AP7:AP45)</f>
        <v>380</v>
      </c>
      <c r="AQ6" s="21">
        <f t="shared" ref="AQ6:AU6" si="26">SUM(AQ7:AQ45)</f>
        <v>783</v>
      </c>
      <c r="AR6" s="21">
        <f t="shared" si="26"/>
        <v>368</v>
      </c>
      <c r="AS6" s="21">
        <f t="shared" si="26"/>
        <v>251</v>
      </c>
      <c r="AT6" s="21">
        <f t="shared" si="26"/>
        <v>59</v>
      </c>
      <c r="AU6" s="21">
        <f t="shared" si="26"/>
        <v>24</v>
      </c>
      <c r="AV6" s="16">
        <v>33.80587275693312</v>
      </c>
      <c r="AW6" s="17"/>
      <c r="AX6" s="55">
        <f t="shared" ref="AX6:AX53" si="27">SUM(AP6:AU6)</f>
        <v>1865</v>
      </c>
      <c r="AY6" s="55">
        <v>1865</v>
      </c>
      <c r="AZ6" s="18">
        <f t="shared" ref="AZ6:AZ53" si="28">AX6-AY6</f>
        <v>0</v>
      </c>
      <c r="BA6" s="17"/>
      <c r="BB6" s="17"/>
      <c r="BC6" s="17"/>
      <c r="BD6" s="17"/>
      <c r="BE6" s="17"/>
    </row>
    <row r="7" spans="1:58" s="7" customFormat="1" ht="15" customHeight="1" thickBot="1" x14ac:dyDescent="0.4">
      <c r="A7" s="2" t="s">
        <v>15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 t="s">
        <v>71</v>
      </c>
      <c r="I7" s="22"/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15" t="s">
        <v>71</v>
      </c>
      <c r="Q7" s="22"/>
      <c r="R7" s="29">
        <f t="shared" ref="R7:R45" si="29">B7+J7</f>
        <v>0</v>
      </c>
      <c r="S7" s="29">
        <f t="shared" ref="S7:S45" si="30">C7+K7</f>
        <v>0</v>
      </c>
      <c r="T7" s="29">
        <f t="shared" ref="T7:T45" si="31">D7+L7</f>
        <v>0</v>
      </c>
      <c r="U7" s="29">
        <f t="shared" ref="U7:U45" si="32">E7+M7</f>
        <v>0</v>
      </c>
      <c r="V7" s="29">
        <f t="shared" ref="V7:V45" si="33">F7+N7</f>
        <v>0</v>
      </c>
      <c r="W7" s="29">
        <f t="shared" ref="W7:W45" si="34">G7+O7</f>
        <v>0</v>
      </c>
      <c r="X7" s="15" t="s">
        <v>71</v>
      </c>
      <c r="Y7" s="22"/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3" t="s">
        <v>71</v>
      </c>
      <c r="AG7" s="22"/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3" t="s">
        <v>71</v>
      </c>
      <c r="AO7" s="22"/>
      <c r="AP7" s="21">
        <f t="shared" ref="AP7:AP27" si="35">AH7+Z7+R7</f>
        <v>0</v>
      </c>
      <c r="AQ7" s="21">
        <f t="shared" ref="AQ7:AQ28" si="36">AI7+AA7+S7</f>
        <v>0</v>
      </c>
      <c r="AR7" s="21">
        <f t="shared" ref="AR7:AR28" si="37">AJ7+AB7+T7</f>
        <v>0</v>
      </c>
      <c r="AS7" s="21">
        <f t="shared" ref="AS7:AS28" si="38">AK7+AC7+U7</f>
        <v>0</v>
      </c>
      <c r="AT7" s="21">
        <f t="shared" ref="AT7:AT28" si="39">AL7+AD7+V7</f>
        <v>0</v>
      </c>
      <c r="AU7" s="21">
        <f t="shared" ref="AU7:AU28" si="40">AM7+AE7+W7</f>
        <v>0</v>
      </c>
      <c r="AV7" s="15" t="s">
        <v>71</v>
      </c>
      <c r="AW7" s="17"/>
      <c r="AX7" s="55">
        <f t="shared" si="27"/>
        <v>0</v>
      </c>
      <c r="AY7" s="55">
        <v>0</v>
      </c>
      <c r="AZ7" s="18">
        <f t="shared" si="28"/>
        <v>0</v>
      </c>
      <c r="BA7" s="17"/>
      <c r="BB7" s="17"/>
      <c r="BC7" s="17"/>
      <c r="BD7" s="17"/>
      <c r="BE7" s="17"/>
    </row>
    <row r="8" spans="1:58" s="7" customFormat="1" ht="15" customHeight="1" thickBot="1" x14ac:dyDescent="0.4">
      <c r="A8" s="2" t="s">
        <v>16</v>
      </c>
      <c r="B8" s="22">
        <v>3</v>
      </c>
      <c r="C8" s="22">
        <v>15</v>
      </c>
      <c r="D8" s="22">
        <v>5</v>
      </c>
      <c r="E8" s="22">
        <v>0</v>
      </c>
      <c r="F8" s="22">
        <v>0</v>
      </c>
      <c r="G8" s="22">
        <v>0</v>
      </c>
      <c r="H8" s="23">
        <v>30.978260869565219</v>
      </c>
      <c r="I8" s="22"/>
      <c r="J8" s="22">
        <v>5</v>
      </c>
      <c r="K8" s="22">
        <v>8</v>
      </c>
      <c r="L8" s="22">
        <v>5</v>
      </c>
      <c r="M8" s="22">
        <v>3</v>
      </c>
      <c r="N8" s="22">
        <v>1</v>
      </c>
      <c r="O8" s="22">
        <v>0</v>
      </c>
      <c r="P8" s="15">
        <v>34.295454545454547</v>
      </c>
      <c r="Q8" s="22"/>
      <c r="R8" s="29">
        <f t="shared" si="29"/>
        <v>8</v>
      </c>
      <c r="S8" s="29">
        <f t="shared" si="30"/>
        <v>23</v>
      </c>
      <c r="T8" s="29">
        <f t="shared" si="31"/>
        <v>10</v>
      </c>
      <c r="U8" s="29">
        <f t="shared" si="32"/>
        <v>3</v>
      </c>
      <c r="V8" s="29">
        <f t="shared" si="33"/>
        <v>1</v>
      </c>
      <c r="W8" s="29">
        <f t="shared" si="34"/>
        <v>0</v>
      </c>
      <c r="X8" s="15">
        <v>32.6</v>
      </c>
      <c r="Y8" s="22"/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3" t="s">
        <v>71</v>
      </c>
      <c r="AG8" s="22"/>
      <c r="AH8" s="22">
        <v>1</v>
      </c>
      <c r="AI8" s="22">
        <v>2</v>
      </c>
      <c r="AJ8" s="22">
        <v>2</v>
      </c>
      <c r="AK8" s="22">
        <v>3</v>
      </c>
      <c r="AL8" s="22">
        <v>4</v>
      </c>
      <c r="AM8" s="22">
        <v>0</v>
      </c>
      <c r="AN8" s="23">
        <v>46.208333333333329</v>
      </c>
      <c r="AO8" s="22"/>
      <c r="AP8" s="21">
        <f t="shared" si="35"/>
        <v>9</v>
      </c>
      <c r="AQ8" s="21">
        <f t="shared" si="36"/>
        <v>25</v>
      </c>
      <c r="AR8" s="21">
        <f t="shared" si="37"/>
        <v>12</v>
      </c>
      <c r="AS8" s="21">
        <f t="shared" si="38"/>
        <v>6</v>
      </c>
      <c r="AT8" s="21">
        <f t="shared" si="39"/>
        <v>5</v>
      </c>
      <c r="AU8" s="21">
        <f t="shared" si="40"/>
        <v>0</v>
      </c>
      <c r="AV8" s="15">
        <v>35.464912280701753</v>
      </c>
      <c r="AW8" s="17"/>
      <c r="AX8" s="55">
        <f t="shared" si="27"/>
        <v>57</v>
      </c>
      <c r="AY8" s="55">
        <v>57</v>
      </c>
      <c r="AZ8" s="18">
        <f t="shared" si="28"/>
        <v>0</v>
      </c>
      <c r="BA8" s="17"/>
      <c r="BB8" s="17"/>
      <c r="BC8" s="17"/>
      <c r="BD8" s="17"/>
      <c r="BE8" s="17"/>
    </row>
    <row r="9" spans="1:58" s="7" customFormat="1" ht="15" customHeight="1" thickBot="1" x14ac:dyDescent="0.4">
      <c r="A9" s="2" t="s">
        <v>17</v>
      </c>
      <c r="B9" s="22">
        <v>0</v>
      </c>
      <c r="C9" s="22">
        <v>6</v>
      </c>
      <c r="D9" s="22">
        <v>1</v>
      </c>
      <c r="E9" s="22">
        <v>0</v>
      </c>
      <c r="F9" s="22">
        <v>0</v>
      </c>
      <c r="G9" s="22">
        <v>0</v>
      </c>
      <c r="H9" s="23">
        <v>31.499999999999996</v>
      </c>
      <c r="I9" s="22"/>
      <c r="J9" s="22">
        <v>2</v>
      </c>
      <c r="K9" s="22">
        <v>5</v>
      </c>
      <c r="L9" s="22">
        <v>1</v>
      </c>
      <c r="M9" s="22">
        <v>0</v>
      </c>
      <c r="N9" s="22">
        <v>0</v>
      </c>
      <c r="O9" s="22">
        <v>0</v>
      </c>
      <c r="P9" s="15">
        <v>28.8125</v>
      </c>
      <c r="Q9" s="22"/>
      <c r="R9" s="29">
        <f t="shared" si="29"/>
        <v>2</v>
      </c>
      <c r="S9" s="29">
        <f t="shared" si="30"/>
        <v>11</v>
      </c>
      <c r="T9" s="29">
        <f t="shared" si="31"/>
        <v>2</v>
      </c>
      <c r="U9" s="29">
        <f t="shared" si="32"/>
        <v>0</v>
      </c>
      <c r="V9" s="29">
        <f t="shared" si="33"/>
        <v>0</v>
      </c>
      <c r="W9" s="29">
        <f t="shared" si="34"/>
        <v>0</v>
      </c>
      <c r="X9" s="15">
        <v>30.06666666666667</v>
      </c>
      <c r="Y9" s="22"/>
      <c r="Z9" s="22">
        <v>1</v>
      </c>
      <c r="AA9" s="22">
        <v>2</v>
      </c>
      <c r="AB9" s="22">
        <v>0</v>
      </c>
      <c r="AC9" s="22">
        <v>0</v>
      </c>
      <c r="AD9" s="22">
        <v>0</v>
      </c>
      <c r="AE9" s="22">
        <v>0</v>
      </c>
      <c r="AF9" s="23">
        <v>26.666666666666664</v>
      </c>
      <c r="AG9" s="22"/>
      <c r="AH9" s="22">
        <v>1</v>
      </c>
      <c r="AI9" s="22">
        <v>11</v>
      </c>
      <c r="AJ9" s="22">
        <v>6</v>
      </c>
      <c r="AK9" s="22">
        <v>4</v>
      </c>
      <c r="AL9" s="22">
        <v>0</v>
      </c>
      <c r="AM9" s="22">
        <v>0</v>
      </c>
      <c r="AN9" s="23">
        <v>36.136363636363633</v>
      </c>
      <c r="AO9" s="22"/>
      <c r="AP9" s="21">
        <f t="shared" si="35"/>
        <v>4</v>
      </c>
      <c r="AQ9" s="21">
        <f t="shared" si="36"/>
        <v>24</v>
      </c>
      <c r="AR9" s="21">
        <f t="shared" si="37"/>
        <v>8</v>
      </c>
      <c r="AS9" s="21">
        <f t="shared" si="38"/>
        <v>4</v>
      </c>
      <c r="AT9" s="21">
        <f t="shared" si="39"/>
        <v>0</v>
      </c>
      <c r="AU9" s="21">
        <f t="shared" si="40"/>
        <v>0</v>
      </c>
      <c r="AV9" s="15">
        <v>33.150000000000006</v>
      </c>
      <c r="AW9" s="17"/>
      <c r="AX9" s="55">
        <f t="shared" si="27"/>
        <v>40</v>
      </c>
      <c r="AY9" s="55">
        <v>40</v>
      </c>
      <c r="AZ9" s="18">
        <f t="shared" si="28"/>
        <v>0</v>
      </c>
      <c r="BA9" s="17"/>
      <c r="BB9" s="17"/>
      <c r="BC9" s="17"/>
      <c r="BD9" s="17"/>
      <c r="BE9" s="17"/>
    </row>
    <row r="10" spans="1:58" s="7" customFormat="1" ht="15" customHeight="1" thickBot="1" x14ac:dyDescent="0.4">
      <c r="A10" s="2" t="s">
        <v>18</v>
      </c>
      <c r="B10" s="22">
        <v>0</v>
      </c>
      <c r="C10" s="22">
        <v>7</v>
      </c>
      <c r="D10" s="22">
        <v>2</v>
      </c>
      <c r="E10" s="22">
        <v>1</v>
      </c>
      <c r="F10" s="22">
        <v>1</v>
      </c>
      <c r="G10" s="22">
        <v>0</v>
      </c>
      <c r="H10" s="23">
        <v>36.545454545454547</v>
      </c>
      <c r="I10" s="22"/>
      <c r="J10" s="22">
        <v>4</v>
      </c>
      <c r="K10" s="22">
        <v>11</v>
      </c>
      <c r="L10" s="22">
        <v>5</v>
      </c>
      <c r="M10" s="22">
        <v>1</v>
      </c>
      <c r="N10" s="22">
        <v>0</v>
      </c>
      <c r="O10" s="22">
        <v>0</v>
      </c>
      <c r="P10" s="15">
        <v>31.571428571428573</v>
      </c>
      <c r="Q10" s="22"/>
      <c r="R10" s="29">
        <f t="shared" si="29"/>
        <v>4</v>
      </c>
      <c r="S10" s="29">
        <f t="shared" si="30"/>
        <v>18</v>
      </c>
      <c r="T10" s="29">
        <f t="shared" si="31"/>
        <v>7</v>
      </c>
      <c r="U10" s="29">
        <f t="shared" si="32"/>
        <v>2</v>
      </c>
      <c r="V10" s="29">
        <f t="shared" si="33"/>
        <v>1</v>
      </c>
      <c r="W10" s="29">
        <f t="shared" si="34"/>
        <v>0</v>
      </c>
      <c r="X10" s="15">
        <v>33.28125</v>
      </c>
      <c r="Y10" s="22"/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 t="s">
        <v>71</v>
      </c>
      <c r="AG10" s="22"/>
      <c r="AH10" s="22">
        <v>0</v>
      </c>
      <c r="AI10" s="22">
        <v>5</v>
      </c>
      <c r="AJ10" s="22">
        <v>2</v>
      </c>
      <c r="AK10" s="22">
        <v>2</v>
      </c>
      <c r="AL10" s="22">
        <v>0</v>
      </c>
      <c r="AM10" s="22">
        <v>0</v>
      </c>
      <c r="AN10" s="23">
        <v>36.888888888888886</v>
      </c>
      <c r="AO10" s="22"/>
      <c r="AP10" s="21">
        <f t="shared" si="35"/>
        <v>4</v>
      </c>
      <c r="AQ10" s="21">
        <f t="shared" si="36"/>
        <v>23</v>
      </c>
      <c r="AR10" s="21">
        <f t="shared" si="37"/>
        <v>9</v>
      </c>
      <c r="AS10" s="21">
        <f t="shared" si="38"/>
        <v>4</v>
      </c>
      <c r="AT10" s="21">
        <f t="shared" si="39"/>
        <v>1</v>
      </c>
      <c r="AU10" s="21">
        <f t="shared" si="40"/>
        <v>0</v>
      </c>
      <c r="AV10" s="15">
        <v>34.073170731707322</v>
      </c>
      <c r="AW10" s="17"/>
      <c r="AX10" s="55">
        <f t="shared" si="27"/>
        <v>41</v>
      </c>
      <c r="AY10" s="55">
        <v>41</v>
      </c>
      <c r="AZ10" s="18">
        <f t="shared" si="28"/>
        <v>0</v>
      </c>
      <c r="BA10" s="17"/>
      <c r="BB10" s="17"/>
      <c r="BC10" s="17"/>
      <c r="BD10" s="17"/>
      <c r="BE10" s="17"/>
    </row>
    <row r="11" spans="1:58" s="7" customFormat="1" ht="15" customHeight="1" thickBot="1" x14ac:dyDescent="0.4">
      <c r="A11" s="2" t="s">
        <v>19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 t="s">
        <v>71</v>
      </c>
      <c r="I11" s="22"/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15" t="s">
        <v>71</v>
      </c>
      <c r="Q11" s="22"/>
      <c r="R11" s="29">
        <f t="shared" si="29"/>
        <v>0</v>
      </c>
      <c r="S11" s="29">
        <f t="shared" si="30"/>
        <v>0</v>
      </c>
      <c r="T11" s="29">
        <f t="shared" si="31"/>
        <v>0</v>
      </c>
      <c r="U11" s="29">
        <f t="shared" si="32"/>
        <v>0</v>
      </c>
      <c r="V11" s="29">
        <f t="shared" si="33"/>
        <v>0</v>
      </c>
      <c r="W11" s="29">
        <f t="shared" si="34"/>
        <v>0</v>
      </c>
      <c r="X11" s="15" t="s">
        <v>71</v>
      </c>
      <c r="Y11" s="22"/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3" t="s">
        <v>71</v>
      </c>
      <c r="AG11" s="22"/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3" t="s">
        <v>71</v>
      </c>
      <c r="AO11" s="22"/>
      <c r="AP11" s="21">
        <f t="shared" si="35"/>
        <v>0</v>
      </c>
      <c r="AQ11" s="21">
        <f t="shared" si="36"/>
        <v>0</v>
      </c>
      <c r="AR11" s="21">
        <f t="shared" si="37"/>
        <v>0</v>
      </c>
      <c r="AS11" s="21">
        <f t="shared" si="38"/>
        <v>0</v>
      </c>
      <c r="AT11" s="21">
        <f t="shared" si="39"/>
        <v>0</v>
      </c>
      <c r="AU11" s="21">
        <f t="shared" si="40"/>
        <v>0</v>
      </c>
      <c r="AV11" s="15" t="s">
        <v>71</v>
      </c>
      <c r="AW11" s="17"/>
      <c r="AX11" s="55">
        <f t="shared" si="27"/>
        <v>0</v>
      </c>
      <c r="AY11" s="55">
        <v>0</v>
      </c>
      <c r="AZ11" s="18">
        <f t="shared" si="28"/>
        <v>0</v>
      </c>
      <c r="BA11" s="17"/>
      <c r="BB11" s="17"/>
      <c r="BC11" s="17"/>
      <c r="BD11" s="17"/>
      <c r="BE11" s="17"/>
    </row>
    <row r="12" spans="1:58" s="7" customFormat="1" ht="15" customHeight="1" thickBot="1" x14ac:dyDescent="0.4">
      <c r="A12" s="2" t="s">
        <v>20</v>
      </c>
      <c r="B12" s="22">
        <v>7</v>
      </c>
      <c r="C12" s="22">
        <v>20</v>
      </c>
      <c r="D12" s="22">
        <v>2</v>
      </c>
      <c r="E12" s="22">
        <v>1</v>
      </c>
      <c r="F12" s="22">
        <v>0</v>
      </c>
      <c r="G12" s="22">
        <v>0</v>
      </c>
      <c r="H12" s="23">
        <v>29.05</v>
      </c>
      <c r="I12" s="22"/>
      <c r="J12" s="22">
        <v>9</v>
      </c>
      <c r="K12" s="22">
        <v>29</v>
      </c>
      <c r="L12" s="22">
        <v>19</v>
      </c>
      <c r="M12" s="22">
        <v>3</v>
      </c>
      <c r="N12" s="22">
        <v>0</v>
      </c>
      <c r="O12" s="22">
        <v>0</v>
      </c>
      <c r="P12" s="15">
        <v>32.85</v>
      </c>
      <c r="Q12" s="22"/>
      <c r="R12" s="29">
        <f t="shared" si="29"/>
        <v>16</v>
      </c>
      <c r="S12" s="29">
        <f t="shared" si="30"/>
        <v>49</v>
      </c>
      <c r="T12" s="29">
        <f t="shared" si="31"/>
        <v>21</v>
      </c>
      <c r="U12" s="29">
        <f t="shared" si="32"/>
        <v>4</v>
      </c>
      <c r="V12" s="29">
        <f t="shared" si="33"/>
        <v>0</v>
      </c>
      <c r="W12" s="29">
        <f t="shared" si="34"/>
        <v>0</v>
      </c>
      <c r="X12" s="15">
        <v>31.583333333333332</v>
      </c>
      <c r="Y12" s="22"/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 t="s">
        <v>71</v>
      </c>
      <c r="AG12" s="22"/>
      <c r="AH12" s="22">
        <v>18</v>
      </c>
      <c r="AI12" s="22">
        <v>13</v>
      </c>
      <c r="AJ12" s="22">
        <v>7</v>
      </c>
      <c r="AK12" s="22">
        <v>10</v>
      </c>
      <c r="AL12" s="22">
        <v>5</v>
      </c>
      <c r="AM12" s="22">
        <v>0</v>
      </c>
      <c r="AN12" s="23">
        <v>34.735849056603776</v>
      </c>
      <c r="AO12" s="22"/>
      <c r="AP12" s="21">
        <f t="shared" si="35"/>
        <v>34</v>
      </c>
      <c r="AQ12" s="21">
        <f t="shared" si="36"/>
        <v>62</v>
      </c>
      <c r="AR12" s="21">
        <f t="shared" si="37"/>
        <v>28</v>
      </c>
      <c r="AS12" s="21">
        <f t="shared" si="38"/>
        <v>14</v>
      </c>
      <c r="AT12" s="21">
        <f t="shared" si="39"/>
        <v>5</v>
      </c>
      <c r="AU12" s="21">
        <f t="shared" si="40"/>
        <v>0</v>
      </c>
      <c r="AV12" s="15">
        <v>32.751748251748246</v>
      </c>
      <c r="AW12" s="17"/>
      <c r="AX12" s="55">
        <f t="shared" si="27"/>
        <v>143</v>
      </c>
      <c r="AY12" s="55">
        <v>143</v>
      </c>
      <c r="AZ12" s="18">
        <f t="shared" si="28"/>
        <v>0</v>
      </c>
      <c r="BA12" s="17"/>
      <c r="BB12" s="17"/>
      <c r="BC12" s="17"/>
      <c r="BD12" s="17"/>
      <c r="BE12" s="17"/>
    </row>
    <row r="13" spans="1:58" s="7" customFormat="1" ht="15" customHeight="1" thickBot="1" x14ac:dyDescent="0.4">
      <c r="A13" s="2" t="s">
        <v>21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 t="s">
        <v>71</v>
      </c>
      <c r="I13" s="22"/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5" t="s">
        <v>71</v>
      </c>
      <c r="Q13" s="22"/>
      <c r="R13" s="29">
        <f t="shared" si="29"/>
        <v>0</v>
      </c>
      <c r="S13" s="29">
        <f t="shared" si="30"/>
        <v>0</v>
      </c>
      <c r="T13" s="29">
        <f t="shared" si="31"/>
        <v>0</v>
      </c>
      <c r="U13" s="29">
        <f t="shared" si="32"/>
        <v>0</v>
      </c>
      <c r="V13" s="29">
        <f t="shared" si="33"/>
        <v>0</v>
      </c>
      <c r="W13" s="29">
        <f t="shared" si="34"/>
        <v>0</v>
      </c>
      <c r="X13" s="15" t="s">
        <v>71</v>
      </c>
      <c r="Y13" s="22"/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3" t="s">
        <v>71</v>
      </c>
      <c r="AG13" s="22"/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3" t="s">
        <v>71</v>
      </c>
      <c r="AO13" s="22"/>
      <c r="AP13" s="21">
        <f t="shared" si="35"/>
        <v>0</v>
      </c>
      <c r="AQ13" s="21">
        <f t="shared" si="36"/>
        <v>0</v>
      </c>
      <c r="AR13" s="21">
        <f t="shared" si="37"/>
        <v>0</v>
      </c>
      <c r="AS13" s="21">
        <f t="shared" si="38"/>
        <v>0</v>
      </c>
      <c r="AT13" s="21">
        <f t="shared" si="39"/>
        <v>0</v>
      </c>
      <c r="AU13" s="21">
        <f t="shared" si="40"/>
        <v>0</v>
      </c>
      <c r="AV13" s="15" t="s">
        <v>71</v>
      </c>
      <c r="AW13" s="17"/>
      <c r="AX13" s="55">
        <f t="shared" si="27"/>
        <v>0</v>
      </c>
      <c r="AY13" s="55">
        <v>0</v>
      </c>
      <c r="AZ13" s="18">
        <f t="shared" si="28"/>
        <v>0</v>
      </c>
      <c r="BA13" s="17"/>
      <c r="BB13" s="17"/>
      <c r="BC13" s="17"/>
      <c r="BD13" s="17"/>
      <c r="BE13" s="17"/>
    </row>
    <row r="14" spans="1:58" s="7" customFormat="1" ht="15" customHeight="1" thickBot="1" x14ac:dyDescent="0.4">
      <c r="A14" s="2" t="s">
        <v>22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 t="s">
        <v>71</v>
      </c>
      <c r="I14" s="22"/>
      <c r="J14" s="22">
        <v>5</v>
      </c>
      <c r="K14" s="22">
        <v>19</v>
      </c>
      <c r="L14" s="22">
        <v>3</v>
      </c>
      <c r="M14" s="22">
        <v>0</v>
      </c>
      <c r="N14" s="22">
        <v>0</v>
      </c>
      <c r="O14" s="22">
        <v>0</v>
      </c>
      <c r="P14" s="15">
        <v>29.314814814814813</v>
      </c>
      <c r="Q14" s="22"/>
      <c r="R14" s="29">
        <f t="shared" si="29"/>
        <v>5</v>
      </c>
      <c r="S14" s="29">
        <f t="shared" si="30"/>
        <v>19</v>
      </c>
      <c r="T14" s="29">
        <f t="shared" si="31"/>
        <v>3</v>
      </c>
      <c r="U14" s="29">
        <f t="shared" si="32"/>
        <v>0</v>
      </c>
      <c r="V14" s="29">
        <f t="shared" si="33"/>
        <v>0</v>
      </c>
      <c r="W14" s="29">
        <f t="shared" si="34"/>
        <v>0</v>
      </c>
      <c r="X14" s="15">
        <v>29.314814814814813</v>
      </c>
      <c r="Y14" s="22"/>
      <c r="Z14" s="22">
        <v>1</v>
      </c>
      <c r="AA14" s="22">
        <v>1</v>
      </c>
      <c r="AB14" s="22">
        <v>0</v>
      </c>
      <c r="AC14" s="22">
        <v>0</v>
      </c>
      <c r="AD14" s="22">
        <v>0</v>
      </c>
      <c r="AE14" s="22">
        <v>0</v>
      </c>
      <c r="AF14" s="23">
        <v>25</v>
      </c>
      <c r="AG14" s="22"/>
      <c r="AH14" s="22">
        <v>1</v>
      </c>
      <c r="AI14" s="22">
        <v>2</v>
      </c>
      <c r="AJ14" s="22">
        <v>2</v>
      </c>
      <c r="AK14" s="22">
        <v>0</v>
      </c>
      <c r="AL14" s="22">
        <v>0</v>
      </c>
      <c r="AM14" s="22">
        <v>0</v>
      </c>
      <c r="AN14" s="23">
        <v>32.200000000000003</v>
      </c>
      <c r="AO14" s="22"/>
      <c r="AP14" s="21">
        <f t="shared" si="35"/>
        <v>7</v>
      </c>
      <c r="AQ14" s="21">
        <f t="shared" si="36"/>
        <v>22</v>
      </c>
      <c r="AR14" s="21">
        <f t="shared" si="37"/>
        <v>5</v>
      </c>
      <c r="AS14" s="21">
        <f t="shared" si="38"/>
        <v>0</v>
      </c>
      <c r="AT14" s="21">
        <f t="shared" si="39"/>
        <v>0</v>
      </c>
      <c r="AU14" s="21">
        <f t="shared" si="40"/>
        <v>0</v>
      </c>
      <c r="AV14" s="15">
        <v>29.485294117647062</v>
      </c>
      <c r="AW14" s="17"/>
      <c r="AX14" s="55">
        <f t="shared" si="27"/>
        <v>34</v>
      </c>
      <c r="AY14" s="55">
        <v>34</v>
      </c>
      <c r="AZ14" s="18">
        <f t="shared" si="28"/>
        <v>0</v>
      </c>
      <c r="BA14" s="17"/>
      <c r="BB14" s="17"/>
      <c r="BC14" s="17"/>
      <c r="BD14" s="17"/>
      <c r="BE14" s="17"/>
    </row>
    <row r="15" spans="1:58" s="7" customFormat="1" ht="15" customHeight="1" thickBot="1" x14ac:dyDescent="0.4">
      <c r="A15" s="2" t="s">
        <v>23</v>
      </c>
      <c r="B15" s="22">
        <v>2</v>
      </c>
      <c r="C15" s="22">
        <v>8</v>
      </c>
      <c r="D15" s="22">
        <v>1</v>
      </c>
      <c r="E15" s="22">
        <v>1</v>
      </c>
      <c r="F15" s="22">
        <v>0</v>
      </c>
      <c r="G15" s="22">
        <v>0</v>
      </c>
      <c r="H15" s="23">
        <v>30.916666666666664</v>
      </c>
      <c r="I15" s="22"/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5" t="s">
        <v>71</v>
      </c>
      <c r="Q15" s="22"/>
      <c r="R15" s="29">
        <f t="shared" si="29"/>
        <v>2</v>
      </c>
      <c r="S15" s="29">
        <f t="shared" si="30"/>
        <v>8</v>
      </c>
      <c r="T15" s="29">
        <f t="shared" si="31"/>
        <v>1</v>
      </c>
      <c r="U15" s="29">
        <f t="shared" si="32"/>
        <v>1</v>
      </c>
      <c r="V15" s="29">
        <f t="shared" si="33"/>
        <v>0</v>
      </c>
      <c r="W15" s="29">
        <f t="shared" si="34"/>
        <v>0</v>
      </c>
      <c r="X15" s="15">
        <v>30.916666666666664</v>
      </c>
      <c r="Y15" s="22"/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 t="s">
        <v>71</v>
      </c>
      <c r="AG15" s="22"/>
      <c r="AH15" s="22">
        <v>0</v>
      </c>
      <c r="AI15" s="22">
        <v>0</v>
      </c>
      <c r="AJ15" s="22">
        <v>1</v>
      </c>
      <c r="AK15" s="22">
        <v>1</v>
      </c>
      <c r="AL15" s="22">
        <v>0</v>
      </c>
      <c r="AM15" s="22">
        <v>0</v>
      </c>
      <c r="AN15" s="23">
        <v>45.5</v>
      </c>
      <c r="AO15" s="22"/>
      <c r="AP15" s="21">
        <f t="shared" si="35"/>
        <v>2</v>
      </c>
      <c r="AQ15" s="21">
        <f t="shared" si="36"/>
        <v>8</v>
      </c>
      <c r="AR15" s="21">
        <f t="shared" si="37"/>
        <v>2</v>
      </c>
      <c r="AS15" s="21">
        <f t="shared" si="38"/>
        <v>2</v>
      </c>
      <c r="AT15" s="21">
        <f t="shared" si="39"/>
        <v>0</v>
      </c>
      <c r="AU15" s="21">
        <f t="shared" si="40"/>
        <v>0</v>
      </c>
      <c r="AV15" s="15">
        <v>33</v>
      </c>
      <c r="AW15" s="17"/>
      <c r="AX15" s="55">
        <f t="shared" si="27"/>
        <v>14</v>
      </c>
      <c r="AY15" s="55">
        <v>14</v>
      </c>
      <c r="AZ15" s="18">
        <f t="shared" si="28"/>
        <v>0</v>
      </c>
      <c r="BA15" s="17"/>
      <c r="BB15" s="17"/>
      <c r="BC15" s="17"/>
      <c r="BD15" s="17"/>
      <c r="BE15" s="17"/>
    </row>
    <row r="16" spans="1:58" s="7" customFormat="1" ht="15" customHeight="1" thickBot="1" x14ac:dyDescent="0.4">
      <c r="A16" s="24" t="s">
        <v>24</v>
      </c>
      <c r="B16" s="22">
        <v>0</v>
      </c>
      <c r="C16" s="22">
        <v>20</v>
      </c>
      <c r="D16" s="22">
        <v>2</v>
      </c>
      <c r="E16" s="22">
        <v>2</v>
      </c>
      <c r="F16" s="22">
        <v>0</v>
      </c>
      <c r="G16" s="22">
        <v>0</v>
      </c>
      <c r="H16" s="23">
        <v>32.583333333333336</v>
      </c>
      <c r="I16" s="22"/>
      <c r="J16" s="22">
        <v>12</v>
      </c>
      <c r="K16" s="22">
        <v>17</v>
      </c>
      <c r="L16" s="22">
        <v>6</v>
      </c>
      <c r="M16" s="22">
        <v>3</v>
      </c>
      <c r="N16" s="22">
        <v>0</v>
      </c>
      <c r="O16" s="22">
        <v>0</v>
      </c>
      <c r="P16" s="15">
        <v>30.118421052631579</v>
      </c>
      <c r="Q16" s="22"/>
      <c r="R16" s="29">
        <f t="shared" si="29"/>
        <v>12</v>
      </c>
      <c r="S16" s="29">
        <f t="shared" si="30"/>
        <v>37</v>
      </c>
      <c r="T16" s="29">
        <f t="shared" si="31"/>
        <v>8</v>
      </c>
      <c r="U16" s="29">
        <f t="shared" si="32"/>
        <v>5</v>
      </c>
      <c r="V16" s="29">
        <f t="shared" si="33"/>
        <v>0</v>
      </c>
      <c r="W16" s="29">
        <f t="shared" si="34"/>
        <v>0</v>
      </c>
      <c r="X16" s="15">
        <v>31.072580645161288</v>
      </c>
      <c r="Y16" s="22"/>
      <c r="Z16" s="22">
        <v>0</v>
      </c>
      <c r="AA16" s="22">
        <v>2</v>
      </c>
      <c r="AB16" s="22">
        <v>1</v>
      </c>
      <c r="AC16" s="22">
        <v>0</v>
      </c>
      <c r="AD16" s="22">
        <v>0</v>
      </c>
      <c r="AE16" s="22">
        <v>0</v>
      </c>
      <c r="AF16" s="23">
        <v>33.5</v>
      </c>
      <c r="AG16" s="22"/>
      <c r="AH16" s="22">
        <v>10</v>
      </c>
      <c r="AI16" s="22">
        <v>2</v>
      </c>
      <c r="AJ16" s="22">
        <v>5</v>
      </c>
      <c r="AK16" s="22">
        <v>9</v>
      </c>
      <c r="AL16" s="22">
        <v>0</v>
      </c>
      <c r="AM16" s="22">
        <v>0</v>
      </c>
      <c r="AN16" s="23">
        <v>35.269230769230774</v>
      </c>
      <c r="AO16" s="22"/>
      <c r="AP16" s="21">
        <f t="shared" si="35"/>
        <v>22</v>
      </c>
      <c r="AQ16" s="21">
        <f t="shared" si="36"/>
        <v>41</v>
      </c>
      <c r="AR16" s="21">
        <f t="shared" si="37"/>
        <v>14</v>
      </c>
      <c r="AS16" s="21">
        <f t="shared" si="38"/>
        <v>14</v>
      </c>
      <c r="AT16" s="21">
        <f t="shared" si="39"/>
        <v>0</v>
      </c>
      <c r="AU16" s="21">
        <f t="shared" si="40"/>
        <v>0</v>
      </c>
      <c r="AV16" s="15">
        <v>32.35164835164835</v>
      </c>
      <c r="AW16" s="17"/>
      <c r="AX16" s="55">
        <f t="shared" si="27"/>
        <v>91</v>
      </c>
      <c r="AY16" s="55">
        <v>91</v>
      </c>
      <c r="AZ16" s="18">
        <f t="shared" si="28"/>
        <v>0</v>
      </c>
      <c r="BA16" s="17"/>
      <c r="BB16" s="17"/>
      <c r="BC16" s="17"/>
      <c r="BD16" s="17"/>
      <c r="BE16" s="17"/>
    </row>
    <row r="17" spans="1:57" s="7" customFormat="1" ht="15" customHeight="1" thickBot="1" x14ac:dyDescent="0.4">
      <c r="A17" s="24" t="s">
        <v>25</v>
      </c>
      <c r="B17" s="22">
        <v>0</v>
      </c>
      <c r="C17" s="22">
        <v>0</v>
      </c>
      <c r="D17" s="22">
        <v>3</v>
      </c>
      <c r="E17" s="22">
        <v>0</v>
      </c>
      <c r="F17" s="22">
        <v>0</v>
      </c>
      <c r="G17" s="22">
        <v>0</v>
      </c>
      <c r="H17" s="23">
        <v>40.5</v>
      </c>
      <c r="I17" s="22"/>
      <c r="J17" s="22">
        <v>21</v>
      </c>
      <c r="K17" s="22">
        <v>42</v>
      </c>
      <c r="L17" s="22">
        <v>26</v>
      </c>
      <c r="M17" s="22">
        <v>5</v>
      </c>
      <c r="N17" s="22">
        <v>0</v>
      </c>
      <c r="O17" s="22">
        <v>0</v>
      </c>
      <c r="P17" s="15">
        <v>31.76063829787234</v>
      </c>
      <c r="Q17" s="22"/>
      <c r="R17" s="29">
        <f t="shared" si="29"/>
        <v>21</v>
      </c>
      <c r="S17" s="29">
        <f t="shared" si="30"/>
        <v>42</v>
      </c>
      <c r="T17" s="29">
        <f t="shared" si="31"/>
        <v>29</v>
      </c>
      <c r="U17" s="29">
        <f t="shared" si="32"/>
        <v>5</v>
      </c>
      <c r="V17" s="29">
        <f t="shared" si="33"/>
        <v>0</v>
      </c>
      <c r="W17" s="29">
        <f t="shared" si="34"/>
        <v>0</v>
      </c>
      <c r="X17" s="15">
        <v>32.03092783505155</v>
      </c>
      <c r="Y17" s="22"/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 t="s">
        <v>71</v>
      </c>
      <c r="AG17" s="22"/>
      <c r="AH17" s="22">
        <v>1</v>
      </c>
      <c r="AI17" s="22">
        <v>0</v>
      </c>
      <c r="AJ17" s="22">
        <v>1</v>
      </c>
      <c r="AK17" s="22">
        <v>3</v>
      </c>
      <c r="AL17" s="22">
        <v>0</v>
      </c>
      <c r="AM17" s="22">
        <v>0</v>
      </c>
      <c r="AN17" s="23">
        <v>42.4</v>
      </c>
      <c r="AO17" s="22"/>
      <c r="AP17" s="21">
        <f t="shared" si="35"/>
        <v>22</v>
      </c>
      <c r="AQ17" s="21">
        <f t="shared" si="36"/>
        <v>42</v>
      </c>
      <c r="AR17" s="21">
        <f t="shared" si="37"/>
        <v>30</v>
      </c>
      <c r="AS17" s="21">
        <f t="shared" si="38"/>
        <v>8</v>
      </c>
      <c r="AT17" s="21">
        <f t="shared" si="39"/>
        <v>0</v>
      </c>
      <c r="AU17" s="21">
        <f t="shared" si="40"/>
        <v>0</v>
      </c>
      <c r="AV17" s="15">
        <v>32.53921568627451</v>
      </c>
      <c r="AW17" s="17"/>
      <c r="AX17" s="55">
        <f t="shared" si="27"/>
        <v>102</v>
      </c>
      <c r="AY17" s="55">
        <v>102</v>
      </c>
      <c r="AZ17" s="18">
        <f t="shared" si="28"/>
        <v>0</v>
      </c>
      <c r="BA17" s="17"/>
      <c r="BB17" s="17"/>
      <c r="BC17" s="17"/>
      <c r="BD17" s="17"/>
      <c r="BE17" s="17"/>
    </row>
    <row r="18" spans="1:57" s="7" customFormat="1" ht="15" customHeight="1" thickBot="1" x14ac:dyDescent="0.4">
      <c r="A18" s="2" t="s">
        <v>26</v>
      </c>
      <c r="B18" s="22">
        <v>4</v>
      </c>
      <c r="C18" s="22">
        <v>12</v>
      </c>
      <c r="D18" s="22">
        <v>2</v>
      </c>
      <c r="E18" s="22">
        <v>0</v>
      </c>
      <c r="F18" s="22">
        <v>0</v>
      </c>
      <c r="G18" s="22">
        <v>0</v>
      </c>
      <c r="H18" s="23">
        <v>28.944444444444443</v>
      </c>
      <c r="I18" s="22"/>
      <c r="J18" s="22">
        <v>9</v>
      </c>
      <c r="K18" s="22">
        <v>13</v>
      </c>
      <c r="L18" s="22">
        <v>7</v>
      </c>
      <c r="M18" s="22">
        <v>3</v>
      </c>
      <c r="N18" s="22">
        <v>0</v>
      </c>
      <c r="O18" s="22">
        <v>0</v>
      </c>
      <c r="P18" s="15">
        <v>31.40625</v>
      </c>
      <c r="Q18" s="22"/>
      <c r="R18" s="29">
        <f t="shared" si="29"/>
        <v>13</v>
      </c>
      <c r="S18" s="29">
        <f t="shared" si="30"/>
        <v>25</v>
      </c>
      <c r="T18" s="29">
        <f t="shared" si="31"/>
        <v>9</v>
      </c>
      <c r="U18" s="29">
        <f t="shared" si="32"/>
        <v>3</v>
      </c>
      <c r="V18" s="29">
        <f t="shared" si="33"/>
        <v>0</v>
      </c>
      <c r="W18" s="29">
        <f t="shared" si="34"/>
        <v>0</v>
      </c>
      <c r="X18" s="15">
        <v>30.52</v>
      </c>
      <c r="Y18" s="22"/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3" t="s">
        <v>71</v>
      </c>
      <c r="AG18" s="22"/>
      <c r="AH18" s="22">
        <v>3</v>
      </c>
      <c r="AI18" s="22">
        <v>9</v>
      </c>
      <c r="AJ18" s="22">
        <v>6</v>
      </c>
      <c r="AK18" s="22">
        <v>9</v>
      </c>
      <c r="AL18" s="22">
        <v>5</v>
      </c>
      <c r="AM18" s="22">
        <v>0</v>
      </c>
      <c r="AN18" s="23">
        <v>41.5625</v>
      </c>
      <c r="AO18" s="22"/>
      <c r="AP18" s="21">
        <f t="shared" si="35"/>
        <v>16</v>
      </c>
      <c r="AQ18" s="21">
        <f t="shared" si="36"/>
        <v>34</v>
      </c>
      <c r="AR18" s="21">
        <f t="shared" si="37"/>
        <v>15</v>
      </c>
      <c r="AS18" s="21">
        <f t="shared" si="38"/>
        <v>12</v>
      </c>
      <c r="AT18" s="21">
        <f t="shared" si="39"/>
        <v>5</v>
      </c>
      <c r="AU18" s="21">
        <f t="shared" si="40"/>
        <v>0</v>
      </c>
      <c r="AV18" s="15">
        <v>34.829268292682926</v>
      </c>
      <c r="AW18" s="17"/>
      <c r="AX18" s="55">
        <f t="shared" si="27"/>
        <v>82</v>
      </c>
      <c r="AY18" s="55">
        <v>82</v>
      </c>
      <c r="AZ18" s="18">
        <f t="shared" si="28"/>
        <v>0</v>
      </c>
      <c r="BA18" s="17"/>
      <c r="BB18" s="17"/>
      <c r="BC18" s="17"/>
      <c r="BD18" s="17"/>
      <c r="BE18" s="17"/>
    </row>
    <row r="19" spans="1:57" s="7" customFormat="1" ht="15" customHeight="1" thickBot="1" x14ac:dyDescent="0.4">
      <c r="A19" s="2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 t="s">
        <v>71</v>
      </c>
      <c r="I19" s="22"/>
      <c r="J19" s="22">
        <v>2</v>
      </c>
      <c r="K19" s="22">
        <v>5</v>
      </c>
      <c r="L19" s="22">
        <v>1</v>
      </c>
      <c r="M19" s="22">
        <v>1</v>
      </c>
      <c r="N19" s="22">
        <v>0</v>
      </c>
      <c r="O19" s="22">
        <v>0</v>
      </c>
      <c r="P19" s="15">
        <v>31.222222222222225</v>
      </c>
      <c r="Q19" s="22"/>
      <c r="R19" s="29">
        <f t="shared" si="29"/>
        <v>2</v>
      </c>
      <c r="S19" s="29">
        <f t="shared" si="30"/>
        <v>5</v>
      </c>
      <c r="T19" s="29">
        <f t="shared" si="31"/>
        <v>1</v>
      </c>
      <c r="U19" s="29">
        <f t="shared" si="32"/>
        <v>1</v>
      </c>
      <c r="V19" s="29">
        <f t="shared" si="33"/>
        <v>0</v>
      </c>
      <c r="W19" s="29">
        <f t="shared" si="34"/>
        <v>0</v>
      </c>
      <c r="X19" s="15">
        <v>31.222222222222225</v>
      </c>
      <c r="Y19" s="22"/>
      <c r="Z19" s="22">
        <v>1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3">
        <v>20</v>
      </c>
      <c r="AG19" s="22"/>
      <c r="AH19" s="22">
        <v>1</v>
      </c>
      <c r="AI19" s="22">
        <v>2</v>
      </c>
      <c r="AJ19" s="22">
        <v>1</v>
      </c>
      <c r="AK19" s="22">
        <v>0</v>
      </c>
      <c r="AL19" s="22">
        <v>1</v>
      </c>
      <c r="AM19" s="22">
        <v>0</v>
      </c>
      <c r="AN19" s="23">
        <v>36.200000000000003</v>
      </c>
      <c r="AO19" s="22"/>
      <c r="AP19" s="21">
        <f t="shared" si="35"/>
        <v>4</v>
      </c>
      <c r="AQ19" s="21">
        <f t="shared" si="36"/>
        <v>7</v>
      </c>
      <c r="AR19" s="21">
        <f t="shared" si="37"/>
        <v>2</v>
      </c>
      <c r="AS19" s="21">
        <f t="shared" si="38"/>
        <v>1</v>
      </c>
      <c r="AT19" s="21">
        <f t="shared" si="39"/>
        <v>1</v>
      </c>
      <c r="AU19" s="21">
        <f t="shared" si="40"/>
        <v>0</v>
      </c>
      <c r="AV19" s="15">
        <v>32.133333333333333</v>
      </c>
      <c r="AW19" s="17"/>
      <c r="AX19" s="55">
        <f t="shared" si="27"/>
        <v>15</v>
      </c>
      <c r="AY19" s="55">
        <v>15</v>
      </c>
      <c r="AZ19" s="18">
        <f t="shared" si="28"/>
        <v>0</v>
      </c>
      <c r="BA19" s="17"/>
      <c r="BB19" s="17"/>
      <c r="BC19" s="17"/>
      <c r="BD19" s="17"/>
      <c r="BE19" s="17"/>
    </row>
    <row r="20" spans="1:57" s="7" customFormat="1" ht="15" customHeight="1" thickBot="1" x14ac:dyDescent="0.4">
      <c r="A20" s="2" t="s">
        <v>28</v>
      </c>
      <c r="B20" s="22">
        <v>0</v>
      </c>
      <c r="C20" s="22">
        <v>0</v>
      </c>
      <c r="D20" s="22">
        <v>0</v>
      </c>
      <c r="E20" s="22">
        <v>1</v>
      </c>
      <c r="F20" s="22">
        <v>0</v>
      </c>
      <c r="G20" s="22">
        <v>0</v>
      </c>
      <c r="H20" s="23">
        <v>50.5</v>
      </c>
      <c r="I20" s="22"/>
      <c r="J20" s="22">
        <v>6</v>
      </c>
      <c r="K20" s="22">
        <v>10</v>
      </c>
      <c r="L20" s="22">
        <v>5</v>
      </c>
      <c r="M20" s="22">
        <v>1</v>
      </c>
      <c r="N20" s="22">
        <v>0</v>
      </c>
      <c r="O20" s="22">
        <v>0</v>
      </c>
      <c r="P20" s="15">
        <v>30.590909090909093</v>
      </c>
      <c r="Q20" s="22"/>
      <c r="R20" s="29">
        <f t="shared" si="29"/>
        <v>6</v>
      </c>
      <c r="S20" s="29">
        <f t="shared" si="30"/>
        <v>10</v>
      </c>
      <c r="T20" s="29">
        <f t="shared" si="31"/>
        <v>5</v>
      </c>
      <c r="U20" s="29">
        <f t="shared" si="32"/>
        <v>2</v>
      </c>
      <c r="V20" s="29">
        <f t="shared" si="33"/>
        <v>0</v>
      </c>
      <c r="W20" s="29">
        <f t="shared" si="34"/>
        <v>0</v>
      </c>
      <c r="X20" s="15">
        <v>31.456521739130434</v>
      </c>
      <c r="Y20" s="22"/>
      <c r="Z20" s="22">
        <v>1</v>
      </c>
      <c r="AA20" s="22">
        <v>0</v>
      </c>
      <c r="AB20" s="22">
        <v>1</v>
      </c>
      <c r="AC20" s="22">
        <v>0</v>
      </c>
      <c r="AD20" s="22">
        <v>0</v>
      </c>
      <c r="AE20" s="22">
        <v>0</v>
      </c>
      <c r="AF20" s="23">
        <v>30.25</v>
      </c>
      <c r="AG20" s="22"/>
      <c r="AH20" s="22">
        <v>0</v>
      </c>
      <c r="AI20" s="22">
        <v>1</v>
      </c>
      <c r="AJ20" s="22">
        <v>1</v>
      </c>
      <c r="AK20" s="22">
        <v>3</v>
      </c>
      <c r="AL20" s="22">
        <v>1</v>
      </c>
      <c r="AM20" s="22">
        <v>0</v>
      </c>
      <c r="AN20" s="23">
        <v>47.083333333333329</v>
      </c>
      <c r="AO20" s="22"/>
      <c r="AP20" s="21">
        <f t="shared" si="35"/>
        <v>7</v>
      </c>
      <c r="AQ20" s="21">
        <f t="shared" si="36"/>
        <v>11</v>
      </c>
      <c r="AR20" s="21">
        <f t="shared" si="37"/>
        <v>7</v>
      </c>
      <c r="AS20" s="21">
        <f t="shared" si="38"/>
        <v>5</v>
      </c>
      <c r="AT20" s="21">
        <f t="shared" si="39"/>
        <v>1</v>
      </c>
      <c r="AU20" s="21">
        <f t="shared" si="40"/>
        <v>0</v>
      </c>
      <c r="AV20" s="15">
        <v>34.403225806451616</v>
      </c>
      <c r="AW20" s="17"/>
      <c r="AX20" s="55">
        <f t="shared" si="27"/>
        <v>31</v>
      </c>
      <c r="AY20" s="55">
        <v>31</v>
      </c>
      <c r="AZ20" s="18">
        <f t="shared" si="28"/>
        <v>0</v>
      </c>
      <c r="BA20" s="17"/>
      <c r="BB20" s="17"/>
      <c r="BC20" s="17"/>
      <c r="BD20" s="17"/>
      <c r="BE20" s="17"/>
    </row>
    <row r="21" spans="1:57" s="7" customFormat="1" ht="15" customHeight="1" thickBot="1" x14ac:dyDescent="0.4">
      <c r="A21" s="2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 t="s">
        <v>71</v>
      </c>
      <c r="I21" s="22"/>
      <c r="J21" s="22">
        <v>13</v>
      </c>
      <c r="K21" s="22">
        <v>21</v>
      </c>
      <c r="L21" s="22">
        <v>8</v>
      </c>
      <c r="M21" s="22">
        <v>8</v>
      </c>
      <c r="N21" s="22">
        <v>0</v>
      </c>
      <c r="O21" s="22">
        <v>0</v>
      </c>
      <c r="P21" s="15">
        <v>32.36</v>
      </c>
      <c r="Q21" s="22"/>
      <c r="R21" s="29">
        <f t="shared" si="29"/>
        <v>13</v>
      </c>
      <c r="S21" s="29">
        <f t="shared" si="30"/>
        <v>21</v>
      </c>
      <c r="T21" s="29">
        <f t="shared" si="31"/>
        <v>8</v>
      </c>
      <c r="U21" s="29">
        <f t="shared" si="32"/>
        <v>8</v>
      </c>
      <c r="V21" s="29">
        <f t="shared" si="33"/>
        <v>0</v>
      </c>
      <c r="W21" s="29">
        <f t="shared" si="34"/>
        <v>0</v>
      </c>
      <c r="X21" s="15">
        <v>32.36</v>
      </c>
      <c r="Y21" s="22"/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3" t="s">
        <v>71</v>
      </c>
      <c r="AG21" s="22"/>
      <c r="AH21" s="22">
        <v>4</v>
      </c>
      <c r="AI21" s="22">
        <v>12</v>
      </c>
      <c r="AJ21" s="22">
        <v>4</v>
      </c>
      <c r="AK21" s="22">
        <v>12</v>
      </c>
      <c r="AL21" s="22">
        <v>5</v>
      </c>
      <c r="AM21" s="22">
        <v>0</v>
      </c>
      <c r="AN21" s="23">
        <v>40.824324324324323</v>
      </c>
      <c r="AO21" s="22"/>
      <c r="AP21" s="21">
        <f t="shared" si="35"/>
        <v>17</v>
      </c>
      <c r="AQ21" s="21">
        <f t="shared" si="36"/>
        <v>33</v>
      </c>
      <c r="AR21" s="21">
        <f t="shared" si="37"/>
        <v>12</v>
      </c>
      <c r="AS21" s="21">
        <f t="shared" si="38"/>
        <v>20</v>
      </c>
      <c r="AT21" s="21">
        <f t="shared" si="39"/>
        <v>5</v>
      </c>
      <c r="AU21" s="21">
        <f t="shared" si="40"/>
        <v>0</v>
      </c>
      <c r="AV21" s="15">
        <v>35.959770114942529</v>
      </c>
      <c r="AW21" s="17"/>
      <c r="AX21" s="55">
        <f t="shared" si="27"/>
        <v>87</v>
      </c>
      <c r="AY21" s="55">
        <v>87</v>
      </c>
      <c r="AZ21" s="18">
        <f t="shared" si="28"/>
        <v>0</v>
      </c>
      <c r="BA21" s="17"/>
      <c r="BB21" s="17"/>
      <c r="BC21" s="17"/>
      <c r="BD21" s="17"/>
      <c r="BE21" s="17"/>
    </row>
    <row r="22" spans="1:57" s="7" customFormat="1" ht="15" customHeight="1" thickBot="1" x14ac:dyDescent="0.4">
      <c r="A22" s="2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 t="s">
        <v>71</v>
      </c>
      <c r="I22" s="22"/>
      <c r="J22" s="22">
        <v>7</v>
      </c>
      <c r="K22" s="22">
        <v>12</v>
      </c>
      <c r="L22" s="22">
        <v>9</v>
      </c>
      <c r="M22" s="22">
        <v>2</v>
      </c>
      <c r="N22" s="22">
        <v>0</v>
      </c>
      <c r="O22" s="22">
        <v>0</v>
      </c>
      <c r="P22" s="15">
        <v>32.183333333333337</v>
      </c>
      <c r="Q22" s="22"/>
      <c r="R22" s="29">
        <f t="shared" si="29"/>
        <v>7</v>
      </c>
      <c r="S22" s="29">
        <f t="shared" si="30"/>
        <v>12</v>
      </c>
      <c r="T22" s="29">
        <f t="shared" si="31"/>
        <v>9</v>
      </c>
      <c r="U22" s="29">
        <f t="shared" si="32"/>
        <v>2</v>
      </c>
      <c r="V22" s="29">
        <f t="shared" si="33"/>
        <v>0</v>
      </c>
      <c r="W22" s="29">
        <f t="shared" si="34"/>
        <v>0</v>
      </c>
      <c r="X22" s="15">
        <v>32.183333333333337</v>
      </c>
      <c r="Y22" s="22"/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3" t="s">
        <v>71</v>
      </c>
      <c r="AG22" s="22"/>
      <c r="AH22" s="22">
        <v>0</v>
      </c>
      <c r="AI22" s="22">
        <v>2</v>
      </c>
      <c r="AJ22" s="22">
        <v>1</v>
      </c>
      <c r="AK22" s="22">
        <v>1</v>
      </c>
      <c r="AL22" s="22">
        <v>1</v>
      </c>
      <c r="AM22" s="22">
        <v>1</v>
      </c>
      <c r="AN22" s="23">
        <v>42.300000000000004</v>
      </c>
      <c r="AO22" s="22"/>
      <c r="AP22" s="21">
        <f t="shared" si="35"/>
        <v>7</v>
      </c>
      <c r="AQ22" s="21">
        <f t="shared" si="36"/>
        <v>14</v>
      </c>
      <c r="AR22" s="21">
        <f t="shared" si="37"/>
        <v>10</v>
      </c>
      <c r="AS22" s="21">
        <f t="shared" si="38"/>
        <v>3</v>
      </c>
      <c r="AT22" s="21">
        <f t="shared" si="39"/>
        <v>1</v>
      </c>
      <c r="AU22" s="21">
        <f t="shared" si="40"/>
        <v>1</v>
      </c>
      <c r="AV22" s="15">
        <v>33.628571428571426</v>
      </c>
      <c r="AW22" s="17"/>
      <c r="AX22" s="55">
        <f t="shared" si="27"/>
        <v>36</v>
      </c>
      <c r="AY22" s="55">
        <v>36</v>
      </c>
      <c r="AZ22" s="18">
        <f t="shared" si="28"/>
        <v>0</v>
      </c>
      <c r="BA22" s="17"/>
      <c r="BB22" s="17"/>
      <c r="BC22" s="17"/>
      <c r="BD22" s="17"/>
      <c r="BE22" s="17"/>
    </row>
    <row r="23" spans="1:57" s="7" customFormat="1" ht="15" customHeight="1" thickBot="1" x14ac:dyDescent="0.4">
      <c r="A23" s="2" t="s">
        <v>31</v>
      </c>
      <c r="B23" s="22">
        <v>7</v>
      </c>
      <c r="C23" s="22">
        <v>31</v>
      </c>
      <c r="D23" s="22">
        <v>22</v>
      </c>
      <c r="E23" s="22">
        <v>21</v>
      </c>
      <c r="F23" s="22">
        <v>0</v>
      </c>
      <c r="G23" s="22">
        <v>0</v>
      </c>
      <c r="H23" s="23">
        <v>37.302469135802468</v>
      </c>
      <c r="I23" s="22"/>
      <c r="J23" s="22">
        <v>10</v>
      </c>
      <c r="K23" s="22">
        <v>19</v>
      </c>
      <c r="L23" s="22">
        <v>17</v>
      </c>
      <c r="M23" s="22">
        <v>8</v>
      </c>
      <c r="N23" s="22">
        <v>2</v>
      </c>
      <c r="O23" s="22">
        <v>0</v>
      </c>
      <c r="P23" s="15">
        <v>35.419642857142854</v>
      </c>
      <c r="Q23" s="22"/>
      <c r="R23" s="29">
        <f t="shared" si="29"/>
        <v>17</v>
      </c>
      <c r="S23" s="29">
        <f t="shared" si="30"/>
        <v>50</v>
      </c>
      <c r="T23" s="29">
        <f t="shared" si="31"/>
        <v>39</v>
      </c>
      <c r="U23" s="29">
        <f t="shared" si="32"/>
        <v>29</v>
      </c>
      <c r="V23" s="29">
        <f t="shared" si="33"/>
        <v>2</v>
      </c>
      <c r="W23" s="29">
        <f t="shared" si="34"/>
        <v>0</v>
      </c>
      <c r="X23" s="15">
        <v>36.532846715328468</v>
      </c>
      <c r="Y23" s="22"/>
      <c r="Z23" s="22">
        <v>1</v>
      </c>
      <c r="AA23" s="22">
        <v>1</v>
      </c>
      <c r="AB23" s="22">
        <v>1</v>
      </c>
      <c r="AC23" s="22">
        <v>1</v>
      </c>
      <c r="AD23" s="22">
        <v>0</v>
      </c>
      <c r="AE23" s="22">
        <v>0</v>
      </c>
      <c r="AF23" s="23">
        <v>35.25</v>
      </c>
      <c r="AG23" s="22"/>
      <c r="AH23" s="22">
        <v>17</v>
      </c>
      <c r="AI23" s="22">
        <v>26</v>
      </c>
      <c r="AJ23" s="22">
        <v>14</v>
      </c>
      <c r="AK23" s="22">
        <v>15</v>
      </c>
      <c r="AL23" s="22">
        <v>5</v>
      </c>
      <c r="AM23" s="22">
        <v>0</v>
      </c>
      <c r="AN23" s="23">
        <v>35.675324675324681</v>
      </c>
      <c r="AO23" s="22"/>
      <c r="AP23" s="21">
        <f t="shared" si="35"/>
        <v>35</v>
      </c>
      <c r="AQ23" s="21">
        <f t="shared" si="36"/>
        <v>77</v>
      </c>
      <c r="AR23" s="21">
        <f t="shared" si="37"/>
        <v>54</v>
      </c>
      <c r="AS23" s="21">
        <f t="shared" si="38"/>
        <v>45</v>
      </c>
      <c r="AT23" s="21">
        <f t="shared" si="39"/>
        <v>7</v>
      </c>
      <c r="AU23" s="21">
        <f t="shared" si="40"/>
        <v>0</v>
      </c>
      <c r="AV23" s="15">
        <v>36.206422018348626</v>
      </c>
      <c r="AW23" s="17"/>
      <c r="AX23" s="55">
        <f t="shared" si="27"/>
        <v>218</v>
      </c>
      <c r="AY23" s="55">
        <v>218</v>
      </c>
      <c r="AZ23" s="18">
        <f t="shared" si="28"/>
        <v>0</v>
      </c>
      <c r="BA23" s="17"/>
      <c r="BB23" s="17"/>
      <c r="BC23" s="17"/>
      <c r="BD23" s="17"/>
      <c r="BE23" s="17"/>
    </row>
    <row r="24" spans="1:57" s="7" customFormat="1" ht="15" customHeight="1" thickBot="1" x14ac:dyDescent="0.4">
      <c r="A24" s="2" t="s">
        <v>32</v>
      </c>
      <c r="B24" s="22">
        <v>0</v>
      </c>
      <c r="C24" s="22">
        <v>0</v>
      </c>
      <c r="D24" s="22">
        <v>0</v>
      </c>
      <c r="E24" s="22">
        <v>1</v>
      </c>
      <c r="F24" s="22">
        <v>0</v>
      </c>
      <c r="G24" s="22">
        <v>0</v>
      </c>
      <c r="H24" s="23">
        <v>50.5</v>
      </c>
      <c r="I24" s="22"/>
      <c r="J24" s="22">
        <v>9</v>
      </c>
      <c r="K24" s="22">
        <v>23</v>
      </c>
      <c r="L24" s="22">
        <v>11</v>
      </c>
      <c r="M24" s="22">
        <v>7</v>
      </c>
      <c r="N24" s="22">
        <v>1</v>
      </c>
      <c r="O24" s="22">
        <v>0</v>
      </c>
      <c r="P24" s="15">
        <v>33.911764705882355</v>
      </c>
      <c r="Q24" s="22"/>
      <c r="R24" s="29">
        <f t="shared" si="29"/>
        <v>9</v>
      </c>
      <c r="S24" s="29">
        <f t="shared" si="30"/>
        <v>23</v>
      </c>
      <c r="T24" s="29">
        <f t="shared" si="31"/>
        <v>11</v>
      </c>
      <c r="U24" s="29">
        <f t="shared" si="32"/>
        <v>8</v>
      </c>
      <c r="V24" s="29">
        <f t="shared" si="33"/>
        <v>1</v>
      </c>
      <c r="W24" s="29">
        <f t="shared" si="34"/>
        <v>0</v>
      </c>
      <c r="X24" s="15">
        <v>34.230769230769234</v>
      </c>
      <c r="Y24" s="22"/>
      <c r="Z24" s="22">
        <v>1</v>
      </c>
      <c r="AA24" s="22">
        <v>1</v>
      </c>
      <c r="AB24" s="22">
        <v>1</v>
      </c>
      <c r="AC24" s="22">
        <v>0</v>
      </c>
      <c r="AD24" s="22">
        <v>0</v>
      </c>
      <c r="AE24" s="22">
        <v>0</v>
      </c>
      <c r="AF24" s="23">
        <v>30.166666666666664</v>
      </c>
      <c r="AG24" s="22"/>
      <c r="AH24" s="22">
        <v>2</v>
      </c>
      <c r="AI24" s="22">
        <v>6</v>
      </c>
      <c r="AJ24" s="22">
        <v>7</v>
      </c>
      <c r="AK24" s="22">
        <v>4</v>
      </c>
      <c r="AL24" s="22">
        <v>5</v>
      </c>
      <c r="AM24" s="22">
        <v>0</v>
      </c>
      <c r="AN24" s="23">
        <v>42</v>
      </c>
      <c r="AO24" s="22"/>
      <c r="AP24" s="21">
        <f t="shared" si="35"/>
        <v>12</v>
      </c>
      <c r="AQ24" s="21">
        <f t="shared" si="36"/>
        <v>30</v>
      </c>
      <c r="AR24" s="21">
        <f t="shared" si="37"/>
        <v>19</v>
      </c>
      <c r="AS24" s="21">
        <f t="shared" si="38"/>
        <v>12</v>
      </c>
      <c r="AT24" s="21">
        <f t="shared" si="39"/>
        <v>6</v>
      </c>
      <c r="AU24" s="21">
        <f t="shared" si="40"/>
        <v>0</v>
      </c>
      <c r="AV24" s="15">
        <v>36.436708860759495</v>
      </c>
      <c r="AW24" s="17"/>
      <c r="AX24" s="55">
        <f t="shared" si="27"/>
        <v>79</v>
      </c>
      <c r="AY24" s="55">
        <v>79</v>
      </c>
      <c r="AZ24" s="18">
        <f t="shared" si="28"/>
        <v>0</v>
      </c>
      <c r="BA24" s="17"/>
      <c r="BB24" s="17"/>
      <c r="BC24" s="17"/>
      <c r="BD24" s="17"/>
      <c r="BE24" s="17"/>
    </row>
    <row r="25" spans="1:57" s="7" customFormat="1" ht="15" customHeight="1" thickBot="1" x14ac:dyDescent="0.4">
      <c r="A25" s="2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 t="s">
        <v>71</v>
      </c>
      <c r="I25" s="22"/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15" t="s">
        <v>71</v>
      </c>
      <c r="Q25" s="22"/>
      <c r="R25" s="29">
        <f t="shared" si="29"/>
        <v>0</v>
      </c>
      <c r="S25" s="29">
        <f t="shared" si="30"/>
        <v>0</v>
      </c>
      <c r="T25" s="29">
        <f t="shared" si="31"/>
        <v>0</v>
      </c>
      <c r="U25" s="29">
        <f t="shared" si="32"/>
        <v>0</v>
      </c>
      <c r="V25" s="29">
        <f t="shared" si="33"/>
        <v>0</v>
      </c>
      <c r="W25" s="29">
        <f t="shared" si="34"/>
        <v>0</v>
      </c>
      <c r="X25" s="15" t="s">
        <v>71</v>
      </c>
      <c r="Y25" s="22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3" t="s">
        <v>71</v>
      </c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3" t="s">
        <v>71</v>
      </c>
      <c r="AO25" s="22"/>
      <c r="AP25" s="21">
        <f t="shared" si="35"/>
        <v>0</v>
      </c>
      <c r="AQ25" s="21">
        <f t="shared" si="36"/>
        <v>0</v>
      </c>
      <c r="AR25" s="21">
        <f t="shared" si="37"/>
        <v>0</v>
      </c>
      <c r="AS25" s="21">
        <f t="shared" si="38"/>
        <v>0</v>
      </c>
      <c r="AT25" s="21">
        <f t="shared" si="39"/>
        <v>0</v>
      </c>
      <c r="AU25" s="21">
        <f t="shared" si="40"/>
        <v>0</v>
      </c>
      <c r="AV25" s="15" t="s">
        <v>71</v>
      </c>
      <c r="AW25" s="17"/>
      <c r="AX25" s="55">
        <f t="shared" si="27"/>
        <v>0</v>
      </c>
      <c r="AY25" s="55">
        <v>0</v>
      </c>
      <c r="AZ25" s="18">
        <f t="shared" si="28"/>
        <v>0</v>
      </c>
      <c r="BA25" s="17"/>
      <c r="BB25" s="17"/>
      <c r="BC25" s="17"/>
      <c r="BD25" s="17"/>
      <c r="BE25" s="17"/>
    </row>
    <row r="26" spans="1:57" s="7" customFormat="1" ht="15" customHeight="1" thickBot="1" x14ac:dyDescent="0.4">
      <c r="A26" s="2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 t="s">
        <v>71</v>
      </c>
      <c r="I26" s="22"/>
      <c r="J26" s="22">
        <v>0</v>
      </c>
      <c r="K26" s="22">
        <v>4</v>
      </c>
      <c r="L26" s="22">
        <v>0</v>
      </c>
      <c r="M26" s="22">
        <v>0</v>
      </c>
      <c r="N26" s="22">
        <v>0</v>
      </c>
      <c r="O26" s="22">
        <v>0</v>
      </c>
      <c r="P26" s="15">
        <v>30</v>
      </c>
      <c r="Q26" s="22"/>
      <c r="R26" s="29">
        <f t="shared" si="29"/>
        <v>0</v>
      </c>
      <c r="S26" s="29">
        <f t="shared" si="30"/>
        <v>4</v>
      </c>
      <c r="T26" s="29">
        <f t="shared" si="31"/>
        <v>0</v>
      </c>
      <c r="U26" s="29">
        <f t="shared" si="32"/>
        <v>0</v>
      </c>
      <c r="V26" s="29">
        <f t="shared" si="33"/>
        <v>0</v>
      </c>
      <c r="W26" s="29">
        <f t="shared" si="34"/>
        <v>0</v>
      </c>
      <c r="X26" s="15">
        <v>30</v>
      </c>
      <c r="Y26" s="22"/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3" t="s">
        <v>71</v>
      </c>
      <c r="AG26" s="22"/>
      <c r="AH26" s="22">
        <v>1</v>
      </c>
      <c r="AI26" s="22">
        <v>3</v>
      </c>
      <c r="AJ26" s="22">
        <v>0</v>
      </c>
      <c r="AK26" s="22">
        <v>7</v>
      </c>
      <c r="AL26" s="22">
        <v>1</v>
      </c>
      <c r="AM26" s="22">
        <v>0</v>
      </c>
      <c r="AN26" s="23">
        <v>43.666666666666664</v>
      </c>
      <c r="AO26" s="22"/>
      <c r="AP26" s="21">
        <f t="shared" si="35"/>
        <v>1</v>
      </c>
      <c r="AQ26" s="21">
        <f t="shared" si="36"/>
        <v>7</v>
      </c>
      <c r="AR26" s="21">
        <f t="shared" si="37"/>
        <v>0</v>
      </c>
      <c r="AS26" s="21">
        <f t="shared" si="38"/>
        <v>7</v>
      </c>
      <c r="AT26" s="21">
        <f t="shared" si="39"/>
        <v>1</v>
      </c>
      <c r="AU26" s="21">
        <f t="shared" si="40"/>
        <v>0</v>
      </c>
      <c r="AV26" s="15">
        <v>40.25</v>
      </c>
      <c r="AW26" s="17"/>
      <c r="AX26" s="55">
        <f t="shared" si="27"/>
        <v>16</v>
      </c>
      <c r="AY26" s="55">
        <v>16</v>
      </c>
      <c r="AZ26" s="18">
        <f t="shared" si="28"/>
        <v>0</v>
      </c>
      <c r="BA26" s="17"/>
      <c r="BB26" s="17"/>
      <c r="BC26" s="17"/>
      <c r="BD26" s="17"/>
      <c r="BE26" s="17"/>
    </row>
    <row r="27" spans="1:57" s="7" customFormat="1" ht="15" customHeight="1" thickBot="1" x14ac:dyDescent="0.4">
      <c r="A27" s="2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 t="s">
        <v>71</v>
      </c>
      <c r="I27" s="22"/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15" t="s">
        <v>71</v>
      </c>
      <c r="Q27" s="22"/>
      <c r="R27" s="29">
        <f t="shared" si="29"/>
        <v>0</v>
      </c>
      <c r="S27" s="29">
        <f t="shared" si="30"/>
        <v>0</v>
      </c>
      <c r="T27" s="29">
        <f t="shared" si="31"/>
        <v>0</v>
      </c>
      <c r="U27" s="29">
        <f t="shared" si="32"/>
        <v>0</v>
      </c>
      <c r="V27" s="29">
        <f t="shared" si="33"/>
        <v>0</v>
      </c>
      <c r="W27" s="29">
        <f t="shared" si="34"/>
        <v>0</v>
      </c>
      <c r="X27" s="15" t="s">
        <v>71</v>
      </c>
      <c r="Y27" s="22"/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3" t="s">
        <v>71</v>
      </c>
      <c r="AG27" s="22"/>
      <c r="AH27" s="22">
        <v>0</v>
      </c>
      <c r="AI27" s="22">
        <v>0</v>
      </c>
      <c r="AJ27" s="22">
        <v>0</v>
      </c>
      <c r="AK27" s="22">
        <v>1</v>
      </c>
      <c r="AL27" s="22">
        <v>0</v>
      </c>
      <c r="AM27" s="22">
        <v>0</v>
      </c>
      <c r="AN27" s="23">
        <v>50.5</v>
      </c>
      <c r="AO27" s="22"/>
      <c r="AP27" s="21">
        <f t="shared" si="35"/>
        <v>0</v>
      </c>
      <c r="AQ27" s="21">
        <f t="shared" si="36"/>
        <v>0</v>
      </c>
      <c r="AR27" s="21">
        <f t="shared" si="37"/>
        <v>0</v>
      </c>
      <c r="AS27" s="21">
        <f t="shared" si="38"/>
        <v>1</v>
      </c>
      <c r="AT27" s="21">
        <f t="shared" si="39"/>
        <v>0</v>
      </c>
      <c r="AU27" s="21">
        <f t="shared" si="40"/>
        <v>0</v>
      </c>
      <c r="AV27" s="15">
        <v>50.5</v>
      </c>
      <c r="AW27" s="17"/>
      <c r="AX27" s="55">
        <f t="shared" si="27"/>
        <v>1</v>
      </c>
      <c r="AY27" s="55">
        <v>1</v>
      </c>
      <c r="AZ27" s="18">
        <f t="shared" si="28"/>
        <v>0</v>
      </c>
      <c r="BA27" s="17"/>
      <c r="BB27" s="17"/>
      <c r="BC27" s="17"/>
      <c r="BD27" s="17"/>
      <c r="BE27" s="17"/>
    </row>
    <row r="28" spans="1:57" s="7" customFormat="1" ht="15" customHeight="1" thickBot="1" x14ac:dyDescent="0.4">
      <c r="A28" s="3" t="s">
        <v>36</v>
      </c>
      <c r="B28" s="22">
        <v>0</v>
      </c>
      <c r="C28" s="22">
        <v>2</v>
      </c>
      <c r="D28" s="22">
        <v>3</v>
      </c>
      <c r="E28" s="22">
        <v>4</v>
      </c>
      <c r="F28" s="22">
        <v>0</v>
      </c>
      <c r="G28" s="22">
        <v>0</v>
      </c>
      <c r="H28" s="23">
        <v>46.5</v>
      </c>
      <c r="I28" s="22"/>
      <c r="J28" s="22">
        <v>5</v>
      </c>
      <c r="K28" s="22">
        <v>9</v>
      </c>
      <c r="L28" s="22">
        <v>0</v>
      </c>
      <c r="M28" s="22">
        <v>2</v>
      </c>
      <c r="N28" s="22">
        <v>0</v>
      </c>
      <c r="O28" s="22">
        <v>0</v>
      </c>
      <c r="P28" s="15">
        <v>28.1875</v>
      </c>
      <c r="Q28" s="22"/>
      <c r="R28" s="29">
        <f t="shared" si="29"/>
        <v>5</v>
      </c>
      <c r="S28" s="29">
        <f t="shared" si="30"/>
        <v>11</v>
      </c>
      <c r="T28" s="29">
        <f t="shared" si="31"/>
        <v>3</v>
      </c>
      <c r="U28" s="29">
        <f t="shared" si="32"/>
        <v>6</v>
      </c>
      <c r="V28" s="29">
        <f t="shared" si="33"/>
        <v>0</v>
      </c>
      <c r="W28" s="29">
        <f t="shared" si="34"/>
        <v>0</v>
      </c>
      <c r="X28" s="15">
        <v>32.547619047619044</v>
      </c>
      <c r="Y28" s="22"/>
      <c r="Z28" s="22">
        <v>0</v>
      </c>
      <c r="AA28" s="22">
        <v>3</v>
      </c>
      <c r="AB28" s="22">
        <v>0</v>
      </c>
      <c r="AC28" s="22">
        <v>0</v>
      </c>
      <c r="AD28" s="22">
        <v>0</v>
      </c>
      <c r="AE28" s="22">
        <v>0</v>
      </c>
      <c r="AF28" s="23">
        <v>30</v>
      </c>
      <c r="AG28" s="22"/>
      <c r="AH28" s="22">
        <v>5</v>
      </c>
      <c r="AI28" s="22">
        <v>10</v>
      </c>
      <c r="AJ28" s="22">
        <v>5</v>
      </c>
      <c r="AK28" s="22">
        <v>6</v>
      </c>
      <c r="AL28" s="22">
        <v>5</v>
      </c>
      <c r="AM28" s="22">
        <v>0</v>
      </c>
      <c r="AN28" s="23">
        <v>39.666666666666664</v>
      </c>
      <c r="AO28" s="22"/>
      <c r="AP28" s="21">
        <f>AH28+Z28+R28</f>
        <v>10</v>
      </c>
      <c r="AQ28" s="21">
        <f t="shared" si="36"/>
        <v>24</v>
      </c>
      <c r="AR28" s="21">
        <f t="shared" si="37"/>
        <v>8</v>
      </c>
      <c r="AS28" s="21">
        <f t="shared" si="38"/>
        <v>12</v>
      </c>
      <c r="AT28" s="21">
        <f t="shared" si="39"/>
        <v>5</v>
      </c>
      <c r="AU28" s="21">
        <f t="shared" si="40"/>
        <v>0</v>
      </c>
      <c r="AV28" s="15">
        <v>36.535087719298247</v>
      </c>
      <c r="AW28" s="17"/>
      <c r="AX28" s="55">
        <f t="shared" si="27"/>
        <v>59</v>
      </c>
      <c r="AY28" s="55">
        <v>59</v>
      </c>
      <c r="AZ28" s="18">
        <f t="shared" si="28"/>
        <v>0</v>
      </c>
      <c r="BA28" s="17"/>
      <c r="BB28" s="17"/>
      <c r="BC28" s="17"/>
      <c r="BD28" s="17"/>
      <c r="BE28" s="17"/>
    </row>
    <row r="29" spans="1:57" s="7" customFormat="1" ht="15" customHeight="1" thickBot="1" x14ac:dyDescent="0.4">
      <c r="A29" s="3" t="s">
        <v>37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 t="s">
        <v>71</v>
      </c>
      <c r="I29" s="22"/>
      <c r="J29" s="22">
        <v>15</v>
      </c>
      <c r="K29" s="22">
        <v>30</v>
      </c>
      <c r="L29" s="22">
        <v>9</v>
      </c>
      <c r="M29" s="22">
        <v>4</v>
      </c>
      <c r="N29" s="22">
        <v>0</v>
      </c>
      <c r="O29" s="22">
        <v>0</v>
      </c>
      <c r="P29" s="15">
        <v>30.456896551724139</v>
      </c>
      <c r="Q29" s="22"/>
      <c r="R29" s="29">
        <f t="shared" si="29"/>
        <v>15</v>
      </c>
      <c r="S29" s="29">
        <f t="shared" si="30"/>
        <v>30</v>
      </c>
      <c r="T29" s="29">
        <f t="shared" si="31"/>
        <v>9</v>
      </c>
      <c r="U29" s="29">
        <f t="shared" si="32"/>
        <v>4</v>
      </c>
      <c r="V29" s="29">
        <f t="shared" si="33"/>
        <v>0</v>
      </c>
      <c r="W29" s="29">
        <f t="shared" si="34"/>
        <v>0</v>
      </c>
      <c r="X29" s="15">
        <v>30.456896551724139</v>
      </c>
      <c r="Y29" s="22"/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 t="s">
        <v>71</v>
      </c>
      <c r="AG29" s="22"/>
      <c r="AH29" s="22">
        <v>4</v>
      </c>
      <c r="AI29" s="22">
        <v>7</v>
      </c>
      <c r="AJ29" s="22">
        <v>4</v>
      </c>
      <c r="AK29" s="22">
        <v>6</v>
      </c>
      <c r="AL29" s="22">
        <v>2</v>
      </c>
      <c r="AM29" s="22">
        <v>0</v>
      </c>
      <c r="AN29" s="23">
        <v>38.086956521739125</v>
      </c>
      <c r="AO29" s="22"/>
      <c r="AP29" s="21">
        <f t="shared" ref="AP29:AP45" si="41">AH29+Z29+R29</f>
        <v>19</v>
      </c>
      <c r="AQ29" s="21">
        <f t="shared" ref="AQ29:AQ45" si="42">AI29+AA29+S29</f>
        <v>37</v>
      </c>
      <c r="AR29" s="21">
        <f t="shared" ref="AR29:AR45" si="43">AJ29+AB29+T29</f>
        <v>13</v>
      </c>
      <c r="AS29" s="21">
        <f t="shared" ref="AS29:AS45" si="44">AK29+AC29+U29</f>
        <v>10</v>
      </c>
      <c r="AT29" s="21">
        <f t="shared" ref="AT29:AT45" si="45">AL29+AD29+V29</f>
        <v>2</v>
      </c>
      <c r="AU29" s="21">
        <f t="shared" ref="AU29:AU45" si="46">AM29+AE29+W29</f>
        <v>0</v>
      </c>
      <c r="AV29" s="15">
        <v>32.623456790123456</v>
      </c>
      <c r="AW29" s="17"/>
      <c r="AX29" s="55">
        <f t="shared" si="27"/>
        <v>81</v>
      </c>
      <c r="AY29" s="55">
        <v>81</v>
      </c>
      <c r="AZ29" s="18">
        <f t="shared" si="28"/>
        <v>0</v>
      </c>
      <c r="BA29" s="17"/>
      <c r="BB29" s="17"/>
      <c r="BC29" s="17"/>
      <c r="BD29" s="17"/>
      <c r="BE29" s="17"/>
    </row>
    <row r="30" spans="1:57" s="7" customFormat="1" ht="15" customHeight="1" thickBot="1" x14ac:dyDescent="0.4">
      <c r="A30" s="2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 t="s">
        <v>71</v>
      </c>
      <c r="I30" s="22"/>
      <c r="J30" s="22">
        <v>3</v>
      </c>
      <c r="K30" s="22">
        <v>11</v>
      </c>
      <c r="L30" s="22">
        <v>4</v>
      </c>
      <c r="M30" s="22">
        <v>1</v>
      </c>
      <c r="N30" s="22">
        <v>1</v>
      </c>
      <c r="O30" s="22">
        <v>0</v>
      </c>
      <c r="P30" s="15">
        <v>33.15</v>
      </c>
      <c r="Q30" s="22"/>
      <c r="R30" s="29">
        <f t="shared" si="29"/>
        <v>3</v>
      </c>
      <c r="S30" s="29">
        <f t="shared" si="30"/>
        <v>11</v>
      </c>
      <c r="T30" s="29">
        <f t="shared" si="31"/>
        <v>4</v>
      </c>
      <c r="U30" s="29">
        <f t="shared" si="32"/>
        <v>1</v>
      </c>
      <c r="V30" s="29">
        <f t="shared" si="33"/>
        <v>1</v>
      </c>
      <c r="W30" s="29">
        <f t="shared" si="34"/>
        <v>0</v>
      </c>
      <c r="X30" s="15">
        <v>33.15</v>
      </c>
      <c r="Y30" s="22"/>
      <c r="Z30" s="22">
        <v>0</v>
      </c>
      <c r="AA30" s="22">
        <v>1</v>
      </c>
      <c r="AB30" s="22">
        <v>3</v>
      </c>
      <c r="AC30" s="22">
        <v>0</v>
      </c>
      <c r="AD30" s="22">
        <v>0</v>
      </c>
      <c r="AE30" s="22">
        <v>0</v>
      </c>
      <c r="AF30" s="23">
        <v>37.875</v>
      </c>
      <c r="AG30" s="22"/>
      <c r="AH30" s="22">
        <v>0</v>
      </c>
      <c r="AI30" s="22">
        <v>2</v>
      </c>
      <c r="AJ30" s="22">
        <v>3</v>
      </c>
      <c r="AK30" s="22">
        <v>3</v>
      </c>
      <c r="AL30" s="22">
        <v>0</v>
      </c>
      <c r="AM30" s="22">
        <v>1</v>
      </c>
      <c r="AN30" s="23">
        <v>41.625</v>
      </c>
      <c r="AO30" s="22"/>
      <c r="AP30" s="21">
        <f t="shared" si="41"/>
        <v>3</v>
      </c>
      <c r="AQ30" s="21">
        <f t="shared" si="42"/>
        <v>14</v>
      </c>
      <c r="AR30" s="21">
        <f t="shared" si="43"/>
        <v>10</v>
      </c>
      <c r="AS30" s="21">
        <f t="shared" si="44"/>
        <v>4</v>
      </c>
      <c r="AT30" s="21">
        <f t="shared" si="45"/>
        <v>1</v>
      </c>
      <c r="AU30" s="21">
        <f t="shared" si="46"/>
        <v>1</v>
      </c>
      <c r="AV30" s="15">
        <v>35.859375</v>
      </c>
      <c r="AW30" s="17"/>
      <c r="AX30" s="55">
        <f t="shared" si="27"/>
        <v>33</v>
      </c>
      <c r="AY30" s="55">
        <v>33</v>
      </c>
      <c r="AZ30" s="18">
        <f t="shared" si="28"/>
        <v>0</v>
      </c>
      <c r="BA30" s="17"/>
      <c r="BB30" s="17"/>
      <c r="BC30" s="17"/>
      <c r="BD30" s="17"/>
      <c r="BE30" s="17"/>
    </row>
    <row r="31" spans="1:57" s="7" customFormat="1" ht="15" customHeight="1" thickBot="1" x14ac:dyDescent="0.4">
      <c r="A31" s="3" t="s">
        <v>39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 t="s">
        <v>71</v>
      </c>
      <c r="I31" s="22"/>
      <c r="J31" s="22">
        <v>21</v>
      </c>
      <c r="K31" s="22">
        <v>29</v>
      </c>
      <c r="L31" s="22">
        <v>9</v>
      </c>
      <c r="M31" s="22">
        <v>3</v>
      </c>
      <c r="N31" s="22">
        <v>0</v>
      </c>
      <c r="O31" s="22">
        <v>0</v>
      </c>
      <c r="P31" s="15">
        <v>29.129032258064512</v>
      </c>
      <c r="Q31" s="22"/>
      <c r="R31" s="29">
        <f t="shared" si="29"/>
        <v>21</v>
      </c>
      <c r="S31" s="29">
        <f t="shared" si="30"/>
        <v>29</v>
      </c>
      <c r="T31" s="29">
        <f t="shared" si="31"/>
        <v>9</v>
      </c>
      <c r="U31" s="29">
        <f t="shared" si="32"/>
        <v>3</v>
      </c>
      <c r="V31" s="29">
        <f t="shared" si="33"/>
        <v>0</v>
      </c>
      <c r="W31" s="29">
        <f t="shared" si="34"/>
        <v>0</v>
      </c>
      <c r="X31" s="15">
        <v>29.129032258064512</v>
      </c>
      <c r="Y31" s="22"/>
      <c r="Z31" s="22">
        <v>1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3">
        <v>20</v>
      </c>
      <c r="AG31" s="22"/>
      <c r="AH31" s="22">
        <v>0</v>
      </c>
      <c r="AI31" s="22">
        <v>0</v>
      </c>
      <c r="AJ31" s="22">
        <v>1</v>
      </c>
      <c r="AK31" s="22">
        <v>1</v>
      </c>
      <c r="AL31" s="22">
        <v>1</v>
      </c>
      <c r="AM31" s="22">
        <v>0</v>
      </c>
      <c r="AN31" s="23">
        <v>50.5</v>
      </c>
      <c r="AO31" s="22"/>
      <c r="AP31" s="21">
        <f t="shared" si="41"/>
        <v>22</v>
      </c>
      <c r="AQ31" s="21">
        <f t="shared" si="42"/>
        <v>29</v>
      </c>
      <c r="AR31" s="21">
        <f t="shared" si="43"/>
        <v>10</v>
      </c>
      <c r="AS31" s="21">
        <f t="shared" si="44"/>
        <v>4</v>
      </c>
      <c r="AT31" s="21">
        <f t="shared" si="45"/>
        <v>1</v>
      </c>
      <c r="AU31" s="21">
        <f t="shared" si="46"/>
        <v>0</v>
      </c>
      <c r="AV31" s="15">
        <v>29.962121212121215</v>
      </c>
      <c r="AW31" s="17"/>
      <c r="AX31" s="55">
        <f t="shared" si="27"/>
        <v>66</v>
      </c>
      <c r="AY31" s="55">
        <v>66</v>
      </c>
      <c r="AZ31" s="18">
        <f t="shared" si="28"/>
        <v>0</v>
      </c>
      <c r="BA31" s="17"/>
      <c r="BB31" s="17"/>
      <c r="BC31" s="17"/>
      <c r="BD31" s="17"/>
      <c r="BE31" s="17"/>
    </row>
    <row r="32" spans="1:57" s="7" customFormat="1" ht="15" customHeight="1" thickBot="1" x14ac:dyDescent="0.4">
      <c r="A32" s="3" t="s">
        <v>40</v>
      </c>
      <c r="B32" s="22">
        <v>0</v>
      </c>
      <c r="C32" s="22">
        <v>2</v>
      </c>
      <c r="D32" s="22">
        <v>1</v>
      </c>
      <c r="E32" s="22">
        <v>1</v>
      </c>
      <c r="F32" s="22">
        <v>0</v>
      </c>
      <c r="G32" s="22">
        <v>0</v>
      </c>
      <c r="H32" s="23">
        <v>37.75</v>
      </c>
      <c r="I32" s="22"/>
      <c r="J32" s="22">
        <v>10</v>
      </c>
      <c r="K32" s="22">
        <v>20</v>
      </c>
      <c r="L32" s="22">
        <v>4</v>
      </c>
      <c r="M32" s="22">
        <v>5</v>
      </c>
      <c r="N32" s="22">
        <v>0</v>
      </c>
      <c r="O32" s="22">
        <v>0</v>
      </c>
      <c r="P32" s="15">
        <v>31.141025641025639</v>
      </c>
      <c r="Q32" s="22"/>
      <c r="R32" s="29">
        <f t="shared" si="29"/>
        <v>10</v>
      </c>
      <c r="S32" s="29">
        <f t="shared" si="30"/>
        <v>22</v>
      </c>
      <c r="T32" s="29">
        <f t="shared" si="31"/>
        <v>5</v>
      </c>
      <c r="U32" s="29">
        <f t="shared" si="32"/>
        <v>6</v>
      </c>
      <c r="V32" s="29">
        <f t="shared" si="33"/>
        <v>0</v>
      </c>
      <c r="W32" s="29">
        <f t="shared" si="34"/>
        <v>0</v>
      </c>
      <c r="X32" s="15">
        <v>31.755813953488374</v>
      </c>
      <c r="Y32" s="22"/>
      <c r="Z32" s="22">
        <v>0</v>
      </c>
      <c r="AA32" s="22">
        <v>0</v>
      </c>
      <c r="AB32" s="22">
        <v>0</v>
      </c>
      <c r="AC32" s="22">
        <v>1</v>
      </c>
      <c r="AD32" s="22">
        <v>0</v>
      </c>
      <c r="AE32" s="22">
        <v>0</v>
      </c>
      <c r="AF32" s="23">
        <v>50.5</v>
      </c>
      <c r="AG32" s="22"/>
      <c r="AH32" s="22">
        <v>0</v>
      </c>
      <c r="AI32" s="22">
        <v>3</v>
      </c>
      <c r="AJ32" s="22">
        <v>4</v>
      </c>
      <c r="AK32" s="22">
        <v>4</v>
      </c>
      <c r="AL32" s="22">
        <v>1</v>
      </c>
      <c r="AM32" s="22">
        <v>0</v>
      </c>
      <c r="AN32" s="23">
        <v>42.874999999999993</v>
      </c>
      <c r="AO32" s="22"/>
      <c r="AP32" s="21">
        <f t="shared" si="41"/>
        <v>10</v>
      </c>
      <c r="AQ32" s="21">
        <f t="shared" si="42"/>
        <v>25</v>
      </c>
      <c r="AR32" s="21">
        <f t="shared" si="43"/>
        <v>9</v>
      </c>
      <c r="AS32" s="21">
        <f t="shared" si="44"/>
        <v>11</v>
      </c>
      <c r="AT32" s="21">
        <f t="shared" si="45"/>
        <v>1</v>
      </c>
      <c r="AU32" s="21">
        <f t="shared" si="46"/>
        <v>0</v>
      </c>
      <c r="AV32" s="15">
        <v>34.473214285714292</v>
      </c>
      <c r="AW32" s="17"/>
      <c r="AX32" s="55">
        <f t="shared" si="27"/>
        <v>56</v>
      </c>
      <c r="AY32" s="55">
        <v>56</v>
      </c>
      <c r="AZ32" s="18">
        <f t="shared" si="28"/>
        <v>0</v>
      </c>
      <c r="BA32" s="17"/>
      <c r="BB32" s="17"/>
      <c r="BC32" s="17"/>
      <c r="BD32" s="17"/>
      <c r="BE32" s="17"/>
    </row>
    <row r="33" spans="1:57" s="7" customFormat="1" ht="15" customHeight="1" thickBot="1" x14ac:dyDescent="0.4">
      <c r="A33" s="2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 t="s">
        <v>71</v>
      </c>
      <c r="I33" s="22"/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15" t="s">
        <v>71</v>
      </c>
      <c r="Q33" s="22"/>
      <c r="R33" s="29">
        <f t="shared" si="29"/>
        <v>0</v>
      </c>
      <c r="S33" s="29">
        <f t="shared" si="30"/>
        <v>0</v>
      </c>
      <c r="T33" s="29">
        <f t="shared" si="31"/>
        <v>0</v>
      </c>
      <c r="U33" s="29">
        <f t="shared" si="32"/>
        <v>0</v>
      </c>
      <c r="V33" s="29">
        <f t="shared" si="33"/>
        <v>0</v>
      </c>
      <c r="W33" s="29">
        <f t="shared" si="34"/>
        <v>0</v>
      </c>
      <c r="X33" s="15" t="s">
        <v>71</v>
      </c>
      <c r="Y33" s="22"/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3" t="s">
        <v>71</v>
      </c>
      <c r="AG33" s="22"/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3" t="s">
        <v>71</v>
      </c>
      <c r="AO33" s="22"/>
      <c r="AP33" s="21">
        <f t="shared" si="41"/>
        <v>0</v>
      </c>
      <c r="AQ33" s="21">
        <f t="shared" si="42"/>
        <v>0</v>
      </c>
      <c r="AR33" s="21">
        <f t="shared" si="43"/>
        <v>0</v>
      </c>
      <c r="AS33" s="21">
        <f t="shared" si="44"/>
        <v>0</v>
      </c>
      <c r="AT33" s="21">
        <f t="shared" si="45"/>
        <v>0</v>
      </c>
      <c r="AU33" s="21">
        <f t="shared" si="46"/>
        <v>0</v>
      </c>
      <c r="AV33" s="15" t="s">
        <v>71</v>
      </c>
      <c r="AW33" s="17"/>
      <c r="AX33" s="55">
        <f t="shared" si="27"/>
        <v>0</v>
      </c>
      <c r="AY33" s="55">
        <v>0</v>
      </c>
      <c r="AZ33" s="18">
        <f t="shared" si="28"/>
        <v>0</v>
      </c>
      <c r="BA33" s="17"/>
      <c r="BB33" s="17"/>
      <c r="BC33" s="17"/>
      <c r="BD33" s="17"/>
      <c r="BE33" s="17"/>
    </row>
    <row r="34" spans="1:57" s="7" customFormat="1" ht="15" customHeight="1" thickBot="1" x14ac:dyDescent="0.4">
      <c r="A34" s="3" t="s">
        <v>42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 t="s">
        <v>71</v>
      </c>
      <c r="I34" s="22"/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15" t="s">
        <v>71</v>
      </c>
      <c r="Q34" s="22"/>
      <c r="R34" s="29">
        <f t="shared" si="29"/>
        <v>0</v>
      </c>
      <c r="S34" s="29">
        <f t="shared" si="30"/>
        <v>0</v>
      </c>
      <c r="T34" s="29">
        <f t="shared" si="31"/>
        <v>0</v>
      </c>
      <c r="U34" s="29">
        <f t="shared" si="32"/>
        <v>0</v>
      </c>
      <c r="V34" s="29">
        <f t="shared" si="33"/>
        <v>0</v>
      </c>
      <c r="W34" s="29">
        <f t="shared" si="34"/>
        <v>0</v>
      </c>
      <c r="X34" s="15" t="s">
        <v>71</v>
      </c>
      <c r="Y34" s="22"/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3" t="s">
        <v>71</v>
      </c>
      <c r="AG34" s="22"/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3" t="s">
        <v>71</v>
      </c>
      <c r="AO34" s="22"/>
      <c r="AP34" s="21">
        <f t="shared" si="41"/>
        <v>0</v>
      </c>
      <c r="AQ34" s="21">
        <f t="shared" si="42"/>
        <v>0</v>
      </c>
      <c r="AR34" s="21">
        <f t="shared" si="43"/>
        <v>0</v>
      </c>
      <c r="AS34" s="21">
        <f t="shared" si="44"/>
        <v>0</v>
      </c>
      <c r="AT34" s="21">
        <f t="shared" si="45"/>
        <v>0</v>
      </c>
      <c r="AU34" s="21">
        <f t="shared" si="46"/>
        <v>0</v>
      </c>
      <c r="AV34" s="15" t="s">
        <v>71</v>
      </c>
      <c r="AW34" s="17"/>
      <c r="AX34" s="55">
        <f t="shared" si="27"/>
        <v>0</v>
      </c>
      <c r="AY34" s="55">
        <v>0</v>
      </c>
      <c r="AZ34" s="18">
        <f t="shared" si="28"/>
        <v>0</v>
      </c>
      <c r="BA34" s="17"/>
      <c r="BB34" s="17"/>
      <c r="BC34" s="17"/>
      <c r="BD34" s="17"/>
      <c r="BE34" s="17"/>
    </row>
    <row r="35" spans="1:57" s="7" customFormat="1" ht="15" customHeight="1" thickBot="1" x14ac:dyDescent="0.4">
      <c r="A35" s="3" t="s">
        <v>43</v>
      </c>
      <c r="B35" s="22">
        <v>0</v>
      </c>
      <c r="C35" s="22">
        <v>1</v>
      </c>
      <c r="D35" s="22">
        <v>2</v>
      </c>
      <c r="E35" s="22">
        <v>1</v>
      </c>
      <c r="F35" s="22">
        <v>0</v>
      </c>
      <c r="G35" s="22">
        <v>0</v>
      </c>
      <c r="H35" s="23">
        <v>40.375</v>
      </c>
      <c r="I35" s="22"/>
      <c r="J35" s="22">
        <v>2</v>
      </c>
      <c r="K35" s="22">
        <v>4</v>
      </c>
      <c r="L35" s="22">
        <v>2</v>
      </c>
      <c r="M35" s="22">
        <v>2</v>
      </c>
      <c r="N35" s="22">
        <v>1</v>
      </c>
      <c r="O35" s="22">
        <v>0</v>
      </c>
      <c r="P35" s="15">
        <v>36.590909090909093</v>
      </c>
      <c r="Q35" s="22"/>
      <c r="R35" s="29">
        <f t="shared" si="29"/>
        <v>2</v>
      </c>
      <c r="S35" s="29">
        <f t="shared" si="30"/>
        <v>5</v>
      </c>
      <c r="T35" s="29">
        <f t="shared" si="31"/>
        <v>4</v>
      </c>
      <c r="U35" s="29">
        <f t="shared" si="32"/>
        <v>3</v>
      </c>
      <c r="V35" s="29">
        <f t="shared" si="33"/>
        <v>1</v>
      </c>
      <c r="W35" s="29">
        <f t="shared" si="34"/>
        <v>0</v>
      </c>
      <c r="X35" s="15">
        <v>37.6</v>
      </c>
      <c r="Y35" s="22"/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3" t="s">
        <v>71</v>
      </c>
      <c r="AG35" s="22"/>
      <c r="AH35" s="22">
        <v>2</v>
      </c>
      <c r="AI35" s="22">
        <v>1</v>
      </c>
      <c r="AJ35" s="22">
        <v>2</v>
      </c>
      <c r="AK35" s="22">
        <v>4</v>
      </c>
      <c r="AL35" s="22">
        <v>0</v>
      </c>
      <c r="AM35" s="22">
        <v>0</v>
      </c>
      <c r="AN35" s="23">
        <v>39.222222222222221</v>
      </c>
      <c r="AO35" s="22"/>
      <c r="AP35" s="21">
        <f t="shared" si="41"/>
        <v>4</v>
      </c>
      <c r="AQ35" s="21">
        <f t="shared" si="42"/>
        <v>6</v>
      </c>
      <c r="AR35" s="21">
        <f t="shared" si="43"/>
        <v>6</v>
      </c>
      <c r="AS35" s="21">
        <f t="shared" si="44"/>
        <v>7</v>
      </c>
      <c r="AT35" s="21">
        <f t="shared" si="45"/>
        <v>1</v>
      </c>
      <c r="AU35" s="21">
        <f t="shared" si="46"/>
        <v>0</v>
      </c>
      <c r="AV35" s="15">
        <v>38.208333333333336</v>
      </c>
      <c r="AW35" s="17"/>
      <c r="AX35" s="55">
        <f t="shared" si="27"/>
        <v>24</v>
      </c>
      <c r="AY35" s="55">
        <v>24</v>
      </c>
      <c r="AZ35" s="18">
        <f t="shared" si="28"/>
        <v>0</v>
      </c>
      <c r="BA35" s="17"/>
      <c r="BB35" s="17"/>
      <c r="BC35" s="17"/>
      <c r="BD35" s="17"/>
      <c r="BE35" s="17"/>
    </row>
    <row r="36" spans="1:57" s="7" customFormat="1" ht="15" customHeight="1" thickBot="1" x14ac:dyDescent="0.4">
      <c r="A36" s="3" t="s">
        <v>44</v>
      </c>
      <c r="B36" s="22">
        <v>2</v>
      </c>
      <c r="C36" s="22">
        <v>3</v>
      </c>
      <c r="D36" s="22">
        <v>0</v>
      </c>
      <c r="E36" s="22">
        <v>0</v>
      </c>
      <c r="F36" s="22">
        <v>0</v>
      </c>
      <c r="G36" s="22">
        <v>0</v>
      </c>
      <c r="H36" s="23">
        <v>26</v>
      </c>
      <c r="I36" s="22"/>
      <c r="J36" s="22">
        <v>6</v>
      </c>
      <c r="K36" s="22">
        <v>4</v>
      </c>
      <c r="L36" s="22">
        <v>1</v>
      </c>
      <c r="M36" s="22">
        <v>0</v>
      </c>
      <c r="N36" s="22">
        <v>0</v>
      </c>
      <c r="O36" s="22">
        <v>0</v>
      </c>
      <c r="P36" s="15">
        <v>25.500000000000004</v>
      </c>
      <c r="Q36" s="22"/>
      <c r="R36" s="29">
        <f t="shared" si="29"/>
        <v>8</v>
      </c>
      <c r="S36" s="29">
        <f t="shared" si="30"/>
        <v>7</v>
      </c>
      <c r="T36" s="29">
        <f t="shared" si="31"/>
        <v>1</v>
      </c>
      <c r="U36" s="29">
        <f t="shared" si="32"/>
        <v>0</v>
      </c>
      <c r="V36" s="29">
        <f t="shared" si="33"/>
        <v>0</v>
      </c>
      <c r="W36" s="29">
        <f t="shared" si="34"/>
        <v>0</v>
      </c>
      <c r="X36" s="15">
        <v>25.65625</v>
      </c>
      <c r="Y36" s="22"/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3" t="s">
        <v>71</v>
      </c>
      <c r="AG36" s="22"/>
      <c r="AH36" s="22">
        <v>0</v>
      </c>
      <c r="AI36" s="22">
        <v>0</v>
      </c>
      <c r="AJ36" s="22">
        <v>0</v>
      </c>
      <c r="AK36" s="22">
        <v>0</v>
      </c>
      <c r="AL36" s="22">
        <v>1</v>
      </c>
      <c r="AM36" s="22">
        <v>0</v>
      </c>
      <c r="AN36" s="23">
        <v>60.5</v>
      </c>
      <c r="AO36" s="22"/>
      <c r="AP36" s="21">
        <f t="shared" si="41"/>
        <v>8</v>
      </c>
      <c r="AQ36" s="21">
        <f t="shared" si="42"/>
        <v>7</v>
      </c>
      <c r="AR36" s="21">
        <f t="shared" si="43"/>
        <v>1</v>
      </c>
      <c r="AS36" s="21">
        <f t="shared" si="44"/>
        <v>0</v>
      </c>
      <c r="AT36" s="21">
        <f t="shared" si="45"/>
        <v>1</v>
      </c>
      <c r="AU36" s="21">
        <f t="shared" si="46"/>
        <v>0</v>
      </c>
      <c r="AV36" s="15">
        <v>27.705882352941178</v>
      </c>
      <c r="AW36" s="17"/>
      <c r="AX36" s="55">
        <f t="shared" si="27"/>
        <v>17</v>
      </c>
      <c r="AY36" s="55">
        <v>17</v>
      </c>
      <c r="AZ36" s="18">
        <f t="shared" si="28"/>
        <v>0</v>
      </c>
      <c r="BA36" s="17"/>
      <c r="BB36" s="17"/>
      <c r="BC36" s="17"/>
      <c r="BD36" s="17"/>
      <c r="BE36" s="17"/>
    </row>
    <row r="37" spans="1:57" s="7" customFormat="1" ht="15" customHeight="1" thickBot="1" x14ac:dyDescent="0.4">
      <c r="A37" s="2" t="s">
        <v>45</v>
      </c>
      <c r="B37" s="22">
        <v>0</v>
      </c>
      <c r="C37" s="22">
        <v>0</v>
      </c>
      <c r="D37" s="22">
        <v>1</v>
      </c>
      <c r="E37" s="22">
        <v>0</v>
      </c>
      <c r="F37" s="22">
        <v>0</v>
      </c>
      <c r="G37" s="22">
        <v>0</v>
      </c>
      <c r="H37" s="23">
        <v>40.5</v>
      </c>
      <c r="I37" s="22"/>
      <c r="J37" s="22">
        <v>11</v>
      </c>
      <c r="K37" s="22">
        <v>12</v>
      </c>
      <c r="L37" s="22">
        <v>3</v>
      </c>
      <c r="M37" s="22">
        <v>4</v>
      </c>
      <c r="N37" s="22">
        <v>0</v>
      </c>
      <c r="O37" s="22">
        <v>0</v>
      </c>
      <c r="P37" s="15">
        <v>30.116666666666667</v>
      </c>
      <c r="Q37" s="22"/>
      <c r="R37" s="29">
        <f t="shared" si="29"/>
        <v>11</v>
      </c>
      <c r="S37" s="29">
        <f t="shared" si="30"/>
        <v>12</v>
      </c>
      <c r="T37" s="29">
        <f t="shared" si="31"/>
        <v>4</v>
      </c>
      <c r="U37" s="29">
        <f t="shared" si="32"/>
        <v>4</v>
      </c>
      <c r="V37" s="29">
        <f t="shared" si="33"/>
        <v>0</v>
      </c>
      <c r="W37" s="29">
        <f t="shared" si="34"/>
        <v>0</v>
      </c>
      <c r="X37" s="15">
        <v>30.451612903225808</v>
      </c>
      <c r="Y37" s="22"/>
      <c r="Z37" s="22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3">
        <v>20</v>
      </c>
      <c r="AG37" s="22"/>
      <c r="AH37" s="22">
        <v>1</v>
      </c>
      <c r="AI37" s="22">
        <v>9</v>
      </c>
      <c r="AJ37" s="22">
        <v>7</v>
      </c>
      <c r="AK37" s="22">
        <v>9</v>
      </c>
      <c r="AL37" s="22">
        <v>0</v>
      </c>
      <c r="AM37" s="22">
        <v>0</v>
      </c>
      <c r="AN37" s="23">
        <v>39.538461538461533</v>
      </c>
      <c r="AO37" s="22"/>
      <c r="AP37" s="21">
        <f t="shared" si="41"/>
        <v>13</v>
      </c>
      <c r="AQ37" s="21">
        <f t="shared" si="42"/>
        <v>21</v>
      </c>
      <c r="AR37" s="21">
        <f t="shared" si="43"/>
        <v>11</v>
      </c>
      <c r="AS37" s="21">
        <f t="shared" si="44"/>
        <v>13</v>
      </c>
      <c r="AT37" s="21">
        <f t="shared" si="45"/>
        <v>0</v>
      </c>
      <c r="AU37" s="21">
        <f t="shared" si="46"/>
        <v>0</v>
      </c>
      <c r="AV37" s="15">
        <v>34.344827586206897</v>
      </c>
      <c r="AW37" s="17"/>
      <c r="AX37" s="55">
        <f t="shared" si="27"/>
        <v>58</v>
      </c>
      <c r="AY37" s="55">
        <v>58</v>
      </c>
      <c r="AZ37" s="18">
        <f t="shared" si="28"/>
        <v>0</v>
      </c>
      <c r="BA37" s="17"/>
      <c r="BB37" s="17"/>
      <c r="BC37" s="17"/>
      <c r="BD37" s="17"/>
      <c r="BE37" s="17"/>
    </row>
    <row r="38" spans="1:57" s="7" customFormat="1" ht="15" customHeight="1" thickBot="1" x14ac:dyDescent="0.4">
      <c r="A38" s="2" t="s">
        <v>46</v>
      </c>
      <c r="B38" s="22">
        <v>0</v>
      </c>
      <c r="C38" s="22">
        <v>16</v>
      </c>
      <c r="D38" s="22">
        <v>1</v>
      </c>
      <c r="E38" s="22">
        <v>1</v>
      </c>
      <c r="F38" s="22">
        <v>0</v>
      </c>
      <c r="G38" s="22">
        <v>0</v>
      </c>
      <c r="H38" s="23">
        <v>31.722222222222221</v>
      </c>
      <c r="I38" s="22"/>
      <c r="J38" s="22">
        <v>15</v>
      </c>
      <c r="K38" s="22">
        <v>22</v>
      </c>
      <c r="L38" s="22">
        <v>9</v>
      </c>
      <c r="M38" s="22">
        <v>0</v>
      </c>
      <c r="N38" s="22">
        <v>0</v>
      </c>
      <c r="O38" s="22">
        <v>0</v>
      </c>
      <c r="P38" s="15">
        <v>28.793478260869566</v>
      </c>
      <c r="Q38" s="22"/>
      <c r="R38" s="29">
        <f t="shared" si="29"/>
        <v>15</v>
      </c>
      <c r="S38" s="29">
        <f t="shared" si="30"/>
        <v>38</v>
      </c>
      <c r="T38" s="29">
        <f t="shared" si="31"/>
        <v>10</v>
      </c>
      <c r="U38" s="29">
        <f t="shared" si="32"/>
        <v>1</v>
      </c>
      <c r="V38" s="29">
        <f t="shared" si="33"/>
        <v>0</v>
      </c>
      <c r="W38" s="29">
        <f t="shared" si="34"/>
        <v>0</v>
      </c>
      <c r="X38" s="15">
        <v>29.6171875</v>
      </c>
      <c r="Y38" s="22"/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3" t="s">
        <v>71</v>
      </c>
      <c r="AG38" s="22"/>
      <c r="AH38" s="22">
        <v>0</v>
      </c>
      <c r="AI38" s="22">
        <v>2</v>
      </c>
      <c r="AJ38" s="22">
        <v>2</v>
      </c>
      <c r="AK38" s="22">
        <v>1</v>
      </c>
      <c r="AL38" s="22">
        <v>1</v>
      </c>
      <c r="AM38" s="22">
        <v>0</v>
      </c>
      <c r="AN38" s="23">
        <v>42</v>
      </c>
      <c r="AO38" s="22"/>
      <c r="AP38" s="21">
        <f t="shared" si="41"/>
        <v>15</v>
      </c>
      <c r="AQ38" s="21">
        <f t="shared" si="42"/>
        <v>40</v>
      </c>
      <c r="AR38" s="21">
        <f t="shared" si="43"/>
        <v>12</v>
      </c>
      <c r="AS38" s="21">
        <f t="shared" si="44"/>
        <v>2</v>
      </c>
      <c r="AT38" s="21">
        <f t="shared" si="45"/>
        <v>1</v>
      </c>
      <c r="AU38" s="21">
        <f t="shared" si="46"/>
        <v>0</v>
      </c>
      <c r="AV38" s="15">
        <v>30.678571428571427</v>
      </c>
      <c r="AW38" s="17"/>
      <c r="AX38" s="55">
        <f t="shared" si="27"/>
        <v>70</v>
      </c>
      <c r="AY38" s="55">
        <v>70</v>
      </c>
      <c r="AZ38" s="18">
        <f t="shared" si="28"/>
        <v>0</v>
      </c>
      <c r="BA38" s="17"/>
      <c r="BB38" s="17"/>
      <c r="BC38" s="17"/>
      <c r="BD38" s="17"/>
      <c r="BE38" s="17"/>
    </row>
    <row r="39" spans="1:57" s="7" customFormat="1" ht="15" customHeight="1" thickBot="1" x14ac:dyDescent="0.4">
      <c r="A39" s="2" t="s">
        <v>47</v>
      </c>
      <c r="B39" s="22">
        <v>2</v>
      </c>
      <c r="C39" s="22">
        <v>9</v>
      </c>
      <c r="D39" s="22">
        <v>3</v>
      </c>
      <c r="E39" s="22">
        <v>0</v>
      </c>
      <c r="F39" s="22">
        <v>0</v>
      </c>
      <c r="G39" s="22">
        <v>0</v>
      </c>
      <c r="H39" s="23">
        <v>30.821428571428577</v>
      </c>
      <c r="I39" s="22"/>
      <c r="J39" s="22">
        <v>10</v>
      </c>
      <c r="K39" s="22">
        <v>18</v>
      </c>
      <c r="L39" s="22">
        <v>3</v>
      </c>
      <c r="M39" s="22">
        <v>0</v>
      </c>
      <c r="N39" s="22">
        <v>1</v>
      </c>
      <c r="O39" s="22">
        <v>0</v>
      </c>
      <c r="P39" s="15">
        <v>28.8125</v>
      </c>
      <c r="Q39" s="22"/>
      <c r="R39" s="29">
        <f t="shared" si="29"/>
        <v>12</v>
      </c>
      <c r="S39" s="29">
        <f t="shared" si="30"/>
        <v>27</v>
      </c>
      <c r="T39" s="29">
        <f t="shared" si="31"/>
        <v>6</v>
      </c>
      <c r="U39" s="29">
        <f t="shared" si="32"/>
        <v>0</v>
      </c>
      <c r="V39" s="29">
        <f t="shared" si="33"/>
        <v>1</v>
      </c>
      <c r="W39" s="29">
        <f t="shared" si="34"/>
        <v>0</v>
      </c>
      <c r="X39" s="15">
        <v>29.423913043478262</v>
      </c>
      <c r="Y39" s="22"/>
      <c r="Z39" s="22">
        <v>0</v>
      </c>
      <c r="AA39" s="22">
        <v>0</v>
      </c>
      <c r="AB39" s="22">
        <v>1</v>
      </c>
      <c r="AC39" s="22">
        <v>0</v>
      </c>
      <c r="AD39" s="22">
        <v>1</v>
      </c>
      <c r="AE39" s="22">
        <v>0</v>
      </c>
      <c r="AF39" s="23">
        <v>50.5</v>
      </c>
      <c r="AG39" s="22"/>
      <c r="AH39" s="22">
        <v>4</v>
      </c>
      <c r="AI39" s="22">
        <v>2</v>
      </c>
      <c r="AJ39" s="22">
        <v>2</v>
      </c>
      <c r="AK39" s="22">
        <v>1</v>
      </c>
      <c r="AL39" s="22">
        <v>1</v>
      </c>
      <c r="AM39" s="22">
        <v>0</v>
      </c>
      <c r="AN39" s="23">
        <v>33.200000000000003</v>
      </c>
      <c r="AO39" s="22"/>
      <c r="AP39" s="21">
        <f t="shared" si="41"/>
        <v>16</v>
      </c>
      <c r="AQ39" s="21">
        <f t="shared" si="42"/>
        <v>29</v>
      </c>
      <c r="AR39" s="21">
        <f t="shared" si="43"/>
        <v>9</v>
      </c>
      <c r="AS39" s="21">
        <f t="shared" si="44"/>
        <v>1</v>
      </c>
      <c r="AT39" s="21">
        <f t="shared" si="45"/>
        <v>3</v>
      </c>
      <c r="AU39" s="21">
        <f t="shared" si="46"/>
        <v>0</v>
      </c>
      <c r="AV39" s="15">
        <v>30.801724137931036</v>
      </c>
      <c r="AW39" s="17"/>
      <c r="AX39" s="55">
        <f t="shared" si="27"/>
        <v>58</v>
      </c>
      <c r="AY39" s="55">
        <v>58</v>
      </c>
      <c r="AZ39" s="18">
        <f t="shared" si="28"/>
        <v>0</v>
      </c>
      <c r="BA39" s="17"/>
      <c r="BB39" s="17"/>
      <c r="BC39" s="17"/>
      <c r="BD39" s="17"/>
      <c r="BE39" s="17"/>
    </row>
    <row r="40" spans="1:57" s="7" customFormat="1" ht="15" customHeight="1" thickBot="1" x14ac:dyDescent="0.4">
      <c r="A40" s="2" t="s">
        <v>48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 t="s">
        <v>71</v>
      </c>
      <c r="I40" s="22"/>
      <c r="J40" s="22">
        <v>12</v>
      </c>
      <c r="K40" s="22">
        <v>10</v>
      </c>
      <c r="L40" s="22">
        <v>2</v>
      </c>
      <c r="M40" s="22">
        <v>0</v>
      </c>
      <c r="N40" s="22">
        <v>0</v>
      </c>
      <c r="O40" s="22">
        <v>10</v>
      </c>
      <c r="P40" s="15">
        <v>25.875</v>
      </c>
      <c r="Q40" s="22"/>
      <c r="R40" s="29">
        <f t="shared" si="29"/>
        <v>12</v>
      </c>
      <c r="S40" s="29">
        <f t="shared" si="30"/>
        <v>10</v>
      </c>
      <c r="T40" s="29">
        <f t="shared" si="31"/>
        <v>2</v>
      </c>
      <c r="U40" s="29">
        <f t="shared" si="32"/>
        <v>0</v>
      </c>
      <c r="V40" s="29">
        <f t="shared" si="33"/>
        <v>0</v>
      </c>
      <c r="W40" s="29">
        <f t="shared" si="34"/>
        <v>10</v>
      </c>
      <c r="X40" s="15">
        <v>25.875</v>
      </c>
      <c r="Y40" s="22"/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3" t="s">
        <v>71</v>
      </c>
      <c r="AG40" s="22"/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12</v>
      </c>
      <c r="AN40" s="23" t="s">
        <v>71</v>
      </c>
      <c r="AO40" s="22"/>
      <c r="AP40" s="21">
        <f t="shared" si="41"/>
        <v>12</v>
      </c>
      <c r="AQ40" s="21">
        <f t="shared" si="42"/>
        <v>10</v>
      </c>
      <c r="AR40" s="21">
        <f t="shared" si="43"/>
        <v>2</v>
      </c>
      <c r="AS40" s="21">
        <f t="shared" si="44"/>
        <v>0</v>
      </c>
      <c r="AT40" s="21">
        <f t="shared" si="45"/>
        <v>0</v>
      </c>
      <c r="AU40" s="21">
        <f t="shared" si="46"/>
        <v>22</v>
      </c>
      <c r="AV40" s="15">
        <v>25.875</v>
      </c>
      <c r="AW40" s="17"/>
      <c r="AX40" s="55">
        <f t="shared" si="27"/>
        <v>46</v>
      </c>
      <c r="AY40" s="55">
        <v>46</v>
      </c>
      <c r="AZ40" s="18">
        <f t="shared" si="28"/>
        <v>0</v>
      </c>
      <c r="BA40" s="17"/>
      <c r="BB40" s="17"/>
      <c r="BC40" s="17"/>
      <c r="BD40" s="17"/>
      <c r="BE40" s="17"/>
    </row>
    <row r="41" spans="1:57" s="7" customFormat="1" ht="15" customHeight="1" thickBot="1" x14ac:dyDescent="0.4">
      <c r="A41" s="2" t="s">
        <v>49</v>
      </c>
      <c r="B41" s="22">
        <v>3</v>
      </c>
      <c r="C41" s="22">
        <v>0</v>
      </c>
      <c r="D41" s="22">
        <v>7</v>
      </c>
      <c r="E41" s="22">
        <v>7</v>
      </c>
      <c r="F41" s="22">
        <v>0</v>
      </c>
      <c r="G41" s="22">
        <v>0</v>
      </c>
      <c r="H41" s="23">
        <v>41</v>
      </c>
      <c r="I41" s="22"/>
      <c r="J41" s="22">
        <v>13</v>
      </c>
      <c r="K41" s="22">
        <v>15</v>
      </c>
      <c r="L41" s="22">
        <v>4</v>
      </c>
      <c r="M41" s="22">
        <v>1</v>
      </c>
      <c r="N41" s="22">
        <v>0</v>
      </c>
      <c r="O41" s="22">
        <v>0</v>
      </c>
      <c r="P41" s="15">
        <v>27.954545454545457</v>
      </c>
      <c r="Q41" s="22"/>
      <c r="R41" s="29">
        <f t="shared" si="29"/>
        <v>16</v>
      </c>
      <c r="S41" s="29">
        <f t="shared" si="30"/>
        <v>15</v>
      </c>
      <c r="T41" s="29">
        <f t="shared" si="31"/>
        <v>11</v>
      </c>
      <c r="U41" s="29">
        <f t="shared" si="32"/>
        <v>8</v>
      </c>
      <c r="V41" s="29">
        <f t="shared" si="33"/>
        <v>0</v>
      </c>
      <c r="W41" s="29">
        <f t="shared" si="34"/>
        <v>0</v>
      </c>
      <c r="X41" s="15">
        <v>32.39</v>
      </c>
      <c r="Y41" s="22"/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3" t="s">
        <v>71</v>
      </c>
      <c r="AG41" s="22"/>
      <c r="AH41" s="22">
        <v>0</v>
      </c>
      <c r="AI41" s="22">
        <v>0</v>
      </c>
      <c r="AJ41" s="22">
        <v>3</v>
      </c>
      <c r="AK41" s="22">
        <v>7</v>
      </c>
      <c r="AL41" s="22">
        <v>2</v>
      </c>
      <c r="AM41" s="22">
        <v>0</v>
      </c>
      <c r="AN41" s="23">
        <v>49.666666666666671</v>
      </c>
      <c r="AO41" s="22"/>
      <c r="AP41" s="21">
        <f t="shared" si="41"/>
        <v>16</v>
      </c>
      <c r="AQ41" s="21">
        <f t="shared" si="42"/>
        <v>15</v>
      </c>
      <c r="AR41" s="21">
        <f t="shared" si="43"/>
        <v>14</v>
      </c>
      <c r="AS41" s="21">
        <f t="shared" si="44"/>
        <v>15</v>
      </c>
      <c r="AT41" s="21">
        <f t="shared" si="45"/>
        <v>2</v>
      </c>
      <c r="AU41" s="21">
        <f t="shared" si="46"/>
        <v>0</v>
      </c>
      <c r="AV41" s="15">
        <v>35.733870967741936</v>
      </c>
      <c r="AW41" s="17"/>
      <c r="AX41" s="55">
        <f t="shared" si="27"/>
        <v>62</v>
      </c>
      <c r="AY41" s="55">
        <v>62</v>
      </c>
      <c r="AZ41" s="18">
        <f t="shared" si="28"/>
        <v>0</v>
      </c>
      <c r="BA41" s="17"/>
      <c r="BB41" s="17"/>
      <c r="BC41" s="17"/>
      <c r="BD41" s="17"/>
      <c r="BE41" s="17"/>
    </row>
    <row r="42" spans="1:57" s="7" customFormat="1" ht="15" customHeight="1" thickBot="1" x14ac:dyDescent="0.4">
      <c r="A42" s="2" t="s">
        <v>50</v>
      </c>
      <c r="B42" s="22">
        <v>0</v>
      </c>
      <c r="C42" s="22">
        <v>3</v>
      </c>
      <c r="D42" s="22">
        <v>5</v>
      </c>
      <c r="E42" s="22">
        <v>2</v>
      </c>
      <c r="F42" s="22">
        <v>0</v>
      </c>
      <c r="G42" s="22">
        <v>0</v>
      </c>
      <c r="H42" s="23">
        <v>39.35</v>
      </c>
      <c r="I42" s="22"/>
      <c r="J42" s="22">
        <v>0</v>
      </c>
      <c r="K42" s="22">
        <v>5</v>
      </c>
      <c r="L42" s="22">
        <v>5</v>
      </c>
      <c r="M42" s="22">
        <v>1</v>
      </c>
      <c r="N42" s="22">
        <v>0</v>
      </c>
      <c r="O42" s="22">
        <v>0</v>
      </c>
      <c r="P42" s="15">
        <v>36.63636363636364</v>
      </c>
      <c r="Q42" s="22"/>
      <c r="R42" s="29">
        <f t="shared" si="29"/>
        <v>0</v>
      </c>
      <c r="S42" s="29">
        <f t="shared" si="30"/>
        <v>8</v>
      </c>
      <c r="T42" s="29">
        <f t="shared" si="31"/>
        <v>10</v>
      </c>
      <c r="U42" s="29">
        <f t="shared" si="32"/>
        <v>3</v>
      </c>
      <c r="V42" s="29">
        <f t="shared" si="33"/>
        <v>0</v>
      </c>
      <c r="W42" s="29">
        <f t="shared" si="34"/>
        <v>0</v>
      </c>
      <c r="X42" s="15">
        <v>37.928571428571423</v>
      </c>
      <c r="Y42" s="22"/>
      <c r="Z42" s="22">
        <v>0</v>
      </c>
      <c r="AA42" s="22">
        <v>1</v>
      </c>
      <c r="AB42" s="22">
        <v>0</v>
      </c>
      <c r="AC42" s="22">
        <v>0</v>
      </c>
      <c r="AD42" s="22">
        <v>0</v>
      </c>
      <c r="AE42" s="22">
        <v>0</v>
      </c>
      <c r="AF42" s="23">
        <v>30</v>
      </c>
      <c r="AG42" s="22"/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3" t="s">
        <v>71</v>
      </c>
      <c r="AO42" s="22"/>
      <c r="AP42" s="21">
        <f t="shared" si="41"/>
        <v>0</v>
      </c>
      <c r="AQ42" s="21">
        <f t="shared" si="42"/>
        <v>9</v>
      </c>
      <c r="AR42" s="21">
        <f t="shared" si="43"/>
        <v>10</v>
      </c>
      <c r="AS42" s="21">
        <f t="shared" si="44"/>
        <v>3</v>
      </c>
      <c r="AT42" s="21">
        <f t="shared" si="45"/>
        <v>0</v>
      </c>
      <c r="AU42" s="21">
        <f t="shared" si="46"/>
        <v>0</v>
      </c>
      <c r="AV42" s="15">
        <v>37.56818181818182</v>
      </c>
      <c r="AW42" s="17"/>
      <c r="AX42" s="55">
        <f t="shared" si="27"/>
        <v>22</v>
      </c>
      <c r="AY42" s="55">
        <v>22</v>
      </c>
      <c r="AZ42" s="18">
        <f t="shared" si="28"/>
        <v>0</v>
      </c>
      <c r="BA42" s="17"/>
      <c r="BB42" s="17"/>
      <c r="BC42" s="17"/>
      <c r="BD42" s="17"/>
      <c r="BE42" s="17"/>
    </row>
    <row r="43" spans="1:57" s="7" customFormat="1" ht="15" customHeight="1" thickBot="1" x14ac:dyDescent="0.4">
      <c r="A43" s="2" t="s">
        <v>51</v>
      </c>
      <c r="B43" s="22">
        <v>0</v>
      </c>
      <c r="C43" s="22">
        <v>3</v>
      </c>
      <c r="D43" s="22">
        <v>2</v>
      </c>
      <c r="E43" s="22">
        <v>2</v>
      </c>
      <c r="F43" s="22">
        <v>0</v>
      </c>
      <c r="G43" s="22">
        <v>0</v>
      </c>
      <c r="H43" s="23">
        <v>38.857142857142854</v>
      </c>
      <c r="I43" s="22"/>
      <c r="J43" s="22">
        <v>9</v>
      </c>
      <c r="K43" s="22">
        <v>9</v>
      </c>
      <c r="L43" s="22">
        <v>5</v>
      </c>
      <c r="M43" s="22">
        <v>2</v>
      </c>
      <c r="N43" s="22">
        <v>0</v>
      </c>
      <c r="O43" s="22">
        <v>0</v>
      </c>
      <c r="P43" s="15">
        <v>30.14</v>
      </c>
      <c r="Q43" s="22"/>
      <c r="R43" s="29">
        <f t="shared" si="29"/>
        <v>9</v>
      </c>
      <c r="S43" s="29">
        <f t="shared" si="30"/>
        <v>12</v>
      </c>
      <c r="T43" s="29">
        <f t="shared" si="31"/>
        <v>7</v>
      </c>
      <c r="U43" s="29">
        <f t="shared" si="32"/>
        <v>4</v>
      </c>
      <c r="V43" s="29">
        <f t="shared" si="33"/>
        <v>0</v>
      </c>
      <c r="W43" s="29">
        <f t="shared" si="34"/>
        <v>0</v>
      </c>
      <c r="X43" s="15">
        <v>32.046875</v>
      </c>
      <c r="Y43" s="22"/>
      <c r="Z43" s="22">
        <v>0</v>
      </c>
      <c r="AA43" s="22">
        <v>3</v>
      </c>
      <c r="AB43" s="22">
        <v>2</v>
      </c>
      <c r="AC43" s="22">
        <v>0</v>
      </c>
      <c r="AD43" s="22">
        <v>0</v>
      </c>
      <c r="AE43" s="22">
        <v>0</v>
      </c>
      <c r="AF43" s="23">
        <v>34.200000000000003</v>
      </c>
      <c r="AG43" s="22"/>
      <c r="AH43" s="22">
        <v>3</v>
      </c>
      <c r="AI43" s="22">
        <v>2</v>
      </c>
      <c r="AJ43" s="22">
        <v>7</v>
      </c>
      <c r="AK43" s="22">
        <v>2</v>
      </c>
      <c r="AL43" s="22">
        <v>2</v>
      </c>
      <c r="AM43" s="22">
        <v>0</v>
      </c>
      <c r="AN43" s="23">
        <v>39.09375</v>
      </c>
      <c r="AO43" s="22"/>
      <c r="AP43" s="21">
        <f t="shared" si="41"/>
        <v>12</v>
      </c>
      <c r="AQ43" s="21">
        <f t="shared" si="42"/>
        <v>17</v>
      </c>
      <c r="AR43" s="21">
        <f t="shared" si="43"/>
        <v>16</v>
      </c>
      <c r="AS43" s="21">
        <f t="shared" si="44"/>
        <v>6</v>
      </c>
      <c r="AT43" s="21">
        <f t="shared" si="45"/>
        <v>2</v>
      </c>
      <c r="AU43" s="21">
        <f t="shared" si="46"/>
        <v>0</v>
      </c>
      <c r="AV43" s="15">
        <v>34.377358490566031</v>
      </c>
      <c r="AW43" s="17"/>
      <c r="AX43" s="55">
        <f t="shared" si="27"/>
        <v>53</v>
      </c>
      <c r="AY43" s="55">
        <v>53</v>
      </c>
      <c r="AZ43" s="18">
        <f t="shared" si="28"/>
        <v>0</v>
      </c>
      <c r="BA43" s="17"/>
      <c r="BB43" s="17"/>
      <c r="BC43" s="17"/>
      <c r="BD43" s="17"/>
      <c r="BE43" s="17"/>
    </row>
    <row r="44" spans="1:57" s="7" customFormat="1" ht="15" customHeight="1" thickBot="1" x14ac:dyDescent="0.4">
      <c r="A44" s="2" t="s">
        <v>52</v>
      </c>
      <c r="B44" s="22">
        <v>5</v>
      </c>
      <c r="C44" s="22">
        <v>12</v>
      </c>
      <c r="D44" s="22">
        <v>0</v>
      </c>
      <c r="E44" s="22">
        <v>0</v>
      </c>
      <c r="F44" s="22">
        <v>0</v>
      </c>
      <c r="G44" s="22">
        <v>0</v>
      </c>
      <c r="H44" s="23">
        <v>27.058823529411768</v>
      </c>
      <c r="I44" s="22"/>
      <c r="J44" s="22">
        <v>10</v>
      </c>
      <c r="K44" s="22">
        <v>20</v>
      </c>
      <c r="L44" s="22">
        <v>7</v>
      </c>
      <c r="M44" s="22">
        <v>3</v>
      </c>
      <c r="N44" s="22">
        <v>0</v>
      </c>
      <c r="O44" s="22">
        <v>0</v>
      </c>
      <c r="P44" s="15">
        <v>30.875</v>
      </c>
      <c r="Q44" s="22"/>
      <c r="R44" s="29">
        <f t="shared" si="29"/>
        <v>15</v>
      </c>
      <c r="S44" s="29">
        <f t="shared" si="30"/>
        <v>32</v>
      </c>
      <c r="T44" s="29">
        <f t="shared" si="31"/>
        <v>7</v>
      </c>
      <c r="U44" s="29">
        <f t="shared" si="32"/>
        <v>3</v>
      </c>
      <c r="V44" s="29">
        <f t="shared" si="33"/>
        <v>0</v>
      </c>
      <c r="W44" s="29">
        <f t="shared" si="34"/>
        <v>0</v>
      </c>
      <c r="X44" s="15">
        <v>29.736842105263158</v>
      </c>
      <c r="Y44" s="22"/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3" t="s">
        <v>71</v>
      </c>
      <c r="AG44" s="22"/>
      <c r="AH44" s="22">
        <v>2</v>
      </c>
      <c r="AI44" s="22">
        <v>8</v>
      </c>
      <c r="AJ44" s="22">
        <v>3</v>
      </c>
      <c r="AK44" s="22">
        <v>2</v>
      </c>
      <c r="AL44" s="22">
        <v>1</v>
      </c>
      <c r="AM44" s="22">
        <v>0</v>
      </c>
      <c r="AN44" s="23">
        <v>35.1875</v>
      </c>
      <c r="AO44" s="22"/>
      <c r="AP44" s="21">
        <f t="shared" si="41"/>
        <v>17</v>
      </c>
      <c r="AQ44" s="21">
        <f t="shared" si="42"/>
        <v>40</v>
      </c>
      <c r="AR44" s="21">
        <f t="shared" si="43"/>
        <v>10</v>
      </c>
      <c r="AS44" s="21">
        <f t="shared" si="44"/>
        <v>5</v>
      </c>
      <c r="AT44" s="21">
        <f t="shared" si="45"/>
        <v>1</v>
      </c>
      <c r="AU44" s="21">
        <f t="shared" si="46"/>
        <v>0</v>
      </c>
      <c r="AV44" s="15">
        <v>30.931506849315067</v>
      </c>
      <c r="AW44" s="17"/>
      <c r="AX44" s="55">
        <f t="shared" si="27"/>
        <v>73</v>
      </c>
      <c r="AY44" s="55">
        <v>73</v>
      </c>
      <c r="AZ44" s="18">
        <f t="shared" si="28"/>
        <v>0</v>
      </c>
      <c r="BA44" s="17"/>
      <c r="BB44" s="17"/>
      <c r="BC44" s="17"/>
      <c r="BD44" s="17"/>
      <c r="BE44" s="17"/>
    </row>
    <row r="45" spans="1:57" s="7" customFormat="1" ht="15" customHeight="1" thickBot="1" x14ac:dyDescent="0.4">
      <c r="A45" s="2" t="s">
        <v>53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 t="s">
        <v>71</v>
      </c>
      <c r="I45" s="22"/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15" t="s">
        <v>71</v>
      </c>
      <c r="Q45" s="22"/>
      <c r="R45" s="29">
        <f t="shared" si="29"/>
        <v>0</v>
      </c>
      <c r="S45" s="29">
        <f t="shared" si="30"/>
        <v>0</v>
      </c>
      <c r="T45" s="29">
        <f t="shared" si="31"/>
        <v>0</v>
      </c>
      <c r="U45" s="29">
        <f t="shared" si="32"/>
        <v>0</v>
      </c>
      <c r="V45" s="29">
        <f t="shared" si="33"/>
        <v>0</v>
      </c>
      <c r="W45" s="29">
        <f t="shared" si="34"/>
        <v>0</v>
      </c>
      <c r="X45" s="15" t="s">
        <v>71</v>
      </c>
      <c r="Y45" s="22"/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3" t="s">
        <v>71</v>
      </c>
      <c r="AG45" s="22"/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3" t="s">
        <v>71</v>
      </c>
      <c r="AO45" s="22"/>
      <c r="AP45" s="21">
        <f t="shared" si="41"/>
        <v>0</v>
      </c>
      <c r="AQ45" s="21">
        <f t="shared" si="42"/>
        <v>0</v>
      </c>
      <c r="AR45" s="21">
        <f t="shared" si="43"/>
        <v>0</v>
      </c>
      <c r="AS45" s="21">
        <f t="shared" si="44"/>
        <v>0</v>
      </c>
      <c r="AT45" s="21">
        <f t="shared" si="45"/>
        <v>0</v>
      </c>
      <c r="AU45" s="21">
        <f t="shared" si="46"/>
        <v>0</v>
      </c>
      <c r="AV45" s="15" t="s">
        <v>71</v>
      </c>
      <c r="AW45" s="17"/>
      <c r="AX45" s="55">
        <f t="shared" si="27"/>
        <v>0</v>
      </c>
      <c r="AY45" s="55">
        <v>0</v>
      </c>
      <c r="AZ45" s="18">
        <f t="shared" si="28"/>
        <v>0</v>
      </c>
      <c r="BA45" s="17"/>
      <c r="BB45" s="17"/>
      <c r="BC45" s="17"/>
      <c r="BD45" s="17"/>
      <c r="BE45" s="17"/>
    </row>
    <row r="46" spans="1:57" s="7" customFormat="1" ht="15" customHeight="1" x14ac:dyDescent="0.35">
      <c r="A46" s="20" t="s">
        <v>54</v>
      </c>
      <c r="B46" s="21">
        <f>SUM(B47:B53)</f>
        <v>33</v>
      </c>
      <c r="C46" s="21">
        <f t="shared" ref="C46:G46" si="47">SUM(C47:C53)</f>
        <v>101</v>
      </c>
      <c r="D46" s="21">
        <f t="shared" si="47"/>
        <v>20</v>
      </c>
      <c r="E46" s="21">
        <f t="shared" si="47"/>
        <v>5</v>
      </c>
      <c r="F46" s="21">
        <f t="shared" si="47"/>
        <v>0</v>
      </c>
      <c r="G46" s="21">
        <f t="shared" si="47"/>
        <v>0</v>
      </c>
      <c r="H46" s="15">
        <v>29.889937106918239</v>
      </c>
      <c r="I46" s="21"/>
      <c r="J46" s="21">
        <f t="shared" ref="J46:O46" si="48">SUM(J47:J53)</f>
        <v>3</v>
      </c>
      <c r="K46" s="21">
        <f t="shared" si="48"/>
        <v>11</v>
      </c>
      <c r="L46" s="21">
        <f t="shared" si="48"/>
        <v>2</v>
      </c>
      <c r="M46" s="21">
        <f t="shared" si="48"/>
        <v>0</v>
      </c>
      <c r="N46" s="21">
        <f t="shared" si="48"/>
        <v>0</v>
      </c>
      <c r="O46" s="21">
        <f t="shared" si="48"/>
        <v>0</v>
      </c>
      <c r="P46" s="15">
        <v>29.4375</v>
      </c>
      <c r="Q46" s="21"/>
      <c r="R46" s="21">
        <f t="shared" ref="R46:W46" si="49">SUM(R47:R53)</f>
        <v>36</v>
      </c>
      <c r="S46" s="21">
        <f t="shared" si="49"/>
        <v>112</v>
      </c>
      <c r="T46" s="21">
        <f t="shared" si="49"/>
        <v>22</v>
      </c>
      <c r="U46" s="21">
        <f t="shared" si="49"/>
        <v>5</v>
      </c>
      <c r="V46" s="21">
        <f t="shared" si="49"/>
        <v>0</v>
      </c>
      <c r="W46" s="21">
        <f t="shared" si="49"/>
        <v>0</v>
      </c>
      <c r="X46" s="15">
        <v>29.848571428571429</v>
      </c>
      <c r="Y46" s="21"/>
      <c r="Z46" s="21">
        <f t="shared" ref="Z46:AE46" si="50">SUM(Z47:Z53)</f>
        <v>3</v>
      </c>
      <c r="AA46" s="21">
        <f t="shared" si="50"/>
        <v>16</v>
      </c>
      <c r="AB46" s="21">
        <f t="shared" si="50"/>
        <v>4</v>
      </c>
      <c r="AC46" s="21">
        <f t="shared" si="50"/>
        <v>1</v>
      </c>
      <c r="AD46" s="21">
        <f t="shared" si="50"/>
        <v>1</v>
      </c>
      <c r="AE46" s="21">
        <f t="shared" si="50"/>
        <v>0</v>
      </c>
      <c r="AF46" s="15">
        <v>32.519999999999996</v>
      </c>
      <c r="AG46" s="21"/>
      <c r="AH46" s="21">
        <f t="shared" ref="AH46:AM46" si="51">SUM(AH47:AH53)</f>
        <v>35</v>
      </c>
      <c r="AI46" s="21">
        <f t="shared" si="51"/>
        <v>72</v>
      </c>
      <c r="AJ46" s="21">
        <f t="shared" si="51"/>
        <v>44</v>
      </c>
      <c r="AK46" s="21">
        <f t="shared" si="51"/>
        <v>33</v>
      </c>
      <c r="AL46" s="21">
        <f t="shared" si="51"/>
        <v>15</v>
      </c>
      <c r="AM46" s="21">
        <f t="shared" si="51"/>
        <v>0</v>
      </c>
      <c r="AN46" s="15">
        <v>36.261306532663319</v>
      </c>
      <c r="AO46" s="21"/>
      <c r="AP46" s="21">
        <f t="shared" ref="AP46:AU46" si="52">SUM(AP47:AP53)</f>
        <v>74</v>
      </c>
      <c r="AQ46" s="21">
        <f t="shared" si="52"/>
        <v>200</v>
      </c>
      <c r="AR46" s="21">
        <f t="shared" si="52"/>
        <v>70</v>
      </c>
      <c r="AS46" s="21">
        <f t="shared" si="52"/>
        <v>39</v>
      </c>
      <c r="AT46" s="21">
        <f t="shared" si="52"/>
        <v>16</v>
      </c>
      <c r="AU46" s="21">
        <f t="shared" si="52"/>
        <v>0</v>
      </c>
      <c r="AV46" s="15">
        <v>33.214285714285715</v>
      </c>
      <c r="AW46" s="17"/>
      <c r="AX46" s="55">
        <f t="shared" si="27"/>
        <v>399</v>
      </c>
      <c r="AY46" s="55">
        <v>397</v>
      </c>
      <c r="AZ46" s="18">
        <f t="shared" si="28"/>
        <v>2</v>
      </c>
      <c r="BA46" s="17"/>
      <c r="BB46" s="17"/>
      <c r="BC46" s="17"/>
      <c r="BD46" s="17"/>
      <c r="BE46" s="17"/>
    </row>
    <row r="47" spans="1:57" s="7" customFormat="1" ht="15" customHeight="1" thickBot="1" x14ac:dyDescent="0.4">
      <c r="A47" s="2" t="s">
        <v>55</v>
      </c>
      <c r="B47" s="22">
        <v>7</v>
      </c>
      <c r="C47" s="22">
        <v>9</v>
      </c>
      <c r="D47" s="22">
        <v>1</v>
      </c>
      <c r="E47" s="22">
        <v>0</v>
      </c>
      <c r="F47" s="22">
        <v>0</v>
      </c>
      <c r="G47" s="22">
        <v>0</v>
      </c>
      <c r="H47" s="23">
        <v>26.5</v>
      </c>
      <c r="I47" s="22"/>
      <c r="J47" s="22">
        <v>0</v>
      </c>
      <c r="K47" s="22">
        <v>0</v>
      </c>
      <c r="L47" s="22">
        <v>1</v>
      </c>
      <c r="M47" s="22">
        <v>0</v>
      </c>
      <c r="N47" s="22">
        <v>0</v>
      </c>
      <c r="O47" s="22">
        <v>0</v>
      </c>
      <c r="P47" s="15">
        <v>40.5</v>
      </c>
      <c r="Q47" s="22"/>
      <c r="R47" s="29">
        <f t="shared" ref="R47:R52" si="53">B47+J47</f>
        <v>7</v>
      </c>
      <c r="S47" s="29">
        <f t="shared" ref="S47:S52" si="54">C47+K47</f>
        <v>9</v>
      </c>
      <c r="T47" s="29">
        <f t="shared" ref="T47:T52" si="55">D47+L47</f>
        <v>2</v>
      </c>
      <c r="U47" s="29">
        <f t="shared" ref="U47:U52" si="56">E47+M47</f>
        <v>0</v>
      </c>
      <c r="V47" s="29">
        <f t="shared" ref="V47:V52" si="57">F47+N47</f>
        <v>0</v>
      </c>
      <c r="W47" s="29">
        <f t="shared" ref="W47:W52" si="58">G47+O47</f>
        <v>0</v>
      </c>
      <c r="X47" s="15">
        <v>27.277777777777779</v>
      </c>
      <c r="Y47" s="22"/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3" t="s">
        <v>71</v>
      </c>
      <c r="AG47" s="22"/>
      <c r="AH47" s="22">
        <v>18</v>
      </c>
      <c r="AI47" s="22">
        <v>17</v>
      </c>
      <c r="AJ47" s="22">
        <v>14</v>
      </c>
      <c r="AK47" s="22">
        <v>11</v>
      </c>
      <c r="AL47" s="22">
        <v>2</v>
      </c>
      <c r="AM47" s="22">
        <v>0</v>
      </c>
      <c r="AN47" s="23">
        <v>34.088709677419359</v>
      </c>
      <c r="AO47" s="22"/>
      <c r="AP47" s="21">
        <f t="shared" ref="AP47:AP53" si="59">AH47+Z47+R47</f>
        <v>25</v>
      </c>
      <c r="AQ47" s="21">
        <f t="shared" ref="AQ47:AQ53" si="60">AI47+AA47+S47</f>
        <v>26</v>
      </c>
      <c r="AR47" s="21">
        <f t="shared" ref="AR47:AR53" si="61">AJ47+AB47+T47</f>
        <v>16</v>
      </c>
      <c r="AS47" s="21">
        <f t="shared" ref="AS47:AS53" si="62">AK47+AC47+U47</f>
        <v>11</v>
      </c>
      <c r="AT47" s="21">
        <f t="shared" ref="AT47:AT53" si="63">AL47+AD47+V47</f>
        <v>2</v>
      </c>
      <c r="AU47" s="21">
        <f t="shared" ref="AU47:AU53" si="64">AM47+AE47+W47</f>
        <v>0</v>
      </c>
      <c r="AV47" s="15">
        <v>32.556250000000006</v>
      </c>
      <c r="AW47" s="17"/>
      <c r="AX47" s="55">
        <f t="shared" si="27"/>
        <v>80</v>
      </c>
      <c r="AY47" s="55">
        <v>80</v>
      </c>
      <c r="AZ47" s="18">
        <f t="shared" si="28"/>
        <v>0</v>
      </c>
      <c r="BA47" s="17"/>
      <c r="BB47" s="17"/>
      <c r="BC47" s="17"/>
      <c r="BD47" s="17"/>
      <c r="BE47" s="17"/>
    </row>
    <row r="48" spans="1:57" s="7" customFormat="1" ht="15" customHeight="1" thickBot="1" x14ac:dyDescent="0.4">
      <c r="A48" s="2" t="s">
        <v>56</v>
      </c>
      <c r="B48" s="22">
        <v>0</v>
      </c>
      <c r="C48" s="22">
        <v>15</v>
      </c>
      <c r="D48" s="22">
        <v>2</v>
      </c>
      <c r="E48" s="22">
        <v>0</v>
      </c>
      <c r="F48" s="22">
        <v>0</v>
      </c>
      <c r="G48" s="22">
        <v>0</v>
      </c>
      <c r="H48" s="23">
        <v>31.235294117647058</v>
      </c>
      <c r="I48" s="22"/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15" t="s">
        <v>71</v>
      </c>
      <c r="Q48" s="22"/>
      <c r="R48" s="29">
        <f t="shared" si="53"/>
        <v>0</v>
      </c>
      <c r="S48" s="29">
        <f t="shared" si="54"/>
        <v>15</v>
      </c>
      <c r="T48" s="29">
        <f t="shared" si="55"/>
        <v>2</v>
      </c>
      <c r="U48" s="29">
        <f t="shared" si="56"/>
        <v>0</v>
      </c>
      <c r="V48" s="29">
        <f t="shared" si="57"/>
        <v>0</v>
      </c>
      <c r="W48" s="29">
        <f t="shared" si="58"/>
        <v>0</v>
      </c>
      <c r="X48" s="15">
        <v>31.235294117647058</v>
      </c>
      <c r="Y48" s="22"/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3" t="s">
        <v>71</v>
      </c>
      <c r="AG48" s="22"/>
      <c r="AH48" s="22">
        <v>10</v>
      </c>
      <c r="AI48" s="22">
        <v>5</v>
      </c>
      <c r="AJ48" s="22">
        <v>1</v>
      </c>
      <c r="AK48" s="22">
        <v>9</v>
      </c>
      <c r="AL48" s="22">
        <v>2</v>
      </c>
      <c r="AM48" s="22">
        <v>0</v>
      </c>
      <c r="AN48" s="23">
        <v>35.777777777777771</v>
      </c>
      <c r="AO48" s="22"/>
      <c r="AP48" s="21">
        <f t="shared" si="59"/>
        <v>10</v>
      </c>
      <c r="AQ48" s="21">
        <f t="shared" si="60"/>
        <v>20</v>
      </c>
      <c r="AR48" s="21">
        <f t="shared" si="61"/>
        <v>3</v>
      </c>
      <c r="AS48" s="21">
        <f t="shared" si="62"/>
        <v>9</v>
      </c>
      <c r="AT48" s="21">
        <f t="shared" si="63"/>
        <v>2</v>
      </c>
      <c r="AU48" s="21">
        <f t="shared" si="64"/>
        <v>0</v>
      </c>
      <c r="AV48" s="15">
        <v>34.022727272727273</v>
      </c>
      <c r="AW48" s="17"/>
      <c r="AX48" s="55">
        <f t="shared" si="27"/>
        <v>44</v>
      </c>
      <c r="AY48" s="55">
        <v>44</v>
      </c>
      <c r="AZ48" s="18">
        <f t="shared" si="28"/>
        <v>0</v>
      </c>
      <c r="BA48" s="17"/>
      <c r="BB48" s="17"/>
      <c r="BC48" s="17"/>
      <c r="BD48" s="17"/>
      <c r="BE48" s="17"/>
    </row>
    <row r="49" spans="1:63" s="7" customFormat="1" ht="15" customHeight="1" thickBot="1" x14ac:dyDescent="0.4">
      <c r="A49" s="2" t="s">
        <v>57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 t="s">
        <v>71</v>
      </c>
      <c r="I49" s="22"/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15" t="s">
        <v>71</v>
      </c>
      <c r="Q49" s="22"/>
      <c r="R49" s="29">
        <f t="shared" si="53"/>
        <v>0</v>
      </c>
      <c r="S49" s="29">
        <f t="shared" si="54"/>
        <v>0</v>
      </c>
      <c r="T49" s="29">
        <f t="shared" si="55"/>
        <v>0</v>
      </c>
      <c r="U49" s="29">
        <f t="shared" si="56"/>
        <v>0</v>
      </c>
      <c r="V49" s="29">
        <f t="shared" si="57"/>
        <v>0</v>
      </c>
      <c r="W49" s="29">
        <f t="shared" si="58"/>
        <v>0</v>
      </c>
      <c r="X49" s="15" t="s">
        <v>71</v>
      </c>
      <c r="Y49" s="22"/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3" t="s">
        <v>71</v>
      </c>
      <c r="AG49" s="22"/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3" t="s">
        <v>71</v>
      </c>
      <c r="AO49" s="22"/>
      <c r="AP49" s="21">
        <f t="shared" si="59"/>
        <v>0</v>
      </c>
      <c r="AQ49" s="21">
        <f t="shared" si="60"/>
        <v>0</v>
      </c>
      <c r="AR49" s="21">
        <f t="shared" si="61"/>
        <v>0</v>
      </c>
      <c r="AS49" s="21">
        <f t="shared" si="62"/>
        <v>0</v>
      </c>
      <c r="AT49" s="21">
        <f t="shared" si="63"/>
        <v>0</v>
      </c>
      <c r="AU49" s="21">
        <f t="shared" si="64"/>
        <v>0</v>
      </c>
      <c r="AV49" s="15" t="s">
        <v>71</v>
      </c>
      <c r="AW49" s="17"/>
      <c r="AX49" s="55">
        <f t="shared" si="27"/>
        <v>0</v>
      </c>
      <c r="AY49" s="55">
        <v>0</v>
      </c>
      <c r="AZ49" s="18">
        <f t="shared" si="28"/>
        <v>0</v>
      </c>
      <c r="BA49" s="17"/>
      <c r="BB49" s="17"/>
      <c r="BC49" s="17"/>
      <c r="BD49" s="17"/>
      <c r="BE49" s="17"/>
    </row>
    <row r="50" spans="1:63" s="7" customFormat="1" ht="15" customHeight="1" thickBot="1" x14ac:dyDescent="0.4">
      <c r="A50" s="2" t="s">
        <v>58</v>
      </c>
      <c r="B50" s="22">
        <v>0</v>
      </c>
      <c r="C50" s="22">
        <v>1</v>
      </c>
      <c r="D50" s="22">
        <v>0</v>
      </c>
      <c r="E50" s="22">
        <v>0</v>
      </c>
      <c r="F50" s="22">
        <v>0</v>
      </c>
      <c r="G50" s="22">
        <v>0</v>
      </c>
      <c r="H50" s="23">
        <v>30</v>
      </c>
      <c r="I50" s="22"/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15" t="s">
        <v>71</v>
      </c>
      <c r="Q50" s="22"/>
      <c r="R50" s="29">
        <f t="shared" si="53"/>
        <v>0</v>
      </c>
      <c r="S50" s="29">
        <f t="shared" si="54"/>
        <v>1</v>
      </c>
      <c r="T50" s="29">
        <f t="shared" si="55"/>
        <v>0</v>
      </c>
      <c r="U50" s="29">
        <f t="shared" si="56"/>
        <v>0</v>
      </c>
      <c r="V50" s="29">
        <f t="shared" si="57"/>
        <v>0</v>
      </c>
      <c r="W50" s="29">
        <f t="shared" si="58"/>
        <v>0</v>
      </c>
      <c r="X50" s="15">
        <v>30</v>
      </c>
      <c r="Y50" s="22"/>
      <c r="Z50" s="22">
        <v>0</v>
      </c>
      <c r="AA50" s="22">
        <v>1</v>
      </c>
      <c r="AB50" s="22">
        <v>0</v>
      </c>
      <c r="AC50" s="22">
        <v>1</v>
      </c>
      <c r="AD50" s="22">
        <v>0</v>
      </c>
      <c r="AE50" s="22">
        <v>0</v>
      </c>
      <c r="AF50" s="23">
        <v>40.25</v>
      </c>
      <c r="AG50" s="22"/>
      <c r="AH50" s="22">
        <v>0</v>
      </c>
      <c r="AI50" s="22">
        <v>1</v>
      </c>
      <c r="AJ50" s="22">
        <v>4</v>
      </c>
      <c r="AK50" s="22">
        <v>3</v>
      </c>
      <c r="AL50" s="22">
        <v>4</v>
      </c>
      <c r="AM50" s="22">
        <v>0</v>
      </c>
      <c r="AN50" s="23">
        <v>48.791666666666664</v>
      </c>
      <c r="AO50" s="22"/>
      <c r="AP50" s="21">
        <f t="shared" si="59"/>
        <v>0</v>
      </c>
      <c r="AQ50" s="21">
        <f t="shared" si="60"/>
        <v>3</v>
      </c>
      <c r="AR50" s="21">
        <f t="shared" si="61"/>
        <v>4</v>
      </c>
      <c r="AS50" s="21">
        <f t="shared" si="62"/>
        <v>4</v>
      </c>
      <c r="AT50" s="21">
        <f t="shared" si="63"/>
        <v>4</v>
      </c>
      <c r="AU50" s="21">
        <f t="shared" si="64"/>
        <v>0</v>
      </c>
      <c r="AV50" s="15">
        <v>46.4</v>
      </c>
      <c r="AW50" s="17"/>
      <c r="AX50" s="55">
        <f t="shared" si="27"/>
        <v>15</v>
      </c>
      <c r="AY50" s="55">
        <v>15</v>
      </c>
      <c r="AZ50" s="18">
        <f t="shared" si="28"/>
        <v>0</v>
      </c>
      <c r="BA50" s="17"/>
      <c r="BB50" s="17"/>
      <c r="BC50" s="17"/>
      <c r="BD50" s="17"/>
      <c r="BE50" s="17"/>
    </row>
    <row r="51" spans="1:63" s="7" customFormat="1" ht="15" customHeight="1" thickBot="1" x14ac:dyDescent="0.4">
      <c r="A51" s="2" t="s">
        <v>59</v>
      </c>
      <c r="B51" s="22">
        <v>0</v>
      </c>
      <c r="C51" s="22">
        <v>3</v>
      </c>
      <c r="D51" s="22">
        <v>0</v>
      </c>
      <c r="E51" s="22">
        <v>0</v>
      </c>
      <c r="F51" s="22">
        <v>0</v>
      </c>
      <c r="G51" s="22">
        <v>0</v>
      </c>
      <c r="H51" s="23">
        <v>30</v>
      </c>
      <c r="I51" s="22"/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15" t="s">
        <v>71</v>
      </c>
      <c r="Q51" s="22"/>
      <c r="R51" s="29">
        <f t="shared" si="53"/>
        <v>0</v>
      </c>
      <c r="S51" s="29">
        <f t="shared" si="54"/>
        <v>3</v>
      </c>
      <c r="T51" s="29">
        <f t="shared" si="55"/>
        <v>0</v>
      </c>
      <c r="U51" s="29">
        <f t="shared" si="56"/>
        <v>0</v>
      </c>
      <c r="V51" s="29">
        <f t="shared" si="57"/>
        <v>0</v>
      </c>
      <c r="W51" s="29">
        <f t="shared" si="58"/>
        <v>0</v>
      </c>
      <c r="X51" s="15">
        <v>30</v>
      </c>
      <c r="Y51" s="22"/>
      <c r="Z51" s="22">
        <v>1</v>
      </c>
      <c r="AA51" s="22">
        <v>9</v>
      </c>
      <c r="AB51" s="22">
        <v>1</v>
      </c>
      <c r="AC51" s="22">
        <v>0</v>
      </c>
      <c r="AD51" s="22">
        <v>0</v>
      </c>
      <c r="AE51" s="22">
        <v>0</v>
      </c>
      <c r="AF51" s="23">
        <v>30.04545454545455</v>
      </c>
      <c r="AG51" s="22"/>
      <c r="AH51" s="22">
        <v>0</v>
      </c>
      <c r="AI51" s="22">
        <v>4</v>
      </c>
      <c r="AJ51" s="22">
        <v>4</v>
      </c>
      <c r="AK51" s="22">
        <v>2</v>
      </c>
      <c r="AL51" s="22">
        <v>1</v>
      </c>
      <c r="AM51" s="22">
        <v>0</v>
      </c>
      <c r="AN51" s="23">
        <v>40.31818181818182</v>
      </c>
      <c r="AO51" s="22"/>
      <c r="AP51" s="21">
        <f t="shared" si="59"/>
        <v>1</v>
      </c>
      <c r="AQ51" s="21">
        <f t="shared" si="60"/>
        <v>16</v>
      </c>
      <c r="AR51" s="21">
        <f t="shared" si="61"/>
        <v>5</v>
      </c>
      <c r="AS51" s="21">
        <f t="shared" si="62"/>
        <v>2</v>
      </c>
      <c r="AT51" s="21">
        <f t="shared" si="63"/>
        <v>1</v>
      </c>
      <c r="AU51" s="21">
        <f t="shared" si="64"/>
        <v>0</v>
      </c>
      <c r="AV51" s="15">
        <v>34.56</v>
      </c>
      <c r="AW51" s="17"/>
      <c r="AX51" s="55">
        <f t="shared" si="27"/>
        <v>25</v>
      </c>
      <c r="AY51" s="55">
        <v>25</v>
      </c>
      <c r="AZ51" s="18">
        <f t="shared" si="28"/>
        <v>0</v>
      </c>
      <c r="BA51" s="17"/>
      <c r="BB51" s="17"/>
      <c r="BC51" s="17"/>
      <c r="BD51" s="17"/>
      <c r="BE51" s="17"/>
    </row>
    <row r="52" spans="1:63" s="7" customFormat="1" ht="15" customHeight="1" thickBot="1" x14ac:dyDescent="0.4">
      <c r="A52" s="2" t="s">
        <v>60</v>
      </c>
      <c r="B52" s="22">
        <v>0</v>
      </c>
      <c r="C52" s="22">
        <v>0</v>
      </c>
      <c r="D52" s="22">
        <v>1</v>
      </c>
      <c r="E52" s="22">
        <v>0</v>
      </c>
      <c r="F52" s="22">
        <v>0</v>
      </c>
      <c r="G52" s="22">
        <v>0</v>
      </c>
      <c r="H52" s="23">
        <v>40.5</v>
      </c>
      <c r="I52" s="22"/>
      <c r="J52" s="22">
        <v>3</v>
      </c>
      <c r="K52" s="22">
        <v>11</v>
      </c>
      <c r="L52" s="22">
        <v>1</v>
      </c>
      <c r="M52" s="22">
        <v>0</v>
      </c>
      <c r="N52" s="22">
        <v>0</v>
      </c>
      <c r="O52" s="22">
        <v>0</v>
      </c>
      <c r="P52" s="15">
        <v>28.7</v>
      </c>
      <c r="Q52" s="22"/>
      <c r="R52" s="29">
        <f t="shared" si="53"/>
        <v>3</v>
      </c>
      <c r="S52" s="29">
        <f t="shared" si="54"/>
        <v>11</v>
      </c>
      <c r="T52" s="29">
        <f t="shared" si="55"/>
        <v>2</v>
      </c>
      <c r="U52" s="29">
        <f t="shared" si="56"/>
        <v>0</v>
      </c>
      <c r="V52" s="29">
        <f t="shared" si="57"/>
        <v>0</v>
      </c>
      <c r="W52" s="29">
        <f t="shared" si="58"/>
        <v>0</v>
      </c>
      <c r="X52" s="15">
        <v>29.4375</v>
      </c>
      <c r="Y52" s="22"/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3" t="s">
        <v>71</v>
      </c>
      <c r="AG52" s="22"/>
      <c r="AH52" s="22">
        <v>0</v>
      </c>
      <c r="AI52" s="22">
        <v>13</v>
      </c>
      <c r="AJ52" s="22">
        <v>9</v>
      </c>
      <c r="AK52" s="22">
        <v>4</v>
      </c>
      <c r="AL52" s="22">
        <v>5</v>
      </c>
      <c r="AM52" s="22">
        <v>0</v>
      </c>
      <c r="AN52" s="23">
        <v>40.612903225806456</v>
      </c>
      <c r="AO52" s="22"/>
      <c r="AP52" s="21">
        <f t="shared" si="59"/>
        <v>3</v>
      </c>
      <c r="AQ52" s="21">
        <f t="shared" si="60"/>
        <v>24</v>
      </c>
      <c r="AR52" s="21">
        <f t="shared" si="61"/>
        <v>11</v>
      </c>
      <c r="AS52" s="21">
        <f t="shared" si="62"/>
        <v>4</v>
      </c>
      <c r="AT52" s="21">
        <f t="shared" si="63"/>
        <v>5</v>
      </c>
      <c r="AU52" s="21">
        <f t="shared" si="64"/>
        <v>0</v>
      </c>
      <c r="AV52" s="15">
        <v>36.808510638297868</v>
      </c>
      <c r="AW52" s="17"/>
      <c r="AX52" s="55">
        <f t="shared" si="27"/>
        <v>47</v>
      </c>
      <c r="AY52" s="55">
        <v>45</v>
      </c>
      <c r="AZ52" s="18">
        <f t="shared" si="28"/>
        <v>2</v>
      </c>
      <c r="BA52" s="17"/>
      <c r="BB52" s="17"/>
      <c r="BC52" s="17"/>
      <c r="BD52" s="17"/>
      <c r="BE52" s="17"/>
    </row>
    <row r="53" spans="1:63" s="7" customFormat="1" ht="15" customHeight="1" thickBot="1" x14ac:dyDescent="0.4">
      <c r="A53" s="25" t="s">
        <v>61</v>
      </c>
      <c r="B53" s="26">
        <v>26</v>
      </c>
      <c r="C53" s="26">
        <v>73</v>
      </c>
      <c r="D53" s="26">
        <v>16</v>
      </c>
      <c r="E53" s="26">
        <v>5</v>
      </c>
      <c r="F53" s="26">
        <v>0</v>
      </c>
      <c r="G53" s="26">
        <v>0</v>
      </c>
      <c r="H53" s="27">
        <v>30.087500000000002</v>
      </c>
      <c r="I53" s="26"/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8" t="s">
        <v>71</v>
      </c>
      <c r="Q53" s="26"/>
      <c r="R53" s="29">
        <f>B53+J53</f>
        <v>26</v>
      </c>
      <c r="S53" s="29">
        <f t="shared" ref="S53:W53" si="65">C53+K53</f>
        <v>73</v>
      </c>
      <c r="T53" s="29">
        <f t="shared" si="65"/>
        <v>16</v>
      </c>
      <c r="U53" s="29">
        <f t="shared" si="65"/>
        <v>5</v>
      </c>
      <c r="V53" s="29">
        <f t="shared" si="65"/>
        <v>0</v>
      </c>
      <c r="W53" s="29">
        <f t="shared" si="65"/>
        <v>0</v>
      </c>
      <c r="X53" s="28">
        <v>30.087500000000002</v>
      </c>
      <c r="Y53" s="26"/>
      <c r="Z53" s="26">
        <v>2</v>
      </c>
      <c r="AA53" s="26">
        <v>6</v>
      </c>
      <c r="AB53" s="26">
        <v>3</v>
      </c>
      <c r="AC53" s="26">
        <v>0</v>
      </c>
      <c r="AD53" s="26">
        <v>1</v>
      </c>
      <c r="AE53" s="26">
        <v>0</v>
      </c>
      <c r="AF53" s="27">
        <v>33.5</v>
      </c>
      <c r="AG53" s="26"/>
      <c r="AH53" s="26">
        <v>7</v>
      </c>
      <c r="AI53" s="26">
        <v>32</v>
      </c>
      <c r="AJ53" s="26">
        <v>12</v>
      </c>
      <c r="AK53" s="26">
        <v>4</v>
      </c>
      <c r="AL53" s="26">
        <v>1</v>
      </c>
      <c r="AM53" s="26">
        <v>0</v>
      </c>
      <c r="AN53" s="27">
        <v>33.008928571428569</v>
      </c>
      <c r="AO53" s="26"/>
      <c r="AP53" s="21">
        <f t="shared" si="59"/>
        <v>35</v>
      </c>
      <c r="AQ53" s="21">
        <f t="shared" si="60"/>
        <v>111</v>
      </c>
      <c r="AR53" s="21">
        <f t="shared" si="61"/>
        <v>31</v>
      </c>
      <c r="AS53" s="21">
        <f t="shared" si="62"/>
        <v>9</v>
      </c>
      <c r="AT53" s="21">
        <f t="shared" si="63"/>
        <v>2</v>
      </c>
      <c r="AU53" s="21">
        <f t="shared" si="64"/>
        <v>0</v>
      </c>
      <c r="AV53" s="28">
        <v>31.175531914893618</v>
      </c>
      <c r="AW53" s="17"/>
      <c r="AX53" s="55">
        <f t="shared" si="27"/>
        <v>188</v>
      </c>
      <c r="AY53" s="55">
        <v>188</v>
      </c>
      <c r="AZ53" s="18">
        <f t="shared" si="28"/>
        <v>0</v>
      </c>
      <c r="BA53" s="17"/>
      <c r="BB53" s="17"/>
      <c r="BC53" s="17"/>
      <c r="BD53" s="17"/>
      <c r="BE53" s="17"/>
    </row>
    <row r="54" spans="1:63" s="7" customFormat="1" ht="15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17"/>
      <c r="BD54" s="17"/>
      <c r="BE54" s="17"/>
      <c r="BF54" s="17"/>
      <c r="BG54" s="17"/>
      <c r="BH54" s="17"/>
      <c r="BI54" s="17"/>
      <c r="BJ54" s="17"/>
      <c r="BK54" s="17"/>
    </row>
    <row r="55" spans="1:63" x14ac:dyDescent="0.35">
      <c r="A55" s="57" t="s">
        <v>62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63" x14ac:dyDescent="0.35">
      <c r="A56" s="30" t="s">
        <v>73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63" x14ac:dyDescent="0.3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63" x14ac:dyDescent="0.35">
      <c r="A58" s="31" t="s">
        <v>63</v>
      </c>
    </row>
    <row r="59" spans="1:63" x14ac:dyDescent="0.35">
      <c r="A59" s="59" t="s">
        <v>74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1" spans="1:63" x14ac:dyDescent="0.35">
      <c r="A61" s="4" t="s">
        <v>64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63" x14ac:dyDescent="0.35">
      <c r="A62" s="33" t="s">
        <v>65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4" spans="1:63" x14ac:dyDescent="0.35">
      <c r="A64" s="57" t="s">
        <v>66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48" x14ac:dyDescent="0.35">
      <c r="A65" s="33"/>
      <c r="AV65" s="7"/>
    </row>
    <row r="66" spans="1:48" x14ac:dyDescent="0.35">
      <c r="A66" s="4" t="s">
        <v>67</v>
      </c>
      <c r="X66" s="34"/>
      <c r="AV66" s="37" t="s">
        <v>68</v>
      </c>
    </row>
    <row r="67" spans="1:48" x14ac:dyDescent="0.35">
      <c r="A67" s="33" t="s">
        <v>69</v>
      </c>
      <c r="X67" s="34"/>
      <c r="AV67" s="34" t="s">
        <v>70</v>
      </c>
    </row>
  </sheetData>
  <mergeCells count="12">
    <mergeCell ref="A55:X55"/>
    <mergeCell ref="A57:X57"/>
    <mergeCell ref="A59:X59"/>
    <mergeCell ref="A64:X64"/>
    <mergeCell ref="A1:AV1"/>
    <mergeCell ref="B2:AV2"/>
    <mergeCell ref="B3:H3"/>
    <mergeCell ref="J3:P3"/>
    <mergeCell ref="R3:X3"/>
    <mergeCell ref="Z3:AE3"/>
    <mergeCell ref="AH3:AM3"/>
    <mergeCell ref="AP3:AV3"/>
  </mergeCells>
  <hyperlinks>
    <hyperlink ref="A62" r:id="rId1" xr:uid="{00000000-0004-0000-0000-000000000000}"/>
    <hyperlink ref="A67" r:id="rId2" xr:uid="{00000000-0004-0000-0000-000001000000}"/>
    <hyperlink ref="AV66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7"/>
  <sheetViews>
    <sheetView workbookViewId="0">
      <selection activeCell="R45" sqref="R7:W45"/>
    </sheetView>
  </sheetViews>
  <sheetFormatPr defaultColWidth="9.1796875" defaultRowHeight="14.5" x14ac:dyDescent="0.35"/>
  <cols>
    <col min="1" max="1" width="50.7265625" style="4" customWidth="1"/>
    <col min="2" max="8" width="8.7265625" style="4" customWidth="1"/>
    <col min="9" max="9" width="2.7265625" style="4" customWidth="1"/>
    <col min="10" max="16" width="8.7265625" style="4" customWidth="1"/>
    <col min="17" max="17" width="2.7265625" style="4" customWidth="1"/>
    <col min="18" max="24" width="8.7265625" style="4" customWidth="1"/>
    <col min="25" max="25" width="2.7265625" style="4" customWidth="1"/>
    <col min="26" max="32" width="8.7265625" style="4" customWidth="1"/>
    <col min="33" max="16384" width="9.1796875" style="4"/>
  </cols>
  <sheetData>
    <row r="1" spans="1:36" s="1" customFormat="1" ht="23.25" customHeight="1" x14ac:dyDescent="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s="3" customFormat="1" x14ac:dyDescent="0.35">
      <c r="A2" s="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6" s="3" customFormat="1" x14ac:dyDescent="0.35">
      <c r="A3" s="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6" s="3" customFormat="1" x14ac:dyDescent="0.35">
      <c r="A4" s="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3" customFormat="1" x14ac:dyDescent="0.35">
      <c r="A5" s="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s="7" customFormat="1" ht="15.75" customHeight="1" thickBot="1" x14ac:dyDescent="0.4">
      <c r="A6" s="4"/>
      <c r="B6" s="62" t="s">
        <v>0</v>
      </c>
      <c r="C6" s="62"/>
      <c r="D6" s="62"/>
      <c r="E6" s="62"/>
      <c r="F6" s="62"/>
      <c r="G6" s="62"/>
      <c r="H6" s="62"/>
      <c r="I6" s="35"/>
      <c r="J6" s="62" t="s">
        <v>76</v>
      </c>
      <c r="K6" s="62"/>
      <c r="L6" s="62"/>
      <c r="M6" s="62"/>
      <c r="N6" s="62"/>
      <c r="O6" s="62"/>
      <c r="P6" s="62"/>
      <c r="Q6" s="35"/>
      <c r="R6" s="62" t="s">
        <v>2</v>
      </c>
      <c r="S6" s="62"/>
      <c r="T6" s="62"/>
      <c r="U6" s="62"/>
      <c r="V6" s="62"/>
      <c r="W6" s="62"/>
      <c r="X6" s="62"/>
      <c r="Y6" s="35"/>
      <c r="Z6" s="62" t="s">
        <v>3</v>
      </c>
      <c r="AA6" s="62"/>
      <c r="AB6" s="62"/>
      <c r="AC6" s="62"/>
      <c r="AD6" s="62"/>
      <c r="AE6" s="62"/>
      <c r="AF6" s="62"/>
    </row>
    <row r="7" spans="1:36" s="12" customFormat="1" ht="44" thickBot="1" x14ac:dyDescent="0.4">
      <c r="A7" s="8" t="s">
        <v>5</v>
      </c>
      <c r="B7" s="9" t="s">
        <v>80</v>
      </c>
      <c r="C7" s="9" t="s">
        <v>81</v>
      </c>
      <c r="D7" s="9" t="s">
        <v>82</v>
      </c>
      <c r="E7" s="9" t="s">
        <v>83</v>
      </c>
      <c r="F7" s="9" t="s">
        <v>84</v>
      </c>
      <c r="G7" s="9" t="s">
        <v>85</v>
      </c>
      <c r="H7" s="9" t="s">
        <v>86</v>
      </c>
      <c r="I7" s="36"/>
      <c r="J7" s="9" t="s">
        <v>80</v>
      </c>
      <c r="K7" s="9" t="s">
        <v>81</v>
      </c>
      <c r="L7" s="9" t="s">
        <v>82</v>
      </c>
      <c r="M7" s="9" t="s">
        <v>83</v>
      </c>
      <c r="N7" s="9" t="s">
        <v>84</v>
      </c>
      <c r="O7" s="9" t="s">
        <v>85</v>
      </c>
      <c r="P7" s="9" t="s">
        <v>86</v>
      </c>
      <c r="Q7" s="36"/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36"/>
      <c r="Z7" s="9" t="s">
        <v>80</v>
      </c>
      <c r="AA7" s="9" t="s">
        <v>81</v>
      </c>
      <c r="AB7" s="9" t="s">
        <v>82</v>
      </c>
      <c r="AC7" s="9" t="s">
        <v>83</v>
      </c>
      <c r="AD7" s="9" t="s">
        <v>84</v>
      </c>
      <c r="AE7" s="9" t="s">
        <v>85</v>
      </c>
      <c r="AF7" s="9" t="s">
        <v>86</v>
      </c>
    </row>
    <row r="8" spans="1:36" s="7" customFormat="1" ht="15" customHeight="1" x14ac:dyDescent="0.35">
      <c r="A8" s="13" t="s">
        <v>13</v>
      </c>
      <c r="B8" s="21">
        <f>B9+B49</f>
        <v>195</v>
      </c>
      <c r="C8" s="21">
        <f t="shared" ref="C8:H8" si="0">C9+C49</f>
        <v>680</v>
      </c>
      <c r="D8" s="21">
        <f t="shared" si="0"/>
        <v>172</v>
      </c>
      <c r="E8" s="21">
        <f t="shared" si="0"/>
        <v>49</v>
      </c>
      <c r="F8" s="21">
        <f t="shared" si="0"/>
        <v>9</v>
      </c>
      <c r="G8" s="21">
        <f t="shared" si="0"/>
        <v>0</v>
      </c>
      <c r="H8" s="21">
        <f t="shared" si="0"/>
        <v>1</v>
      </c>
      <c r="I8" s="21"/>
      <c r="J8" s="21">
        <f>J9+J49</f>
        <v>354</v>
      </c>
      <c r="K8" s="21">
        <f t="shared" ref="K8:P8" si="1">K9+K49</f>
        <v>699</v>
      </c>
      <c r="L8" s="21">
        <f t="shared" si="1"/>
        <v>330</v>
      </c>
      <c r="M8" s="21">
        <f t="shared" si="1"/>
        <v>111</v>
      </c>
      <c r="N8" s="21">
        <f t="shared" si="1"/>
        <v>11</v>
      </c>
      <c r="O8" s="21">
        <f t="shared" si="1"/>
        <v>1</v>
      </c>
      <c r="P8" s="21">
        <f t="shared" si="1"/>
        <v>2</v>
      </c>
      <c r="Q8" s="21"/>
      <c r="R8" s="21">
        <f>R9+R49</f>
        <v>29</v>
      </c>
      <c r="S8" s="21">
        <f t="shared" ref="S8:X8" si="2">S9+S49</f>
        <v>55</v>
      </c>
      <c r="T8" s="21">
        <f t="shared" si="2"/>
        <v>27</v>
      </c>
      <c r="U8" s="21">
        <f t="shared" si="2"/>
        <v>10</v>
      </c>
      <c r="V8" s="21">
        <f t="shared" si="2"/>
        <v>2</v>
      </c>
      <c r="W8" s="21">
        <f t="shared" si="2"/>
        <v>0</v>
      </c>
      <c r="X8" s="21">
        <f t="shared" si="2"/>
        <v>0</v>
      </c>
      <c r="Y8" s="21"/>
      <c r="Z8" s="21">
        <f>Z9+Z49</f>
        <v>167</v>
      </c>
      <c r="AA8" s="21">
        <f t="shared" ref="AA8:AF8" si="3">AA9+AA49</f>
        <v>303</v>
      </c>
      <c r="AB8" s="21">
        <f t="shared" si="3"/>
        <v>237</v>
      </c>
      <c r="AC8" s="21">
        <f t="shared" si="3"/>
        <v>213</v>
      </c>
      <c r="AD8" s="21">
        <f t="shared" si="3"/>
        <v>101</v>
      </c>
      <c r="AE8" s="21">
        <f t="shared" si="3"/>
        <v>8</v>
      </c>
      <c r="AF8" s="21">
        <f t="shared" si="3"/>
        <v>0</v>
      </c>
    </row>
    <row r="9" spans="1:36" s="7" customFormat="1" ht="15" customHeight="1" x14ac:dyDescent="0.35">
      <c r="A9" s="20" t="s">
        <v>14</v>
      </c>
      <c r="B9" s="21">
        <f>SUM(B10:B48)</f>
        <v>96</v>
      </c>
      <c r="C9" s="21">
        <f t="shared" ref="C9:H9" si="4">SUM(C10:C48)</f>
        <v>407</v>
      </c>
      <c r="D9" s="21">
        <f t="shared" si="4"/>
        <v>115</v>
      </c>
      <c r="E9" s="21">
        <f t="shared" si="4"/>
        <v>39</v>
      </c>
      <c r="F9" s="21">
        <f t="shared" si="4"/>
        <v>8</v>
      </c>
      <c r="G9" s="21">
        <f t="shared" si="4"/>
        <v>0</v>
      </c>
      <c r="H9" s="21">
        <f t="shared" si="4"/>
        <v>1</v>
      </c>
      <c r="I9" s="21"/>
      <c r="J9" s="21">
        <f>SUM(J10:J48)</f>
        <v>344</v>
      </c>
      <c r="K9" s="21">
        <f t="shared" ref="K9:P9" si="5">SUM(K10:K48)</f>
        <v>672</v>
      </c>
      <c r="L9" s="21">
        <f t="shared" si="5"/>
        <v>319</v>
      </c>
      <c r="M9" s="21">
        <f t="shared" si="5"/>
        <v>104</v>
      </c>
      <c r="N9" s="21">
        <f t="shared" si="5"/>
        <v>11</v>
      </c>
      <c r="O9" s="21">
        <f t="shared" si="5"/>
        <v>1</v>
      </c>
      <c r="P9" s="21">
        <f t="shared" si="5"/>
        <v>2</v>
      </c>
      <c r="Q9" s="21"/>
      <c r="R9" s="21">
        <f>SUM(R10:R48)</f>
        <v>24</v>
      </c>
      <c r="S9" s="21">
        <f t="shared" ref="S9:X9" si="6">SUM(S10:S48)</f>
        <v>38</v>
      </c>
      <c r="T9" s="21">
        <f t="shared" si="6"/>
        <v>19</v>
      </c>
      <c r="U9" s="21">
        <f t="shared" si="6"/>
        <v>7</v>
      </c>
      <c r="V9" s="21">
        <f t="shared" si="6"/>
        <v>2</v>
      </c>
      <c r="W9" s="21">
        <f t="shared" si="6"/>
        <v>0</v>
      </c>
      <c r="X9" s="21">
        <f t="shared" si="6"/>
        <v>0</v>
      </c>
      <c r="Y9" s="21"/>
      <c r="Z9" s="21">
        <f>SUM(Z10:Z48)</f>
        <v>114</v>
      </c>
      <c r="AA9" s="21">
        <f t="shared" ref="AA9:AF9" si="7">SUM(AA10:AA48)</f>
        <v>203</v>
      </c>
      <c r="AB9" s="21">
        <f t="shared" si="7"/>
        <v>171</v>
      </c>
      <c r="AC9" s="21">
        <f t="shared" si="7"/>
        <v>153</v>
      </c>
      <c r="AD9" s="21">
        <f t="shared" si="7"/>
        <v>80</v>
      </c>
      <c r="AE9" s="21">
        <f t="shared" si="7"/>
        <v>6</v>
      </c>
      <c r="AF9" s="21">
        <f t="shared" si="7"/>
        <v>0</v>
      </c>
    </row>
    <row r="10" spans="1:36" s="7" customFormat="1" ht="15" customHeight="1" x14ac:dyDescent="0.35">
      <c r="A10" s="4" t="s">
        <v>15</v>
      </c>
      <c r="B10" s="22">
        <v>5</v>
      </c>
      <c r="C10" s="22">
        <v>17</v>
      </c>
      <c r="D10" s="22">
        <v>1</v>
      </c>
      <c r="E10" s="22">
        <v>2</v>
      </c>
      <c r="F10" s="22">
        <v>0</v>
      </c>
      <c r="G10" s="22">
        <v>0</v>
      </c>
      <c r="H10" s="22">
        <v>0</v>
      </c>
      <c r="I10" s="22"/>
      <c r="J10" s="22">
        <v>7</v>
      </c>
      <c r="K10" s="22">
        <v>9</v>
      </c>
      <c r="L10" s="22">
        <v>7</v>
      </c>
      <c r="M10" s="22">
        <v>6</v>
      </c>
      <c r="N10" s="22">
        <v>1</v>
      </c>
      <c r="O10" s="22">
        <v>0</v>
      </c>
      <c r="P10" s="22">
        <v>0</v>
      </c>
      <c r="Q10" s="22"/>
      <c r="R10" s="22">
        <v>0</v>
      </c>
      <c r="S10" s="22">
        <v>1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/>
      <c r="Z10" s="22">
        <v>4</v>
      </c>
      <c r="AA10" s="22">
        <v>6</v>
      </c>
      <c r="AB10" s="22">
        <v>6</v>
      </c>
      <c r="AC10" s="22">
        <v>2</v>
      </c>
      <c r="AD10" s="22">
        <v>6</v>
      </c>
      <c r="AE10" s="22">
        <v>0</v>
      </c>
      <c r="AF10" s="22">
        <v>0</v>
      </c>
    </row>
    <row r="11" spans="1:36" s="7" customFormat="1" ht="15" customHeight="1" x14ac:dyDescent="0.35">
      <c r="A11" s="4" t="s">
        <v>16</v>
      </c>
      <c r="B11" s="22">
        <v>1</v>
      </c>
      <c r="C11" s="22">
        <v>18</v>
      </c>
      <c r="D11" s="22">
        <v>6</v>
      </c>
      <c r="E11" s="22">
        <v>0</v>
      </c>
      <c r="F11" s="22">
        <v>0</v>
      </c>
      <c r="G11" s="22">
        <v>0</v>
      </c>
      <c r="H11" s="22">
        <v>0</v>
      </c>
      <c r="I11" s="22"/>
      <c r="J11" s="22">
        <v>8</v>
      </c>
      <c r="K11" s="22">
        <v>9</v>
      </c>
      <c r="L11" s="22">
        <v>12</v>
      </c>
      <c r="M11" s="22">
        <v>4</v>
      </c>
      <c r="N11" s="22">
        <v>0</v>
      </c>
      <c r="O11" s="22">
        <v>0</v>
      </c>
      <c r="P11" s="22">
        <v>0</v>
      </c>
      <c r="Q11" s="22"/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/>
      <c r="Z11" s="22">
        <v>1</v>
      </c>
      <c r="AA11" s="22">
        <v>8</v>
      </c>
      <c r="AB11" s="22">
        <v>4</v>
      </c>
      <c r="AC11" s="22">
        <v>8</v>
      </c>
      <c r="AD11" s="22">
        <v>4</v>
      </c>
      <c r="AE11" s="22">
        <v>1</v>
      </c>
      <c r="AF11" s="22">
        <v>0</v>
      </c>
    </row>
    <row r="12" spans="1:36" s="7" customFormat="1" ht="15" customHeight="1" x14ac:dyDescent="0.35">
      <c r="A12" s="4" t="s">
        <v>17</v>
      </c>
      <c r="B12" s="22">
        <v>1</v>
      </c>
      <c r="C12" s="22">
        <v>15</v>
      </c>
      <c r="D12" s="22">
        <v>4</v>
      </c>
      <c r="E12" s="22">
        <v>1</v>
      </c>
      <c r="F12" s="22">
        <v>0</v>
      </c>
      <c r="G12" s="22">
        <v>0</v>
      </c>
      <c r="H12" s="22">
        <v>0</v>
      </c>
      <c r="I12" s="22"/>
      <c r="J12" s="22">
        <v>5</v>
      </c>
      <c r="K12" s="22">
        <v>10</v>
      </c>
      <c r="L12" s="22">
        <v>5</v>
      </c>
      <c r="M12" s="22">
        <v>0</v>
      </c>
      <c r="N12" s="22">
        <v>0</v>
      </c>
      <c r="O12" s="22">
        <v>0</v>
      </c>
      <c r="P12" s="22">
        <v>0</v>
      </c>
      <c r="Q12" s="22"/>
      <c r="R12" s="22">
        <v>3</v>
      </c>
      <c r="S12" s="22">
        <v>2</v>
      </c>
      <c r="T12" s="22">
        <v>1</v>
      </c>
      <c r="U12" s="22">
        <v>3</v>
      </c>
      <c r="V12" s="22">
        <v>0</v>
      </c>
      <c r="W12" s="22">
        <v>0</v>
      </c>
      <c r="X12" s="22">
        <v>0</v>
      </c>
      <c r="Y12" s="22"/>
      <c r="Z12" s="22">
        <v>7</v>
      </c>
      <c r="AA12" s="22">
        <v>13</v>
      </c>
      <c r="AB12" s="22">
        <v>14</v>
      </c>
      <c r="AC12" s="22">
        <v>7</v>
      </c>
      <c r="AD12" s="22">
        <v>1</v>
      </c>
      <c r="AE12" s="22">
        <v>0</v>
      </c>
      <c r="AF12" s="22">
        <v>0</v>
      </c>
    </row>
    <row r="13" spans="1:36" s="7" customFormat="1" ht="15" customHeight="1" x14ac:dyDescent="0.35">
      <c r="A13" s="4" t="s">
        <v>18</v>
      </c>
      <c r="B13" s="22">
        <v>2</v>
      </c>
      <c r="C13" s="22">
        <v>7</v>
      </c>
      <c r="D13" s="22">
        <v>2</v>
      </c>
      <c r="E13" s="22">
        <v>0</v>
      </c>
      <c r="F13" s="22">
        <v>0</v>
      </c>
      <c r="G13" s="22">
        <v>0</v>
      </c>
      <c r="H13" s="22">
        <v>0</v>
      </c>
      <c r="I13" s="22"/>
      <c r="J13" s="22">
        <v>3</v>
      </c>
      <c r="K13" s="22">
        <v>10</v>
      </c>
      <c r="L13" s="22">
        <v>7</v>
      </c>
      <c r="M13" s="22">
        <v>0</v>
      </c>
      <c r="N13" s="22">
        <v>0</v>
      </c>
      <c r="O13" s="22">
        <v>0</v>
      </c>
      <c r="P13" s="22">
        <v>0</v>
      </c>
      <c r="Q13" s="22"/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/>
      <c r="Z13" s="22">
        <v>2</v>
      </c>
      <c r="AA13" s="22">
        <v>3</v>
      </c>
      <c r="AB13" s="22">
        <v>2</v>
      </c>
      <c r="AC13" s="22">
        <v>4</v>
      </c>
      <c r="AD13" s="22">
        <v>2</v>
      </c>
      <c r="AE13" s="22">
        <v>0</v>
      </c>
      <c r="AF13" s="22">
        <v>0</v>
      </c>
    </row>
    <row r="14" spans="1:36" s="7" customFormat="1" ht="15" customHeight="1" x14ac:dyDescent="0.35">
      <c r="A14" s="4" t="s">
        <v>19</v>
      </c>
      <c r="B14" s="22">
        <v>2</v>
      </c>
      <c r="C14" s="22">
        <v>4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/>
      <c r="J14" s="22">
        <v>7</v>
      </c>
      <c r="K14" s="22">
        <v>13</v>
      </c>
      <c r="L14" s="22">
        <v>7</v>
      </c>
      <c r="M14" s="22">
        <v>2</v>
      </c>
      <c r="N14" s="22">
        <v>1</v>
      </c>
      <c r="O14" s="22">
        <v>0</v>
      </c>
      <c r="P14" s="22">
        <v>0</v>
      </c>
      <c r="Q14" s="22"/>
      <c r="R14" s="22">
        <v>4</v>
      </c>
      <c r="S14" s="22">
        <v>3</v>
      </c>
      <c r="T14" s="22">
        <v>2</v>
      </c>
      <c r="U14" s="22">
        <v>0</v>
      </c>
      <c r="V14" s="22">
        <v>0</v>
      </c>
      <c r="W14" s="22">
        <v>0</v>
      </c>
      <c r="X14" s="22">
        <v>0</v>
      </c>
      <c r="Y14" s="22"/>
      <c r="Z14" s="22">
        <v>11</v>
      </c>
      <c r="AA14" s="22">
        <v>8</v>
      </c>
      <c r="AB14" s="22">
        <v>4</v>
      </c>
      <c r="AC14" s="22">
        <v>1</v>
      </c>
      <c r="AD14" s="22">
        <v>0</v>
      </c>
      <c r="AE14" s="22">
        <v>0</v>
      </c>
      <c r="AF14" s="22">
        <v>0</v>
      </c>
    </row>
    <row r="15" spans="1:36" s="7" customFormat="1" ht="15" customHeight="1" x14ac:dyDescent="0.35">
      <c r="A15" s="4" t="s">
        <v>20</v>
      </c>
      <c r="B15" s="22">
        <v>7</v>
      </c>
      <c r="C15" s="22">
        <v>8</v>
      </c>
      <c r="D15" s="22">
        <v>3</v>
      </c>
      <c r="E15" s="22">
        <v>1</v>
      </c>
      <c r="F15" s="22">
        <v>0</v>
      </c>
      <c r="G15" s="22">
        <v>0</v>
      </c>
      <c r="H15" s="22">
        <v>0</v>
      </c>
      <c r="I15" s="22"/>
      <c r="J15" s="22">
        <v>4</v>
      </c>
      <c r="K15" s="22">
        <v>12</v>
      </c>
      <c r="L15" s="22">
        <v>4</v>
      </c>
      <c r="M15" s="22">
        <v>1</v>
      </c>
      <c r="N15" s="22">
        <v>0</v>
      </c>
      <c r="O15" s="22">
        <v>0</v>
      </c>
      <c r="P15" s="22">
        <v>0</v>
      </c>
      <c r="Q15" s="22"/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/>
      <c r="Z15" s="22">
        <v>11</v>
      </c>
      <c r="AA15" s="22">
        <v>11</v>
      </c>
      <c r="AB15" s="22">
        <v>8</v>
      </c>
      <c r="AC15" s="22">
        <v>3</v>
      </c>
      <c r="AD15" s="22">
        <v>5</v>
      </c>
      <c r="AE15" s="22">
        <v>0</v>
      </c>
      <c r="AF15" s="22">
        <v>0</v>
      </c>
    </row>
    <row r="16" spans="1:36" s="7" customFormat="1" ht="15" customHeight="1" x14ac:dyDescent="0.35">
      <c r="A16" s="4" t="s">
        <v>21</v>
      </c>
      <c r="B16" s="22">
        <v>5</v>
      </c>
      <c r="C16" s="22">
        <v>13</v>
      </c>
      <c r="D16" s="22">
        <v>3</v>
      </c>
      <c r="E16" s="22">
        <v>0</v>
      </c>
      <c r="F16" s="22">
        <v>1</v>
      </c>
      <c r="G16" s="22">
        <v>0</v>
      </c>
      <c r="H16" s="22">
        <v>0</v>
      </c>
      <c r="I16" s="22"/>
      <c r="J16" s="22">
        <v>2</v>
      </c>
      <c r="K16" s="22">
        <v>7</v>
      </c>
      <c r="L16" s="22">
        <v>2</v>
      </c>
      <c r="M16" s="22">
        <v>0</v>
      </c>
      <c r="N16" s="22">
        <v>0</v>
      </c>
      <c r="O16" s="22">
        <v>0</v>
      </c>
      <c r="P16" s="22">
        <v>0</v>
      </c>
      <c r="Q16" s="22"/>
      <c r="R16" s="22">
        <v>0</v>
      </c>
      <c r="S16" s="22">
        <v>0</v>
      </c>
      <c r="T16" s="22">
        <v>1</v>
      </c>
      <c r="U16" s="22">
        <v>0</v>
      </c>
      <c r="V16" s="22">
        <v>0</v>
      </c>
      <c r="W16" s="22">
        <v>0</v>
      </c>
      <c r="X16" s="22">
        <v>0</v>
      </c>
      <c r="Y16" s="22"/>
      <c r="Z16" s="22">
        <v>1</v>
      </c>
      <c r="AA16" s="22">
        <v>6</v>
      </c>
      <c r="AB16" s="22">
        <v>3</v>
      </c>
      <c r="AC16" s="22">
        <v>2</v>
      </c>
      <c r="AD16" s="22">
        <v>1</v>
      </c>
      <c r="AE16" s="22">
        <v>0</v>
      </c>
      <c r="AF16" s="22">
        <v>0</v>
      </c>
    </row>
    <row r="17" spans="1:32" s="7" customFormat="1" ht="15" customHeight="1" x14ac:dyDescent="0.35">
      <c r="A17" s="4" t="s">
        <v>22</v>
      </c>
      <c r="B17" s="22">
        <v>0</v>
      </c>
      <c r="C17" s="22">
        <v>4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22"/>
      <c r="J17" s="22">
        <v>2</v>
      </c>
      <c r="K17" s="22">
        <v>11</v>
      </c>
      <c r="L17" s="22">
        <v>6</v>
      </c>
      <c r="M17" s="22">
        <v>2</v>
      </c>
      <c r="N17" s="22">
        <v>2</v>
      </c>
      <c r="O17" s="22">
        <v>0</v>
      </c>
      <c r="P17" s="22">
        <v>0</v>
      </c>
      <c r="Q17" s="22"/>
      <c r="R17" s="22">
        <v>1</v>
      </c>
      <c r="S17" s="22">
        <v>2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/>
      <c r="Z17" s="22">
        <v>1</v>
      </c>
      <c r="AA17" s="22">
        <v>3</v>
      </c>
      <c r="AB17" s="22">
        <v>2</v>
      </c>
      <c r="AC17" s="22">
        <v>0</v>
      </c>
      <c r="AD17" s="22">
        <v>1</v>
      </c>
      <c r="AE17" s="22">
        <v>0</v>
      </c>
      <c r="AF17" s="22">
        <v>0</v>
      </c>
    </row>
    <row r="18" spans="1:32" s="7" customFormat="1" ht="15" customHeight="1" x14ac:dyDescent="0.35">
      <c r="A18" s="4" t="s">
        <v>23</v>
      </c>
      <c r="B18" s="22">
        <v>0</v>
      </c>
      <c r="C18" s="22">
        <v>0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/>
      <c r="J18" s="22">
        <v>11</v>
      </c>
      <c r="K18" s="22">
        <v>9</v>
      </c>
      <c r="L18" s="22">
        <v>13</v>
      </c>
      <c r="M18" s="22">
        <v>1</v>
      </c>
      <c r="N18" s="22">
        <v>0</v>
      </c>
      <c r="O18" s="22">
        <v>0</v>
      </c>
      <c r="P18" s="22">
        <v>0</v>
      </c>
      <c r="Q18" s="22"/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/>
      <c r="Z18" s="22">
        <v>0</v>
      </c>
      <c r="AA18" s="22">
        <v>1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</row>
    <row r="19" spans="1:32" s="7" customFormat="1" ht="15" customHeight="1" x14ac:dyDescent="0.35">
      <c r="A19" s="41" t="s">
        <v>24</v>
      </c>
      <c r="B19" s="22">
        <v>0</v>
      </c>
      <c r="C19" s="22">
        <v>2</v>
      </c>
      <c r="D19" s="22">
        <v>0</v>
      </c>
      <c r="E19" s="22">
        <v>1</v>
      </c>
      <c r="F19" s="22">
        <v>0</v>
      </c>
      <c r="G19" s="22">
        <v>0</v>
      </c>
      <c r="H19" s="22">
        <v>0</v>
      </c>
      <c r="I19" s="22"/>
      <c r="J19" s="22">
        <v>11</v>
      </c>
      <c r="K19" s="22">
        <v>11</v>
      </c>
      <c r="L19" s="22">
        <v>4</v>
      </c>
      <c r="M19" s="22">
        <v>1</v>
      </c>
      <c r="N19" s="22">
        <v>1</v>
      </c>
      <c r="O19" s="22">
        <v>0</v>
      </c>
      <c r="P19" s="22">
        <v>0</v>
      </c>
      <c r="Q19" s="22"/>
      <c r="R19" s="22">
        <v>1</v>
      </c>
      <c r="S19" s="22">
        <v>2</v>
      </c>
      <c r="T19" s="22">
        <v>1</v>
      </c>
      <c r="U19" s="22">
        <v>0</v>
      </c>
      <c r="V19" s="22">
        <v>0</v>
      </c>
      <c r="W19" s="22">
        <v>0</v>
      </c>
      <c r="X19" s="22">
        <v>0</v>
      </c>
      <c r="Y19" s="22"/>
      <c r="Z19" s="22">
        <v>2</v>
      </c>
      <c r="AA19" s="22">
        <v>3</v>
      </c>
      <c r="AB19" s="22">
        <v>3</v>
      </c>
      <c r="AC19" s="22">
        <v>5</v>
      </c>
      <c r="AD19" s="22">
        <v>1</v>
      </c>
      <c r="AE19" s="22">
        <v>0</v>
      </c>
      <c r="AF19" s="22">
        <v>0</v>
      </c>
    </row>
    <row r="20" spans="1:32" s="7" customFormat="1" ht="15" customHeight="1" x14ac:dyDescent="0.35">
      <c r="A20" s="41" t="s">
        <v>25</v>
      </c>
      <c r="B20" s="22">
        <v>4</v>
      </c>
      <c r="C20" s="22">
        <v>23</v>
      </c>
      <c r="D20" s="22">
        <v>6</v>
      </c>
      <c r="E20" s="22">
        <v>2</v>
      </c>
      <c r="F20" s="22">
        <v>0</v>
      </c>
      <c r="G20" s="22">
        <v>0</v>
      </c>
      <c r="H20" s="22">
        <v>0</v>
      </c>
      <c r="I20" s="22"/>
      <c r="J20" s="22">
        <v>18</v>
      </c>
      <c r="K20" s="22">
        <v>54</v>
      </c>
      <c r="L20" s="22">
        <v>28</v>
      </c>
      <c r="M20" s="22">
        <v>8</v>
      </c>
      <c r="N20" s="22">
        <v>0</v>
      </c>
      <c r="O20" s="22">
        <v>0</v>
      </c>
      <c r="P20" s="22">
        <v>0</v>
      </c>
      <c r="Q20" s="22"/>
      <c r="R20" s="22">
        <v>0</v>
      </c>
      <c r="S20" s="22">
        <v>2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/>
      <c r="Z20" s="22">
        <v>1</v>
      </c>
      <c r="AA20" s="22">
        <v>8</v>
      </c>
      <c r="AB20" s="22">
        <v>8</v>
      </c>
      <c r="AC20" s="22">
        <v>7</v>
      </c>
      <c r="AD20" s="22">
        <v>2</v>
      </c>
      <c r="AE20" s="22">
        <v>0</v>
      </c>
      <c r="AF20" s="22">
        <v>0</v>
      </c>
    </row>
    <row r="21" spans="1:32" s="7" customFormat="1" ht="15" customHeight="1" x14ac:dyDescent="0.35">
      <c r="A21" s="4" t="s">
        <v>26</v>
      </c>
      <c r="B21" s="22">
        <v>0</v>
      </c>
      <c r="C21" s="22">
        <v>13</v>
      </c>
      <c r="D21" s="22">
        <v>6</v>
      </c>
      <c r="E21" s="22">
        <v>1</v>
      </c>
      <c r="F21" s="22">
        <v>1</v>
      </c>
      <c r="G21" s="22">
        <v>0</v>
      </c>
      <c r="H21" s="22">
        <v>0</v>
      </c>
      <c r="I21" s="22"/>
      <c r="J21" s="22">
        <v>21</v>
      </c>
      <c r="K21" s="22">
        <v>34</v>
      </c>
      <c r="L21" s="22">
        <v>18</v>
      </c>
      <c r="M21" s="22">
        <v>4</v>
      </c>
      <c r="N21" s="22">
        <v>1</v>
      </c>
      <c r="O21" s="22">
        <v>0</v>
      </c>
      <c r="P21" s="22">
        <v>0</v>
      </c>
      <c r="Q21" s="22"/>
      <c r="R21" s="22">
        <v>3</v>
      </c>
      <c r="S21" s="22">
        <v>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/>
      <c r="Z21" s="22">
        <v>3</v>
      </c>
      <c r="AA21" s="22">
        <v>7</v>
      </c>
      <c r="AB21" s="22">
        <v>3</v>
      </c>
      <c r="AC21" s="22">
        <v>11</v>
      </c>
      <c r="AD21" s="22">
        <v>1</v>
      </c>
      <c r="AE21" s="22">
        <v>0</v>
      </c>
      <c r="AF21" s="22">
        <v>0</v>
      </c>
    </row>
    <row r="22" spans="1:32" s="7" customFormat="1" ht="15" customHeight="1" x14ac:dyDescent="0.35">
      <c r="A22" s="4" t="s">
        <v>27</v>
      </c>
      <c r="B22" s="22">
        <v>11</v>
      </c>
      <c r="C22" s="22">
        <v>10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/>
      <c r="J22" s="22">
        <v>7</v>
      </c>
      <c r="K22" s="22">
        <v>17</v>
      </c>
      <c r="L22" s="22">
        <v>3</v>
      </c>
      <c r="M22" s="22">
        <v>0</v>
      </c>
      <c r="N22" s="22">
        <v>0</v>
      </c>
      <c r="O22" s="22">
        <v>0</v>
      </c>
      <c r="P22" s="22">
        <v>0</v>
      </c>
      <c r="Q22" s="22"/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/>
      <c r="Z22" s="22">
        <v>4</v>
      </c>
      <c r="AA22" s="22">
        <v>2</v>
      </c>
      <c r="AB22" s="22">
        <v>3</v>
      </c>
      <c r="AC22" s="22">
        <v>6</v>
      </c>
      <c r="AD22" s="22">
        <v>3</v>
      </c>
      <c r="AE22" s="22">
        <v>0</v>
      </c>
      <c r="AF22" s="22">
        <v>0</v>
      </c>
    </row>
    <row r="23" spans="1:32" s="7" customFormat="1" ht="15" customHeight="1" x14ac:dyDescent="0.35">
      <c r="A23" s="4" t="s">
        <v>28</v>
      </c>
      <c r="B23" s="22">
        <v>1</v>
      </c>
      <c r="C23" s="22">
        <v>4</v>
      </c>
      <c r="D23" s="22">
        <v>2</v>
      </c>
      <c r="E23" s="22">
        <v>0</v>
      </c>
      <c r="F23" s="22">
        <v>0</v>
      </c>
      <c r="G23" s="22">
        <v>0</v>
      </c>
      <c r="H23" s="22">
        <v>1</v>
      </c>
      <c r="I23" s="22"/>
      <c r="J23" s="22">
        <v>5</v>
      </c>
      <c r="K23" s="22">
        <v>16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/>
      <c r="R23" s="22">
        <v>2</v>
      </c>
      <c r="S23" s="22">
        <v>1</v>
      </c>
      <c r="T23" s="22">
        <v>1</v>
      </c>
      <c r="U23" s="22">
        <v>0</v>
      </c>
      <c r="V23" s="22">
        <v>0</v>
      </c>
      <c r="W23" s="22">
        <v>0</v>
      </c>
      <c r="X23" s="22">
        <v>0</v>
      </c>
      <c r="Y23" s="22"/>
      <c r="Z23" s="22">
        <v>2</v>
      </c>
      <c r="AA23" s="22">
        <v>3</v>
      </c>
      <c r="AB23" s="22">
        <v>7</v>
      </c>
      <c r="AC23" s="22">
        <v>8</v>
      </c>
      <c r="AD23" s="22">
        <v>3</v>
      </c>
      <c r="AE23" s="22">
        <v>0</v>
      </c>
      <c r="AF23" s="22">
        <v>0</v>
      </c>
    </row>
    <row r="24" spans="1:32" s="7" customFormat="1" ht="15" customHeight="1" x14ac:dyDescent="0.35">
      <c r="A24" s="4" t="s">
        <v>29</v>
      </c>
      <c r="B24" s="22">
        <v>1</v>
      </c>
      <c r="C24" s="22">
        <v>16</v>
      </c>
      <c r="D24" s="22">
        <v>4</v>
      </c>
      <c r="E24" s="22">
        <v>1</v>
      </c>
      <c r="F24" s="22">
        <v>0</v>
      </c>
      <c r="G24" s="22">
        <v>0</v>
      </c>
      <c r="H24" s="22">
        <v>0</v>
      </c>
      <c r="I24" s="22"/>
      <c r="J24" s="22">
        <v>24</v>
      </c>
      <c r="K24" s="22">
        <v>45</v>
      </c>
      <c r="L24" s="22">
        <v>11</v>
      </c>
      <c r="M24" s="22">
        <v>7</v>
      </c>
      <c r="N24" s="22">
        <v>0</v>
      </c>
      <c r="O24" s="22">
        <v>1</v>
      </c>
      <c r="P24" s="22">
        <v>0</v>
      </c>
      <c r="Q24" s="22"/>
      <c r="R24" s="22">
        <v>1</v>
      </c>
      <c r="S24" s="22">
        <v>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/>
      <c r="Z24" s="22">
        <v>8</v>
      </c>
      <c r="AA24" s="22">
        <v>15</v>
      </c>
      <c r="AB24" s="22">
        <v>13</v>
      </c>
      <c r="AC24" s="22">
        <v>16</v>
      </c>
      <c r="AD24" s="22">
        <v>9</v>
      </c>
      <c r="AE24" s="22">
        <v>0</v>
      </c>
      <c r="AF24" s="22">
        <v>0</v>
      </c>
    </row>
    <row r="25" spans="1:32" s="7" customFormat="1" ht="15" customHeight="1" x14ac:dyDescent="0.35">
      <c r="A25" s="4" t="s">
        <v>30</v>
      </c>
      <c r="B25" s="22">
        <v>5</v>
      </c>
      <c r="C25" s="22">
        <v>24</v>
      </c>
      <c r="D25" s="22">
        <v>5</v>
      </c>
      <c r="E25" s="22">
        <v>1</v>
      </c>
      <c r="F25" s="22">
        <v>0</v>
      </c>
      <c r="G25" s="22">
        <v>0</v>
      </c>
      <c r="H25" s="22">
        <v>0</v>
      </c>
      <c r="I25" s="22"/>
      <c r="J25" s="22">
        <v>9</v>
      </c>
      <c r="K25" s="22">
        <v>20</v>
      </c>
      <c r="L25" s="22">
        <v>8</v>
      </c>
      <c r="M25" s="22">
        <v>1</v>
      </c>
      <c r="N25" s="22">
        <v>0</v>
      </c>
      <c r="O25" s="22">
        <v>0</v>
      </c>
      <c r="P25" s="22">
        <v>0</v>
      </c>
      <c r="Q25" s="22"/>
      <c r="R25" s="22">
        <v>3</v>
      </c>
      <c r="S25" s="22">
        <v>1</v>
      </c>
      <c r="T25" s="22">
        <v>2</v>
      </c>
      <c r="U25" s="22">
        <v>0</v>
      </c>
      <c r="V25" s="22">
        <v>0</v>
      </c>
      <c r="W25" s="22">
        <v>0</v>
      </c>
      <c r="X25" s="22">
        <v>0</v>
      </c>
      <c r="Y25" s="22"/>
      <c r="Z25" s="22">
        <v>0</v>
      </c>
      <c r="AA25" s="22">
        <v>5</v>
      </c>
      <c r="AB25" s="22">
        <v>2</v>
      </c>
      <c r="AC25" s="22">
        <v>1</v>
      </c>
      <c r="AD25" s="22">
        <v>1</v>
      </c>
      <c r="AE25" s="22">
        <v>0</v>
      </c>
      <c r="AF25" s="22">
        <v>0</v>
      </c>
    </row>
    <row r="26" spans="1:32" s="7" customFormat="1" ht="15" customHeight="1" x14ac:dyDescent="0.35">
      <c r="A26" s="4" t="s">
        <v>31</v>
      </c>
      <c r="B26" s="22">
        <v>7</v>
      </c>
      <c r="C26" s="22">
        <v>33</v>
      </c>
      <c r="D26" s="22">
        <v>8</v>
      </c>
      <c r="E26" s="22">
        <v>6</v>
      </c>
      <c r="F26" s="22">
        <v>2</v>
      </c>
      <c r="G26" s="22">
        <v>0</v>
      </c>
      <c r="H26" s="22">
        <v>0</v>
      </c>
      <c r="I26" s="22"/>
      <c r="J26" s="22">
        <v>18</v>
      </c>
      <c r="K26" s="22">
        <v>38</v>
      </c>
      <c r="L26" s="22">
        <v>31</v>
      </c>
      <c r="M26" s="22">
        <v>11</v>
      </c>
      <c r="N26" s="22">
        <v>1</v>
      </c>
      <c r="O26" s="22">
        <v>0</v>
      </c>
      <c r="P26" s="22">
        <v>0</v>
      </c>
      <c r="Q26" s="22"/>
      <c r="R26" s="22">
        <v>1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/>
      <c r="Z26" s="22">
        <v>8</v>
      </c>
      <c r="AA26" s="22">
        <v>18</v>
      </c>
      <c r="AB26" s="22">
        <v>10</v>
      </c>
      <c r="AC26" s="22">
        <v>10</v>
      </c>
      <c r="AD26" s="22">
        <v>5</v>
      </c>
      <c r="AE26" s="22">
        <v>1</v>
      </c>
      <c r="AF26" s="22">
        <v>0</v>
      </c>
    </row>
    <row r="27" spans="1:32" s="7" customFormat="1" ht="15" customHeight="1" x14ac:dyDescent="0.35">
      <c r="A27" s="4" t="s">
        <v>32</v>
      </c>
      <c r="B27" s="22">
        <v>2</v>
      </c>
      <c r="C27" s="22">
        <v>9</v>
      </c>
      <c r="D27" s="22">
        <v>8</v>
      </c>
      <c r="E27" s="22">
        <v>1</v>
      </c>
      <c r="F27" s="22">
        <v>1</v>
      </c>
      <c r="G27" s="22">
        <v>0</v>
      </c>
      <c r="H27" s="22">
        <v>0</v>
      </c>
      <c r="I27" s="22"/>
      <c r="J27" s="22">
        <v>10</v>
      </c>
      <c r="K27" s="22">
        <v>13</v>
      </c>
      <c r="L27" s="22">
        <v>11</v>
      </c>
      <c r="M27" s="22">
        <v>3</v>
      </c>
      <c r="N27" s="22">
        <v>0</v>
      </c>
      <c r="O27" s="22">
        <v>0</v>
      </c>
      <c r="P27" s="22">
        <v>0</v>
      </c>
      <c r="Q27" s="22"/>
      <c r="R27" s="22">
        <v>0</v>
      </c>
      <c r="S27" s="22">
        <v>1</v>
      </c>
      <c r="T27" s="22">
        <v>0</v>
      </c>
      <c r="U27" s="22">
        <v>0</v>
      </c>
      <c r="V27" s="22">
        <v>1</v>
      </c>
      <c r="W27" s="22">
        <v>0</v>
      </c>
      <c r="X27" s="22">
        <v>0</v>
      </c>
      <c r="Y27" s="22"/>
      <c r="Z27" s="22">
        <v>3</v>
      </c>
      <c r="AA27" s="22">
        <v>2</v>
      </c>
      <c r="AB27" s="22">
        <v>3</v>
      </c>
      <c r="AC27" s="22">
        <v>2</v>
      </c>
      <c r="AD27" s="22">
        <v>4</v>
      </c>
      <c r="AE27" s="22">
        <v>0</v>
      </c>
      <c r="AF27" s="22">
        <v>0</v>
      </c>
    </row>
    <row r="28" spans="1:32" s="7" customFormat="1" ht="15" customHeight="1" x14ac:dyDescent="0.35">
      <c r="A28" s="4" t="s">
        <v>33</v>
      </c>
      <c r="B28" s="22">
        <v>12</v>
      </c>
      <c r="C28" s="22">
        <v>19</v>
      </c>
      <c r="D28" s="22">
        <v>3</v>
      </c>
      <c r="E28" s="22">
        <v>2</v>
      </c>
      <c r="F28" s="22">
        <v>1</v>
      </c>
      <c r="G28" s="22">
        <v>0</v>
      </c>
      <c r="H28" s="22">
        <v>0</v>
      </c>
      <c r="I28" s="22"/>
      <c r="J28" s="22">
        <v>8</v>
      </c>
      <c r="K28" s="22">
        <v>12</v>
      </c>
      <c r="L28" s="22">
        <v>10</v>
      </c>
      <c r="M28" s="22">
        <v>4</v>
      </c>
      <c r="N28" s="22">
        <v>1</v>
      </c>
      <c r="O28" s="22">
        <v>0</v>
      </c>
      <c r="P28" s="22">
        <v>0</v>
      </c>
      <c r="Q28" s="22"/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/>
      <c r="Z28" s="22">
        <v>3</v>
      </c>
      <c r="AA28" s="22">
        <v>6</v>
      </c>
      <c r="AB28" s="22">
        <v>4</v>
      </c>
      <c r="AC28" s="22">
        <v>3</v>
      </c>
      <c r="AD28" s="22">
        <v>3</v>
      </c>
      <c r="AE28" s="22">
        <v>1</v>
      </c>
      <c r="AF28" s="22">
        <v>0</v>
      </c>
    </row>
    <row r="29" spans="1:32" s="7" customFormat="1" ht="15" customHeight="1" x14ac:dyDescent="0.35">
      <c r="A29" s="4" t="s">
        <v>34</v>
      </c>
      <c r="B29" s="22">
        <v>2</v>
      </c>
      <c r="C29" s="22">
        <v>15</v>
      </c>
      <c r="D29" s="22">
        <v>5</v>
      </c>
      <c r="E29" s="22">
        <v>0</v>
      </c>
      <c r="F29" s="22">
        <v>0</v>
      </c>
      <c r="G29" s="22">
        <v>0</v>
      </c>
      <c r="H29" s="22">
        <v>0</v>
      </c>
      <c r="I29" s="22"/>
      <c r="J29" s="22">
        <v>12</v>
      </c>
      <c r="K29" s="22">
        <v>25</v>
      </c>
      <c r="L29" s="22">
        <v>7</v>
      </c>
      <c r="M29" s="22">
        <v>2</v>
      </c>
      <c r="N29" s="22">
        <v>0</v>
      </c>
      <c r="O29" s="22">
        <v>0</v>
      </c>
      <c r="P29" s="22">
        <v>0</v>
      </c>
      <c r="Q29" s="22"/>
      <c r="R29" s="22">
        <v>0</v>
      </c>
      <c r="S29" s="22">
        <v>1</v>
      </c>
      <c r="T29" s="22">
        <v>1</v>
      </c>
      <c r="U29" s="22">
        <v>0</v>
      </c>
      <c r="V29" s="22">
        <v>0</v>
      </c>
      <c r="W29" s="22">
        <v>0</v>
      </c>
      <c r="X29" s="22">
        <v>0</v>
      </c>
      <c r="Y29" s="22"/>
      <c r="Z29" s="22">
        <v>5</v>
      </c>
      <c r="AA29" s="22">
        <v>10</v>
      </c>
      <c r="AB29" s="22">
        <v>4</v>
      </c>
      <c r="AC29" s="22">
        <v>9</v>
      </c>
      <c r="AD29" s="22">
        <v>5</v>
      </c>
      <c r="AE29" s="22">
        <v>1</v>
      </c>
      <c r="AF29" s="22">
        <v>0</v>
      </c>
    </row>
    <row r="30" spans="1:32" s="7" customFormat="1" ht="15" customHeight="1" x14ac:dyDescent="0.35">
      <c r="A30" s="4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/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/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/>
      <c r="Z30" s="22">
        <v>0</v>
      </c>
      <c r="AA30" s="22">
        <v>0</v>
      </c>
      <c r="AB30" s="22">
        <v>0</v>
      </c>
      <c r="AC30" s="22">
        <v>1</v>
      </c>
      <c r="AD30" s="22">
        <v>1</v>
      </c>
      <c r="AE30" s="22">
        <v>0</v>
      </c>
      <c r="AF30" s="22">
        <v>0</v>
      </c>
    </row>
    <row r="31" spans="1:32" s="7" customFormat="1" ht="15" customHeight="1" x14ac:dyDescent="0.35">
      <c r="A31" s="7" t="s">
        <v>36</v>
      </c>
      <c r="B31" s="22">
        <v>2</v>
      </c>
      <c r="C31" s="22">
        <v>21</v>
      </c>
      <c r="D31" s="22">
        <v>4</v>
      </c>
      <c r="E31" s="22">
        <v>2</v>
      </c>
      <c r="F31" s="22">
        <v>0</v>
      </c>
      <c r="G31" s="22">
        <v>0</v>
      </c>
      <c r="H31" s="22">
        <v>0</v>
      </c>
      <c r="I31" s="22"/>
      <c r="J31" s="22">
        <v>16</v>
      </c>
      <c r="K31" s="22">
        <v>30</v>
      </c>
      <c r="L31" s="22">
        <v>7</v>
      </c>
      <c r="M31" s="22">
        <v>2</v>
      </c>
      <c r="N31" s="22">
        <v>1</v>
      </c>
      <c r="O31" s="22">
        <v>0</v>
      </c>
      <c r="P31" s="22">
        <v>0</v>
      </c>
      <c r="Q31" s="22"/>
      <c r="R31" s="22">
        <v>1</v>
      </c>
      <c r="S31" s="22">
        <v>4</v>
      </c>
      <c r="T31" s="22">
        <v>2</v>
      </c>
      <c r="U31" s="22">
        <v>1</v>
      </c>
      <c r="V31" s="22">
        <v>0</v>
      </c>
      <c r="W31" s="22">
        <v>0</v>
      </c>
      <c r="X31" s="22">
        <v>0</v>
      </c>
      <c r="Y31" s="22"/>
      <c r="Z31" s="22">
        <v>12</v>
      </c>
      <c r="AA31" s="22">
        <v>13</v>
      </c>
      <c r="AB31" s="22">
        <v>14</v>
      </c>
      <c r="AC31" s="22">
        <v>9</v>
      </c>
      <c r="AD31" s="22">
        <v>4</v>
      </c>
      <c r="AE31" s="22">
        <v>0</v>
      </c>
      <c r="AF31" s="22">
        <v>0</v>
      </c>
    </row>
    <row r="32" spans="1:32" s="7" customFormat="1" ht="15" customHeight="1" x14ac:dyDescent="0.35">
      <c r="A32" s="7" t="s">
        <v>37</v>
      </c>
      <c r="B32" s="22">
        <v>4</v>
      </c>
      <c r="C32" s="22">
        <v>37</v>
      </c>
      <c r="D32" s="22">
        <v>9</v>
      </c>
      <c r="E32" s="22">
        <v>6</v>
      </c>
      <c r="F32" s="22">
        <v>0</v>
      </c>
      <c r="G32" s="22">
        <v>0</v>
      </c>
      <c r="H32" s="22">
        <v>0</v>
      </c>
      <c r="I32" s="22"/>
      <c r="J32" s="22">
        <v>18</v>
      </c>
      <c r="K32" s="22">
        <v>18</v>
      </c>
      <c r="L32" s="22">
        <v>12</v>
      </c>
      <c r="M32" s="22">
        <v>9</v>
      </c>
      <c r="N32" s="22">
        <v>0</v>
      </c>
      <c r="O32" s="22">
        <v>0</v>
      </c>
      <c r="P32" s="22">
        <v>0</v>
      </c>
      <c r="Q32" s="22"/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/>
      <c r="Z32" s="22">
        <v>11</v>
      </c>
      <c r="AA32" s="22">
        <v>14</v>
      </c>
      <c r="AB32" s="22">
        <v>14</v>
      </c>
      <c r="AC32" s="22">
        <v>1</v>
      </c>
      <c r="AD32" s="22">
        <v>5</v>
      </c>
      <c r="AE32" s="22">
        <v>0</v>
      </c>
      <c r="AF32" s="22">
        <v>0</v>
      </c>
    </row>
    <row r="33" spans="1:32" s="7" customFormat="1" ht="15" customHeight="1" x14ac:dyDescent="0.35">
      <c r="A33" s="4" t="s">
        <v>38</v>
      </c>
      <c r="B33" s="22">
        <v>4</v>
      </c>
      <c r="C33" s="22">
        <v>17</v>
      </c>
      <c r="D33" s="22">
        <v>4</v>
      </c>
      <c r="E33" s="22">
        <v>0</v>
      </c>
      <c r="F33" s="22">
        <v>0</v>
      </c>
      <c r="G33" s="22">
        <v>0</v>
      </c>
      <c r="H33" s="22">
        <v>0</v>
      </c>
      <c r="I33" s="22"/>
      <c r="J33" s="22">
        <v>4</v>
      </c>
      <c r="K33" s="22">
        <v>13</v>
      </c>
      <c r="L33" s="22">
        <v>8</v>
      </c>
      <c r="M33" s="22">
        <v>2</v>
      </c>
      <c r="N33" s="22">
        <v>0</v>
      </c>
      <c r="O33" s="22">
        <v>0</v>
      </c>
      <c r="P33" s="22">
        <v>0</v>
      </c>
      <c r="Q33" s="22"/>
      <c r="R33" s="22">
        <v>0</v>
      </c>
      <c r="S33" s="22">
        <v>2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/>
      <c r="Z33" s="22">
        <v>1</v>
      </c>
      <c r="AA33" s="22">
        <v>4</v>
      </c>
      <c r="AB33" s="22">
        <v>2</v>
      </c>
      <c r="AC33" s="22">
        <v>5</v>
      </c>
      <c r="AD33" s="22">
        <v>0</v>
      </c>
      <c r="AE33" s="22">
        <v>0</v>
      </c>
      <c r="AF33" s="22">
        <v>0</v>
      </c>
    </row>
    <row r="34" spans="1:32" s="7" customFormat="1" ht="15" customHeight="1" x14ac:dyDescent="0.35">
      <c r="A34" s="7" t="s">
        <v>39</v>
      </c>
      <c r="B34" s="22">
        <v>0</v>
      </c>
      <c r="C34" s="22">
        <v>4</v>
      </c>
      <c r="D34" s="22">
        <v>3</v>
      </c>
      <c r="E34" s="22">
        <v>3</v>
      </c>
      <c r="F34" s="22">
        <v>0</v>
      </c>
      <c r="G34" s="22">
        <v>0</v>
      </c>
      <c r="H34" s="22">
        <v>0</v>
      </c>
      <c r="I34" s="22"/>
      <c r="J34" s="22">
        <v>14</v>
      </c>
      <c r="K34" s="22">
        <v>23</v>
      </c>
      <c r="L34" s="22">
        <v>5</v>
      </c>
      <c r="M34" s="22">
        <v>3</v>
      </c>
      <c r="N34" s="22">
        <v>0</v>
      </c>
      <c r="O34" s="22">
        <v>0</v>
      </c>
      <c r="P34" s="22">
        <v>0</v>
      </c>
      <c r="Q34" s="22"/>
      <c r="R34" s="22">
        <v>2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/>
      <c r="Z34" s="22">
        <v>0</v>
      </c>
      <c r="AA34" s="22">
        <v>3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</row>
    <row r="35" spans="1:32" s="7" customFormat="1" ht="15" customHeight="1" x14ac:dyDescent="0.35">
      <c r="A35" s="7" t="s">
        <v>40</v>
      </c>
      <c r="B35" s="22">
        <v>4</v>
      </c>
      <c r="C35" s="22">
        <v>12</v>
      </c>
      <c r="D35" s="22">
        <v>3</v>
      </c>
      <c r="E35" s="22">
        <v>0</v>
      </c>
      <c r="F35" s="22">
        <v>0</v>
      </c>
      <c r="G35" s="22">
        <v>0</v>
      </c>
      <c r="H35" s="22">
        <v>0</v>
      </c>
      <c r="I35" s="22"/>
      <c r="J35" s="22">
        <v>15</v>
      </c>
      <c r="K35" s="22">
        <v>29</v>
      </c>
      <c r="L35" s="22">
        <v>8</v>
      </c>
      <c r="M35" s="22">
        <v>3</v>
      </c>
      <c r="N35" s="22">
        <v>1</v>
      </c>
      <c r="O35" s="22">
        <v>0</v>
      </c>
      <c r="P35" s="22">
        <v>0</v>
      </c>
      <c r="Q35" s="22"/>
      <c r="R35" s="22">
        <v>0</v>
      </c>
      <c r="S35" s="22">
        <v>2</v>
      </c>
      <c r="T35" s="22">
        <v>1</v>
      </c>
      <c r="U35" s="22">
        <v>1</v>
      </c>
      <c r="V35" s="22">
        <v>0</v>
      </c>
      <c r="W35" s="22">
        <v>0</v>
      </c>
      <c r="X35" s="22">
        <v>0</v>
      </c>
      <c r="Y35" s="22"/>
      <c r="Z35" s="22">
        <v>1</v>
      </c>
      <c r="AA35" s="22">
        <v>2</v>
      </c>
      <c r="AB35" s="22">
        <v>4</v>
      </c>
      <c r="AC35" s="22">
        <v>6</v>
      </c>
      <c r="AD35" s="22">
        <v>3</v>
      </c>
      <c r="AE35" s="22">
        <v>0</v>
      </c>
      <c r="AF35" s="22">
        <v>0</v>
      </c>
    </row>
    <row r="36" spans="1:32" s="7" customFormat="1" ht="15" customHeight="1" x14ac:dyDescent="0.35">
      <c r="A36" s="4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/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/>
      <c r="R36" s="22">
        <v>1</v>
      </c>
      <c r="S36" s="22">
        <v>4</v>
      </c>
      <c r="T36" s="22">
        <v>5</v>
      </c>
      <c r="U36" s="22">
        <v>0</v>
      </c>
      <c r="V36" s="22">
        <v>0</v>
      </c>
      <c r="W36" s="22">
        <v>0</v>
      </c>
      <c r="X36" s="22">
        <v>0</v>
      </c>
      <c r="Y36" s="22"/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</row>
    <row r="37" spans="1:32" s="7" customFormat="1" ht="15" customHeight="1" x14ac:dyDescent="0.35">
      <c r="A37" s="7" t="s">
        <v>42</v>
      </c>
      <c r="B37" s="22">
        <v>0</v>
      </c>
      <c r="C37" s="22">
        <v>1</v>
      </c>
      <c r="D37" s="22">
        <v>1</v>
      </c>
      <c r="E37" s="22">
        <v>2</v>
      </c>
      <c r="F37" s="22">
        <v>0</v>
      </c>
      <c r="G37" s="22">
        <v>0</v>
      </c>
      <c r="H37" s="22">
        <v>0</v>
      </c>
      <c r="I37" s="22"/>
      <c r="J37" s="22">
        <v>12</v>
      </c>
      <c r="K37" s="22">
        <v>31</v>
      </c>
      <c r="L37" s="22">
        <v>9</v>
      </c>
      <c r="M37" s="22">
        <v>1</v>
      </c>
      <c r="N37" s="22">
        <v>0</v>
      </c>
      <c r="O37" s="22">
        <v>0</v>
      </c>
      <c r="P37" s="22">
        <v>0</v>
      </c>
      <c r="Q37" s="22"/>
      <c r="R37" s="22">
        <v>0</v>
      </c>
      <c r="S37" s="22">
        <v>2</v>
      </c>
      <c r="T37" s="22">
        <v>0</v>
      </c>
      <c r="U37" s="22">
        <v>0</v>
      </c>
      <c r="V37" s="22">
        <v>1</v>
      </c>
      <c r="W37" s="22">
        <v>0</v>
      </c>
      <c r="X37" s="22">
        <v>0</v>
      </c>
      <c r="Y37" s="22"/>
      <c r="Z37" s="22">
        <v>0</v>
      </c>
      <c r="AA37" s="22">
        <v>6</v>
      </c>
      <c r="AB37" s="22">
        <v>8</v>
      </c>
      <c r="AC37" s="22">
        <v>5</v>
      </c>
      <c r="AD37" s="22">
        <v>1</v>
      </c>
      <c r="AE37" s="22">
        <v>0</v>
      </c>
      <c r="AF37" s="22">
        <v>0</v>
      </c>
    </row>
    <row r="38" spans="1:32" s="7" customFormat="1" ht="15" customHeight="1" x14ac:dyDescent="0.35">
      <c r="A38" s="7" t="s">
        <v>43</v>
      </c>
      <c r="B38" s="22">
        <v>2</v>
      </c>
      <c r="C38" s="22">
        <v>8</v>
      </c>
      <c r="D38" s="22">
        <v>3</v>
      </c>
      <c r="E38" s="22">
        <v>0</v>
      </c>
      <c r="F38" s="22">
        <v>0</v>
      </c>
      <c r="G38" s="22">
        <v>0</v>
      </c>
      <c r="H38" s="22">
        <v>0</v>
      </c>
      <c r="I38" s="22"/>
      <c r="J38" s="22">
        <v>5</v>
      </c>
      <c r="K38" s="22">
        <v>23</v>
      </c>
      <c r="L38" s="22">
        <v>5</v>
      </c>
      <c r="M38" s="22">
        <v>1</v>
      </c>
      <c r="N38" s="22">
        <v>0</v>
      </c>
      <c r="O38" s="22">
        <v>0</v>
      </c>
      <c r="P38" s="22">
        <v>0</v>
      </c>
      <c r="Q38" s="22"/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/>
      <c r="Z38" s="22">
        <v>2</v>
      </c>
      <c r="AA38" s="22">
        <v>1</v>
      </c>
      <c r="AB38" s="22">
        <v>2</v>
      </c>
      <c r="AC38" s="22">
        <v>3</v>
      </c>
      <c r="AD38" s="22">
        <v>2</v>
      </c>
      <c r="AE38" s="22">
        <v>0</v>
      </c>
      <c r="AF38" s="22">
        <v>0</v>
      </c>
    </row>
    <row r="39" spans="1:32" s="7" customFormat="1" ht="15" customHeight="1" x14ac:dyDescent="0.35">
      <c r="A39" s="7" t="s">
        <v>44</v>
      </c>
      <c r="B39" s="22">
        <v>0</v>
      </c>
      <c r="C39" s="22">
        <v>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/>
      <c r="J39" s="22">
        <v>5</v>
      </c>
      <c r="K39" s="22">
        <v>10</v>
      </c>
      <c r="L39" s="22">
        <v>1</v>
      </c>
      <c r="M39" s="22">
        <v>2</v>
      </c>
      <c r="N39" s="22">
        <v>0</v>
      </c>
      <c r="O39" s="22">
        <v>0</v>
      </c>
      <c r="P39" s="22">
        <v>0</v>
      </c>
      <c r="Q39" s="22"/>
      <c r="R39" s="22">
        <v>0</v>
      </c>
      <c r="S39" s="22">
        <v>0</v>
      </c>
      <c r="T39" s="22">
        <v>0</v>
      </c>
      <c r="U39" s="22">
        <v>1</v>
      </c>
      <c r="V39" s="22">
        <v>0</v>
      </c>
      <c r="W39" s="22">
        <v>0</v>
      </c>
      <c r="X39" s="22">
        <v>0</v>
      </c>
      <c r="Y39" s="22"/>
      <c r="Z39" s="22">
        <v>0</v>
      </c>
      <c r="AA39" s="22">
        <v>1</v>
      </c>
      <c r="AB39" s="22">
        <v>2</v>
      </c>
      <c r="AC39" s="22">
        <v>1</v>
      </c>
      <c r="AD39" s="22">
        <v>0</v>
      </c>
      <c r="AE39" s="22">
        <v>0</v>
      </c>
      <c r="AF39" s="22">
        <v>0</v>
      </c>
    </row>
    <row r="40" spans="1:32" s="7" customFormat="1" ht="15" customHeight="1" x14ac:dyDescent="0.35">
      <c r="A40" s="4" t="s">
        <v>45</v>
      </c>
      <c r="B40" s="22">
        <v>1</v>
      </c>
      <c r="C40" s="22">
        <v>9</v>
      </c>
      <c r="D40" s="22">
        <v>2</v>
      </c>
      <c r="E40" s="22">
        <v>1</v>
      </c>
      <c r="F40" s="22">
        <v>0</v>
      </c>
      <c r="G40" s="22">
        <v>0</v>
      </c>
      <c r="H40" s="22">
        <v>0</v>
      </c>
      <c r="I40" s="22"/>
      <c r="J40" s="22">
        <v>7</v>
      </c>
      <c r="K40" s="22">
        <v>15</v>
      </c>
      <c r="L40" s="22">
        <v>12</v>
      </c>
      <c r="M40" s="22">
        <v>2</v>
      </c>
      <c r="N40" s="22">
        <v>0</v>
      </c>
      <c r="O40" s="22">
        <v>0</v>
      </c>
      <c r="P40" s="22">
        <v>0</v>
      </c>
      <c r="Q40" s="22"/>
      <c r="R40" s="22">
        <v>0</v>
      </c>
      <c r="S40" s="22">
        <v>1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/>
      <c r="Z40" s="22">
        <v>4</v>
      </c>
      <c r="AA40" s="22">
        <v>5</v>
      </c>
      <c r="AB40" s="22">
        <v>5</v>
      </c>
      <c r="AC40" s="22">
        <v>4</v>
      </c>
      <c r="AD40" s="22">
        <v>1</v>
      </c>
      <c r="AE40" s="22">
        <v>0</v>
      </c>
      <c r="AF40" s="22">
        <v>0</v>
      </c>
    </row>
    <row r="41" spans="1:32" s="7" customFormat="1" ht="15" customHeight="1" x14ac:dyDescent="0.35">
      <c r="A41" s="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/>
      <c r="J41" s="22">
        <v>12</v>
      </c>
      <c r="K41" s="22">
        <v>31</v>
      </c>
      <c r="L41" s="22">
        <v>23</v>
      </c>
      <c r="M41" s="22">
        <v>8</v>
      </c>
      <c r="N41" s="22">
        <v>0</v>
      </c>
      <c r="O41" s="22">
        <v>0</v>
      </c>
      <c r="P41" s="22">
        <v>0</v>
      </c>
      <c r="Q41" s="22"/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/>
      <c r="Z41" s="22">
        <v>0</v>
      </c>
      <c r="AA41" s="22">
        <v>2</v>
      </c>
      <c r="AB41" s="22">
        <v>0</v>
      </c>
      <c r="AC41" s="22">
        <v>1</v>
      </c>
      <c r="AD41" s="22">
        <v>1</v>
      </c>
      <c r="AE41" s="22">
        <v>0</v>
      </c>
      <c r="AF41" s="22">
        <v>0</v>
      </c>
    </row>
    <row r="42" spans="1:32" s="7" customFormat="1" ht="15" customHeight="1" x14ac:dyDescent="0.35">
      <c r="A42" s="4" t="s">
        <v>47</v>
      </c>
      <c r="B42" s="22">
        <v>0</v>
      </c>
      <c r="C42" s="22">
        <v>1</v>
      </c>
      <c r="D42" s="22">
        <v>3</v>
      </c>
      <c r="E42" s="22">
        <v>1</v>
      </c>
      <c r="F42" s="22">
        <v>0</v>
      </c>
      <c r="G42" s="22">
        <v>0</v>
      </c>
      <c r="H42" s="22">
        <v>0</v>
      </c>
      <c r="I42" s="22"/>
      <c r="J42" s="22">
        <v>5</v>
      </c>
      <c r="K42" s="22">
        <v>12</v>
      </c>
      <c r="L42" s="22">
        <v>9</v>
      </c>
      <c r="M42" s="22">
        <v>0</v>
      </c>
      <c r="N42" s="22">
        <v>0</v>
      </c>
      <c r="O42" s="22">
        <v>0</v>
      </c>
      <c r="P42" s="22">
        <v>0</v>
      </c>
      <c r="Q42" s="22"/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0</v>
      </c>
      <c r="Y42" s="22"/>
      <c r="Z42" s="22">
        <v>2</v>
      </c>
      <c r="AA42" s="22">
        <v>2</v>
      </c>
      <c r="AB42" s="22">
        <v>3</v>
      </c>
      <c r="AC42" s="22">
        <v>2</v>
      </c>
      <c r="AD42" s="22">
        <v>0</v>
      </c>
      <c r="AE42" s="22">
        <v>0</v>
      </c>
      <c r="AF42" s="22">
        <v>0</v>
      </c>
    </row>
    <row r="43" spans="1:32" s="7" customFormat="1" ht="15" customHeight="1" x14ac:dyDescent="0.35">
      <c r="A43" s="4" t="s">
        <v>48</v>
      </c>
      <c r="B43" s="22">
        <v>3</v>
      </c>
      <c r="C43" s="22">
        <v>4</v>
      </c>
      <c r="D43" s="22">
        <v>1</v>
      </c>
      <c r="E43" s="22">
        <v>0</v>
      </c>
      <c r="F43" s="22">
        <v>0</v>
      </c>
      <c r="G43" s="22">
        <v>0</v>
      </c>
      <c r="H43" s="22">
        <v>0</v>
      </c>
      <c r="I43" s="22"/>
      <c r="J43" s="22">
        <v>4</v>
      </c>
      <c r="K43" s="22">
        <v>10</v>
      </c>
      <c r="L43" s="22">
        <v>2</v>
      </c>
      <c r="M43" s="22">
        <v>0</v>
      </c>
      <c r="N43" s="22">
        <v>0</v>
      </c>
      <c r="O43" s="22">
        <v>0</v>
      </c>
      <c r="P43" s="22">
        <v>0</v>
      </c>
      <c r="Q43" s="22"/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/>
      <c r="Z43" s="22">
        <v>1</v>
      </c>
      <c r="AA43" s="22">
        <v>3</v>
      </c>
      <c r="AB43" s="22">
        <v>3</v>
      </c>
      <c r="AC43" s="22">
        <v>3</v>
      </c>
      <c r="AD43" s="22">
        <v>0</v>
      </c>
      <c r="AE43" s="22">
        <v>0</v>
      </c>
      <c r="AF43" s="22">
        <v>0</v>
      </c>
    </row>
    <row r="44" spans="1:32" s="7" customFormat="1" ht="15" customHeight="1" x14ac:dyDescent="0.35">
      <c r="A44" s="4" t="s">
        <v>49</v>
      </c>
      <c r="B44" s="22">
        <v>0</v>
      </c>
      <c r="C44" s="22">
        <v>1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/>
      <c r="J44" s="22">
        <v>10</v>
      </c>
      <c r="K44" s="22">
        <v>20</v>
      </c>
      <c r="L44" s="22">
        <v>13</v>
      </c>
      <c r="M44" s="22">
        <v>6</v>
      </c>
      <c r="N44" s="22">
        <v>0</v>
      </c>
      <c r="O44" s="22">
        <v>0</v>
      </c>
      <c r="P44" s="22">
        <v>0</v>
      </c>
      <c r="Q44" s="22"/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/>
      <c r="Z44" s="22">
        <v>1</v>
      </c>
      <c r="AA44" s="22">
        <v>3</v>
      </c>
      <c r="AB44" s="22">
        <v>0</v>
      </c>
      <c r="AC44" s="22">
        <v>1</v>
      </c>
      <c r="AD44" s="22">
        <v>1</v>
      </c>
      <c r="AE44" s="22">
        <v>0</v>
      </c>
      <c r="AF44" s="22">
        <v>0</v>
      </c>
    </row>
    <row r="45" spans="1:32" s="7" customFormat="1" ht="15" customHeight="1" x14ac:dyDescent="0.35">
      <c r="A45" s="4" t="s">
        <v>50</v>
      </c>
      <c r="B45" s="22">
        <v>1</v>
      </c>
      <c r="C45" s="22">
        <v>2</v>
      </c>
      <c r="D45" s="22">
        <v>2</v>
      </c>
      <c r="E45" s="22">
        <v>2</v>
      </c>
      <c r="F45" s="22">
        <v>1</v>
      </c>
      <c r="G45" s="22">
        <v>0</v>
      </c>
      <c r="H45" s="22">
        <v>0</v>
      </c>
      <c r="I45" s="22"/>
      <c r="J45" s="22">
        <v>3</v>
      </c>
      <c r="K45" s="22">
        <v>0</v>
      </c>
      <c r="L45" s="22">
        <v>2</v>
      </c>
      <c r="M45" s="22">
        <v>3</v>
      </c>
      <c r="N45" s="22">
        <v>1</v>
      </c>
      <c r="O45" s="22">
        <v>0</v>
      </c>
      <c r="P45" s="22">
        <v>0</v>
      </c>
      <c r="Q45" s="22"/>
      <c r="R45" s="22">
        <v>1</v>
      </c>
      <c r="S45" s="22">
        <v>2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/>
      <c r="Z45" s="22">
        <v>0</v>
      </c>
      <c r="AA45" s="22">
        <v>0</v>
      </c>
      <c r="AB45" s="22">
        <v>0</v>
      </c>
      <c r="AC45" s="22">
        <v>1</v>
      </c>
      <c r="AD45" s="22">
        <v>0</v>
      </c>
      <c r="AE45" s="22">
        <v>0</v>
      </c>
      <c r="AF45" s="22">
        <v>0</v>
      </c>
    </row>
    <row r="46" spans="1:32" s="7" customFormat="1" ht="15" customHeight="1" x14ac:dyDescent="0.35">
      <c r="A46" s="4" t="s">
        <v>51</v>
      </c>
      <c r="B46" s="22">
        <v>3</v>
      </c>
      <c r="C46" s="22">
        <v>19</v>
      </c>
      <c r="D46" s="22">
        <v>5</v>
      </c>
      <c r="E46" s="22">
        <v>3</v>
      </c>
      <c r="F46" s="22">
        <v>1</v>
      </c>
      <c r="G46" s="22">
        <v>0</v>
      </c>
      <c r="H46" s="22">
        <v>0</v>
      </c>
      <c r="I46" s="22"/>
      <c r="J46" s="22">
        <v>3</v>
      </c>
      <c r="K46" s="22">
        <v>11</v>
      </c>
      <c r="L46" s="22">
        <v>2</v>
      </c>
      <c r="M46" s="22">
        <v>4</v>
      </c>
      <c r="N46" s="22">
        <v>0</v>
      </c>
      <c r="O46" s="22">
        <v>0</v>
      </c>
      <c r="P46" s="22">
        <v>0</v>
      </c>
      <c r="Q46" s="22"/>
      <c r="R46" s="22">
        <v>0</v>
      </c>
      <c r="S46" s="22">
        <v>2</v>
      </c>
      <c r="T46" s="22">
        <v>0</v>
      </c>
      <c r="U46" s="22">
        <v>1</v>
      </c>
      <c r="V46" s="22">
        <v>0</v>
      </c>
      <c r="W46" s="22">
        <v>0</v>
      </c>
      <c r="X46" s="22">
        <v>0</v>
      </c>
      <c r="Y46" s="22"/>
      <c r="Z46" s="22">
        <v>1</v>
      </c>
      <c r="AA46" s="22">
        <v>5</v>
      </c>
      <c r="AB46" s="22">
        <v>9</v>
      </c>
      <c r="AC46" s="22">
        <v>3</v>
      </c>
      <c r="AD46" s="22">
        <v>0</v>
      </c>
      <c r="AE46" s="22">
        <v>2</v>
      </c>
      <c r="AF46" s="22">
        <v>0</v>
      </c>
    </row>
    <row r="47" spans="1:32" s="7" customFormat="1" ht="15" customHeight="1" x14ac:dyDescent="0.35">
      <c r="A47" s="4" t="s">
        <v>52</v>
      </c>
      <c r="B47" s="22">
        <v>4</v>
      </c>
      <c r="C47" s="22">
        <v>16</v>
      </c>
      <c r="D47" s="22">
        <v>4</v>
      </c>
      <c r="E47" s="22">
        <v>0</v>
      </c>
      <c r="F47" s="22">
        <v>0</v>
      </c>
      <c r="G47" s="22">
        <v>0</v>
      </c>
      <c r="H47" s="22">
        <v>0</v>
      </c>
      <c r="I47" s="22"/>
      <c r="J47" s="22">
        <v>19</v>
      </c>
      <c r="K47" s="22">
        <v>20</v>
      </c>
      <c r="L47" s="22">
        <v>5</v>
      </c>
      <c r="M47" s="22">
        <v>1</v>
      </c>
      <c r="N47" s="22">
        <v>0</v>
      </c>
      <c r="O47" s="22">
        <v>0</v>
      </c>
      <c r="P47" s="22">
        <v>2</v>
      </c>
      <c r="Q47" s="22"/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/>
      <c r="Z47" s="22">
        <v>1</v>
      </c>
      <c r="AA47" s="22">
        <v>1</v>
      </c>
      <c r="AB47" s="22">
        <v>2</v>
      </c>
      <c r="AC47" s="22">
        <v>2</v>
      </c>
      <c r="AD47" s="22">
        <v>4</v>
      </c>
      <c r="AE47" s="22">
        <v>0</v>
      </c>
      <c r="AF47" s="22">
        <v>0</v>
      </c>
    </row>
    <row r="48" spans="1:32" s="7" customFormat="1" ht="15" customHeight="1" x14ac:dyDescent="0.35">
      <c r="A48" s="4" t="s">
        <v>53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/>
      <c r="J48" s="22">
        <v>0</v>
      </c>
      <c r="K48" s="22">
        <v>1</v>
      </c>
      <c r="L48" s="22">
        <v>1</v>
      </c>
      <c r="M48" s="22">
        <v>0</v>
      </c>
      <c r="N48" s="22">
        <v>0</v>
      </c>
      <c r="O48" s="22">
        <v>0</v>
      </c>
      <c r="P48" s="22">
        <v>0</v>
      </c>
      <c r="Q48" s="22"/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/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</row>
    <row r="49" spans="1:32" s="7" customFormat="1" ht="15" customHeight="1" x14ac:dyDescent="0.35">
      <c r="A49" s="42" t="s">
        <v>54</v>
      </c>
      <c r="B49" s="21">
        <f>SUM(B50:B56)</f>
        <v>99</v>
      </c>
      <c r="C49" s="21">
        <f t="shared" ref="C49:H49" si="8">SUM(C50:C56)</f>
        <v>273</v>
      </c>
      <c r="D49" s="21">
        <f t="shared" si="8"/>
        <v>57</v>
      </c>
      <c r="E49" s="21">
        <f t="shared" si="8"/>
        <v>10</v>
      </c>
      <c r="F49" s="21">
        <f t="shared" si="8"/>
        <v>1</v>
      </c>
      <c r="G49" s="21">
        <f t="shared" si="8"/>
        <v>0</v>
      </c>
      <c r="H49" s="21">
        <f t="shared" si="8"/>
        <v>0</v>
      </c>
      <c r="I49" s="21"/>
      <c r="J49" s="21">
        <f>SUM(J50:J56)</f>
        <v>10</v>
      </c>
      <c r="K49" s="21">
        <f t="shared" ref="K49:P49" si="9">SUM(K50:K56)</f>
        <v>27</v>
      </c>
      <c r="L49" s="21">
        <f t="shared" si="9"/>
        <v>11</v>
      </c>
      <c r="M49" s="21">
        <f t="shared" si="9"/>
        <v>7</v>
      </c>
      <c r="N49" s="21">
        <f t="shared" si="9"/>
        <v>0</v>
      </c>
      <c r="O49" s="21">
        <f t="shared" si="9"/>
        <v>0</v>
      </c>
      <c r="P49" s="21">
        <f t="shared" si="9"/>
        <v>0</v>
      </c>
      <c r="Q49" s="21"/>
      <c r="R49" s="21">
        <f t="shared" ref="R49:X49" si="10">SUM(R50:R56)</f>
        <v>5</v>
      </c>
      <c r="S49" s="21">
        <f t="shared" si="10"/>
        <v>17</v>
      </c>
      <c r="T49" s="21">
        <f t="shared" si="10"/>
        <v>8</v>
      </c>
      <c r="U49" s="21">
        <f t="shared" si="10"/>
        <v>3</v>
      </c>
      <c r="V49" s="21">
        <f t="shared" si="10"/>
        <v>0</v>
      </c>
      <c r="W49" s="21">
        <f t="shared" si="10"/>
        <v>0</v>
      </c>
      <c r="X49" s="21">
        <f t="shared" si="10"/>
        <v>0</v>
      </c>
      <c r="Y49" s="21"/>
      <c r="Z49" s="21">
        <f t="shared" ref="Z49:AF49" si="11">SUM(Z50:Z56)</f>
        <v>53</v>
      </c>
      <c r="AA49" s="21">
        <f t="shared" si="11"/>
        <v>100</v>
      </c>
      <c r="AB49" s="21">
        <f t="shared" si="11"/>
        <v>66</v>
      </c>
      <c r="AC49" s="21">
        <f t="shared" si="11"/>
        <v>60</v>
      </c>
      <c r="AD49" s="21">
        <f t="shared" si="11"/>
        <v>21</v>
      </c>
      <c r="AE49" s="21">
        <f t="shared" si="11"/>
        <v>2</v>
      </c>
      <c r="AF49" s="21">
        <f t="shared" si="11"/>
        <v>0</v>
      </c>
    </row>
    <row r="50" spans="1:32" s="7" customFormat="1" ht="15" customHeight="1" x14ac:dyDescent="0.35">
      <c r="A50" s="4" t="s">
        <v>55</v>
      </c>
      <c r="B50" s="22">
        <v>11</v>
      </c>
      <c r="C50" s="22">
        <v>35</v>
      </c>
      <c r="D50" s="22">
        <v>9</v>
      </c>
      <c r="E50" s="22">
        <v>0</v>
      </c>
      <c r="F50" s="22">
        <v>0</v>
      </c>
      <c r="G50" s="22">
        <v>0</v>
      </c>
      <c r="H50" s="22">
        <v>0</v>
      </c>
      <c r="I50" s="22"/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/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/>
      <c r="Z50" s="22">
        <v>16</v>
      </c>
      <c r="AA50" s="22">
        <v>27</v>
      </c>
      <c r="AB50" s="22">
        <v>16</v>
      </c>
      <c r="AC50" s="22">
        <v>17</v>
      </c>
      <c r="AD50" s="22">
        <v>4</v>
      </c>
      <c r="AE50" s="22">
        <v>0</v>
      </c>
      <c r="AF50" s="22">
        <v>0</v>
      </c>
    </row>
    <row r="51" spans="1:32" s="7" customFormat="1" ht="15" customHeight="1" x14ac:dyDescent="0.35">
      <c r="A51" s="4" t="s">
        <v>56</v>
      </c>
      <c r="B51" s="22">
        <v>7</v>
      </c>
      <c r="C51" s="22">
        <v>21</v>
      </c>
      <c r="D51" s="22">
        <v>4</v>
      </c>
      <c r="E51" s="22">
        <v>0</v>
      </c>
      <c r="F51" s="22">
        <v>0</v>
      </c>
      <c r="G51" s="22">
        <v>0</v>
      </c>
      <c r="H51" s="22">
        <v>0</v>
      </c>
      <c r="I51" s="22"/>
      <c r="J51" s="22">
        <v>4</v>
      </c>
      <c r="K51" s="22">
        <v>11</v>
      </c>
      <c r="L51" s="22">
        <v>1</v>
      </c>
      <c r="M51" s="22">
        <v>0</v>
      </c>
      <c r="N51" s="22">
        <v>0</v>
      </c>
      <c r="O51" s="22">
        <v>0</v>
      </c>
      <c r="P51" s="22">
        <v>0</v>
      </c>
      <c r="Q51" s="22"/>
      <c r="R51" s="22">
        <v>1</v>
      </c>
      <c r="S51" s="22">
        <v>4</v>
      </c>
      <c r="T51" s="22">
        <v>2</v>
      </c>
      <c r="U51" s="22">
        <v>0</v>
      </c>
      <c r="V51" s="22">
        <v>0</v>
      </c>
      <c r="W51" s="22">
        <v>0</v>
      </c>
      <c r="X51" s="22">
        <v>0</v>
      </c>
      <c r="Y51" s="22"/>
      <c r="Z51" s="22">
        <v>12</v>
      </c>
      <c r="AA51" s="22">
        <v>1</v>
      </c>
      <c r="AB51" s="22">
        <v>1</v>
      </c>
      <c r="AC51" s="22">
        <v>2</v>
      </c>
      <c r="AD51" s="22">
        <v>1</v>
      </c>
      <c r="AE51" s="22">
        <v>0</v>
      </c>
      <c r="AF51" s="22">
        <v>0</v>
      </c>
    </row>
    <row r="52" spans="1:32" s="7" customFormat="1" ht="15" customHeight="1" x14ac:dyDescent="0.35">
      <c r="A52" s="4" t="s">
        <v>57</v>
      </c>
      <c r="B52" s="22">
        <v>0</v>
      </c>
      <c r="C52" s="22">
        <v>17</v>
      </c>
      <c r="D52" s="22">
        <v>11</v>
      </c>
      <c r="E52" s="22">
        <v>4</v>
      </c>
      <c r="F52" s="22">
        <v>0</v>
      </c>
      <c r="G52" s="22">
        <v>0</v>
      </c>
      <c r="H52" s="22">
        <v>0</v>
      </c>
      <c r="I52" s="22"/>
      <c r="J52" s="22">
        <v>2</v>
      </c>
      <c r="K52" s="22">
        <v>9</v>
      </c>
      <c r="L52" s="22">
        <v>9</v>
      </c>
      <c r="M52" s="22">
        <v>6</v>
      </c>
      <c r="N52" s="22">
        <v>0</v>
      </c>
      <c r="O52" s="22">
        <v>0</v>
      </c>
      <c r="P52" s="22">
        <v>0</v>
      </c>
      <c r="Q52" s="22"/>
      <c r="R52" s="22">
        <v>2</v>
      </c>
      <c r="S52" s="22">
        <v>1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/>
      <c r="Z52" s="22">
        <v>12</v>
      </c>
      <c r="AA52" s="22">
        <v>11</v>
      </c>
      <c r="AB52" s="22">
        <v>6</v>
      </c>
      <c r="AC52" s="22">
        <v>6</v>
      </c>
      <c r="AD52" s="22">
        <v>2</v>
      </c>
      <c r="AE52" s="22">
        <v>0</v>
      </c>
      <c r="AF52" s="22">
        <v>0</v>
      </c>
    </row>
    <row r="53" spans="1:32" s="7" customFormat="1" ht="15" customHeight="1" x14ac:dyDescent="0.35">
      <c r="A53" s="2" t="s">
        <v>58</v>
      </c>
      <c r="B53" s="22">
        <v>0</v>
      </c>
      <c r="C53" s="22">
        <v>3</v>
      </c>
      <c r="D53" s="22">
        <v>2</v>
      </c>
      <c r="E53" s="22">
        <v>0</v>
      </c>
      <c r="F53" s="22">
        <v>1</v>
      </c>
      <c r="G53" s="22">
        <v>0</v>
      </c>
      <c r="H53" s="22">
        <v>0</v>
      </c>
      <c r="I53" s="22"/>
      <c r="J53" s="22">
        <v>3</v>
      </c>
      <c r="K53" s="22">
        <v>3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/>
      <c r="R53" s="22">
        <v>0</v>
      </c>
      <c r="S53" s="22">
        <v>0</v>
      </c>
      <c r="T53" s="22">
        <v>1</v>
      </c>
      <c r="U53" s="22">
        <v>0</v>
      </c>
      <c r="V53" s="22">
        <v>0</v>
      </c>
      <c r="W53" s="22">
        <v>0</v>
      </c>
      <c r="X53" s="22">
        <v>0</v>
      </c>
      <c r="Y53" s="22"/>
      <c r="Z53" s="22">
        <v>1</v>
      </c>
      <c r="AA53" s="22">
        <v>9</v>
      </c>
      <c r="AB53" s="22">
        <v>8</v>
      </c>
      <c r="AC53" s="22">
        <v>3</v>
      </c>
      <c r="AD53" s="22">
        <v>4</v>
      </c>
      <c r="AE53" s="22">
        <v>0</v>
      </c>
      <c r="AF53" s="22">
        <v>0</v>
      </c>
    </row>
    <row r="54" spans="1:32" s="7" customFormat="1" ht="15" customHeight="1" x14ac:dyDescent="0.35">
      <c r="A54" s="2" t="s">
        <v>59</v>
      </c>
      <c r="B54" s="22">
        <v>29</v>
      </c>
      <c r="C54" s="22">
        <v>40</v>
      </c>
      <c r="D54" s="22">
        <v>4</v>
      </c>
      <c r="E54" s="22">
        <v>0</v>
      </c>
      <c r="F54" s="22">
        <v>0</v>
      </c>
      <c r="G54" s="22">
        <v>0</v>
      </c>
      <c r="H54" s="22">
        <v>0</v>
      </c>
      <c r="I54" s="22"/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/>
      <c r="R54" s="22">
        <v>0</v>
      </c>
      <c r="S54" s="22">
        <v>1</v>
      </c>
      <c r="T54" s="22">
        <v>1</v>
      </c>
      <c r="U54" s="22">
        <v>0</v>
      </c>
      <c r="V54" s="22">
        <v>0</v>
      </c>
      <c r="W54" s="22">
        <v>0</v>
      </c>
      <c r="X54" s="22">
        <v>0</v>
      </c>
      <c r="Y54" s="22"/>
      <c r="Z54" s="22">
        <v>3</v>
      </c>
      <c r="AA54" s="22">
        <v>5</v>
      </c>
      <c r="AB54" s="22">
        <v>5</v>
      </c>
      <c r="AC54" s="22">
        <v>6</v>
      </c>
      <c r="AD54" s="22">
        <v>0</v>
      </c>
      <c r="AE54" s="22">
        <v>0</v>
      </c>
      <c r="AF54" s="22">
        <v>0</v>
      </c>
    </row>
    <row r="55" spans="1:32" s="7" customFormat="1" ht="15" customHeight="1" x14ac:dyDescent="0.35">
      <c r="A55" s="2" t="s">
        <v>60</v>
      </c>
      <c r="B55" s="22">
        <v>6</v>
      </c>
      <c r="C55" s="22">
        <v>24</v>
      </c>
      <c r="D55" s="22">
        <v>5</v>
      </c>
      <c r="E55" s="22">
        <v>1</v>
      </c>
      <c r="F55" s="22">
        <v>0</v>
      </c>
      <c r="G55" s="22">
        <v>0</v>
      </c>
      <c r="H55" s="22">
        <v>0</v>
      </c>
      <c r="I55" s="22"/>
      <c r="J55" s="22">
        <v>1</v>
      </c>
      <c r="K55" s="22">
        <v>4</v>
      </c>
      <c r="L55" s="22">
        <v>1</v>
      </c>
      <c r="M55" s="22">
        <v>1</v>
      </c>
      <c r="N55" s="22">
        <v>0</v>
      </c>
      <c r="O55" s="22">
        <v>0</v>
      </c>
      <c r="P55" s="22">
        <v>0</v>
      </c>
      <c r="Q55" s="22"/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/>
      <c r="Z55" s="22">
        <v>4</v>
      </c>
      <c r="AA55" s="22">
        <v>13</v>
      </c>
      <c r="AB55" s="22">
        <v>15</v>
      </c>
      <c r="AC55" s="22">
        <v>12</v>
      </c>
      <c r="AD55" s="22">
        <v>6</v>
      </c>
      <c r="AE55" s="22">
        <v>0</v>
      </c>
      <c r="AF55" s="22">
        <v>0</v>
      </c>
    </row>
    <row r="56" spans="1:32" s="7" customFormat="1" ht="15" customHeight="1" thickBot="1" x14ac:dyDescent="0.4">
      <c r="A56" s="25" t="s">
        <v>61</v>
      </c>
      <c r="B56" s="22">
        <v>46</v>
      </c>
      <c r="C56" s="22">
        <v>133</v>
      </c>
      <c r="D56" s="22">
        <v>22</v>
      </c>
      <c r="E56" s="22">
        <v>5</v>
      </c>
      <c r="F56" s="22">
        <v>0</v>
      </c>
      <c r="G56" s="22">
        <v>0</v>
      </c>
      <c r="H56" s="22">
        <v>0</v>
      </c>
      <c r="I56" s="26"/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6"/>
      <c r="R56" s="22">
        <v>2</v>
      </c>
      <c r="S56" s="22">
        <v>11</v>
      </c>
      <c r="T56" s="22">
        <v>4</v>
      </c>
      <c r="U56" s="22">
        <v>3</v>
      </c>
      <c r="V56" s="22">
        <v>0</v>
      </c>
      <c r="W56" s="22">
        <v>0</v>
      </c>
      <c r="X56" s="22">
        <v>0</v>
      </c>
      <c r="Y56" s="26"/>
      <c r="Z56" s="22">
        <v>5</v>
      </c>
      <c r="AA56" s="22">
        <v>34</v>
      </c>
      <c r="AB56" s="22">
        <v>15</v>
      </c>
      <c r="AC56" s="22">
        <v>14</v>
      </c>
      <c r="AD56" s="22">
        <v>4</v>
      </c>
      <c r="AE56" s="22">
        <v>2</v>
      </c>
      <c r="AF56" s="22">
        <v>0</v>
      </c>
    </row>
    <row r="57" spans="1:32" s="7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</sheetData>
  <mergeCells count="5">
    <mergeCell ref="A1:AJ1"/>
    <mergeCell ref="B6:H6"/>
    <mergeCell ref="J6:P6"/>
    <mergeCell ref="R6:X6"/>
    <mergeCell ref="Z6:A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57"/>
  <sheetViews>
    <sheetView topLeftCell="AF1" workbookViewId="0">
      <selection activeCell="R45" sqref="R7:W45"/>
    </sheetView>
  </sheetViews>
  <sheetFormatPr defaultColWidth="9.1796875" defaultRowHeight="14.5" x14ac:dyDescent="0.35"/>
  <cols>
    <col min="1" max="1" width="50.7265625" style="4" customWidth="1"/>
    <col min="2" max="8" width="8.7265625" style="4" customWidth="1"/>
    <col min="9" max="9" width="2.7265625" style="4" customWidth="1"/>
    <col min="10" max="16" width="8.7265625" style="4" customWidth="1"/>
    <col min="17" max="17" width="2.7265625" style="4" customWidth="1"/>
    <col min="18" max="24" width="8.7265625" style="4" customWidth="1"/>
    <col min="25" max="25" width="2.7265625" style="4" customWidth="1"/>
    <col min="26" max="32" width="8.7265625" style="4" customWidth="1"/>
    <col min="33" max="33" width="2.7265625" style="4" customWidth="1"/>
    <col min="34" max="40" width="8.7265625" style="4" customWidth="1"/>
    <col min="41" max="41" width="2.7265625" style="4" customWidth="1"/>
    <col min="42" max="48" width="8.7265625" style="4" customWidth="1"/>
    <col min="49" max="16384" width="9.1796875" style="4"/>
  </cols>
  <sheetData>
    <row r="1" spans="1:58" s="1" customFormat="1" ht="23.25" customHeight="1" x14ac:dyDescent="0.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8" s="3" customFormat="1" x14ac:dyDescent="0.35">
      <c r="A2" s="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9"/>
    </row>
    <row r="3" spans="1:58" s="3" customFormat="1" x14ac:dyDescent="0.35">
      <c r="A3" s="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9"/>
    </row>
    <row r="4" spans="1:58" s="3" customFormat="1" x14ac:dyDescent="0.35">
      <c r="A4" s="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9"/>
    </row>
    <row r="5" spans="1:58" s="3" customFormat="1" x14ac:dyDescent="0.35">
      <c r="A5" s="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</row>
    <row r="6" spans="1:58" s="7" customFormat="1" ht="15.75" customHeight="1" thickBot="1" x14ac:dyDescent="0.4">
      <c r="A6" s="4"/>
      <c r="B6" s="64" t="s">
        <v>0</v>
      </c>
      <c r="C6" s="64"/>
      <c r="D6" s="64"/>
      <c r="E6" s="64"/>
      <c r="F6" s="64"/>
      <c r="G6" s="64"/>
      <c r="H6" s="6"/>
      <c r="I6" s="35"/>
      <c r="J6" s="62" t="s">
        <v>76</v>
      </c>
      <c r="K6" s="62"/>
      <c r="L6" s="62"/>
      <c r="M6" s="62"/>
      <c r="N6" s="62"/>
      <c r="O6" s="62"/>
      <c r="P6" s="62"/>
      <c r="Q6" s="35"/>
      <c r="R6" s="63" t="s">
        <v>1</v>
      </c>
      <c r="S6" s="63"/>
      <c r="T6" s="63"/>
      <c r="U6" s="63"/>
      <c r="V6" s="63"/>
      <c r="W6" s="63"/>
      <c r="X6" s="43"/>
      <c r="Y6" s="35"/>
      <c r="Z6" s="62" t="s">
        <v>2</v>
      </c>
      <c r="AA6" s="62"/>
      <c r="AB6" s="62"/>
      <c r="AC6" s="62"/>
      <c r="AD6" s="62"/>
      <c r="AE6" s="62"/>
      <c r="AF6" s="6"/>
      <c r="AG6" s="35"/>
      <c r="AH6" s="62" t="s">
        <v>3</v>
      </c>
      <c r="AI6" s="62"/>
      <c r="AJ6" s="62"/>
      <c r="AK6" s="62"/>
      <c r="AL6" s="62"/>
      <c r="AM6" s="62"/>
      <c r="AN6" s="6"/>
      <c r="AO6" s="35"/>
      <c r="AP6" s="63" t="s">
        <v>4</v>
      </c>
      <c r="AQ6" s="63"/>
      <c r="AR6" s="63"/>
      <c r="AS6" s="63"/>
      <c r="AT6" s="63"/>
      <c r="AU6" s="63"/>
      <c r="AV6" s="63"/>
    </row>
    <row r="7" spans="1:58" s="12" customFormat="1" ht="58.5" thickBot="1" x14ac:dyDescent="0.4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36"/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12</v>
      </c>
      <c r="Q7" s="36"/>
      <c r="R7" s="44" t="s">
        <v>87</v>
      </c>
      <c r="S7" s="44" t="s">
        <v>77</v>
      </c>
      <c r="T7" s="44" t="s">
        <v>78</v>
      </c>
      <c r="U7" s="44" t="s">
        <v>79</v>
      </c>
      <c r="V7" s="44" t="s">
        <v>88</v>
      </c>
      <c r="W7" s="44" t="s">
        <v>89</v>
      </c>
      <c r="X7" s="10" t="s">
        <v>12</v>
      </c>
      <c r="Y7" s="36"/>
      <c r="Z7" s="9" t="s">
        <v>87</v>
      </c>
      <c r="AA7" s="9" t="s">
        <v>77</v>
      </c>
      <c r="AB7" s="9" t="s">
        <v>78</v>
      </c>
      <c r="AC7" s="9" t="s">
        <v>79</v>
      </c>
      <c r="AD7" s="9" t="s">
        <v>88</v>
      </c>
      <c r="AE7" s="9" t="s">
        <v>89</v>
      </c>
      <c r="AF7" s="10" t="s">
        <v>12</v>
      </c>
      <c r="AG7" s="36"/>
      <c r="AH7" s="9" t="s">
        <v>87</v>
      </c>
      <c r="AI7" s="9" t="s">
        <v>77</v>
      </c>
      <c r="AJ7" s="9" t="s">
        <v>78</v>
      </c>
      <c r="AK7" s="9" t="s">
        <v>79</v>
      </c>
      <c r="AL7" s="9" t="s">
        <v>88</v>
      </c>
      <c r="AM7" s="9" t="s">
        <v>89</v>
      </c>
      <c r="AN7" s="10" t="s">
        <v>12</v>
      </c>
      <c r="AO7" s="36"/>
      <c r="AP7" s="44" t="s">
        <v>87</v>
      </c>
      <c r="AQ7" s="44" t="s">
        <v>77</v>
      </c>
      <c r="AR7" s="44" t="s">
        <v>78</v>
      </c>
      <c r="AS7" s="44" t="s">
        <v>79</v>
      </c>
      <c r="AT7" s="44" t="s">
        <v>88</v>
      </c>
      <c r="AU7" s="44" t="s">
        <v>89</v>
      </c>
      <c r="AV7" s="10" t="s">
        <v>12</v>
      </c>
    </row>
    <row r="8" spans="1:58" s="7" customFormat="1" ht="15" customHeight="1" x14ac:dyDescent="0.35">
      <c r="A8" s="13" t="s">
        <v>13</v>
      </c>
      <c r="B8" s="21">
        <f>B9+B49</f>
        <v>195</v>
      </c>
      <c r="C8" s="21">
        <f t="shared" ref="C8:G8" si="0">C9+C49</f>
        <v>680</v>
      </c>
      <c r="D8" s="21">
        <f t="shared" si="0"/>
        <v>172</v>
      </c>
      <c r="E8" s="21">
        <f t="shared" si="0"/>
        <v>49</v>
      </c>
      <c r="F8" s="21">
        <f t="shared" si="0"/>
        <v>9</v>
      </c>
      <c r="G8" s="21">
        <f t="shared" si="0"/>
        <v>1</v>
      </c>
      <c r="H8" s="23">
        <f>IF(SUM(B8:F8)=0,"-",20*(B8/SUM($B8:$F8))+30*(C8/SUM($B8:$F8))+40.5*(D8/SUM($B8:$F8))+50.5*(E8/SUM($B8:$F8))+56*(F8/SUM($B8:$F8)))</f>
        <v>30.990497737556563</v>
      </c>
      <c r="I8" s="14"/>
      <c r="J8" s="21">
        <f>J9+J49</f>
        <v>354</v>
      </c>
      <c r="K8" s="21">
        <f t="shared" ref="K8:O8" si="1">K9+K49</f>
        <v>699</v>
      </c>
      <c r="L8" s="21">
        <f t="shared" si="1"/>
        <v>330</v>
      </c>
      <c r="M8" s="21">
        <f t="shared" si="1"/>
        <v>111</v>
      </c>
      <c r="N8" s="21">
        <f t="shared" si="1"/>
        <v>12</v>
      </c>
      <c r="O8" s="21">
        <f t="shared" si="1"/>
        <v>2</v>
      </c>
      <c r="P8" s="23">
        <f t="shared" ref="P8:P39" si="2">IF(SUM(J8:N8)=0,"-",20*(J8/SUM($J8:$N8))+30*(K8/SUM($J8:$N8))+40.5*(L8/SUM($J8:$N8))+50.5*(M8/SUM($J8:$N8))+56*(N8/SUM($J8:$N8)))</f>
        <v>31.66832669322709</v>
      </c>
      <c r="Q8" s="14"/>
      <c r="R8" s="14">
        <f t="shared" ref="R8:R39" si="3">B8+J8</f>
        <v>549</v>
      </c>
      <c r="S8" s="14">
        <f t="shared" ref="S8:S39" si="4">C8+K8</f>
        <v>1379</v>
      </c>
      <c r="T8" s="14">
        <f t="shared" ref="T8:T39" si="5">D8+L8</f>
        <v>502</v>
      </c>
      <c r="U8" s="14">
        <f t="shared" ref="U8:U39" si="6">E8+M8</f>
        <v>160</v>
      </c>
      <c r="V8" s="14">
        <f t="shared" ref="V8:V39" si="7">F8+N8</f>
        <v>21</v>
      </c>
      <c r="W8" s="14">
        <f t="shared" ref="W8:W39" si="8">G8+O8</f>
        <v>3</v>
      </c>
      <c r="X8" s="23">
        <f t="shared" ref="X8:X39" si="9">IF(SUM(R8:V8)=0,"-",20*(R8/SUM($R8:$V8))+30*(S8/SUM($R8:$V8))+40.5*(T8/SUM($R8:$V8))+50.5*(U8/SUM($R8:$V8))+56*(V8/SUM($R8:$V8)))</f>
        <v>31.381463040980464</v>
      </c>
      <c r="Y8" s="14"/>
      <c r="Z8" s="21">
        <f>Z9+Z49</f>
        <v>29</v>
      </c>
      <c r="AA8" s="21">
        <f t="shared" ref="AA8:AE8" si="10">AA9+AA49</f>
        <v>55</v>
      </c>
      <c r="AB8" s="21">
        <f t="shared" si="10"/>
        <v>27</v>
      </c>
      <c r="AC8" s="21">
        <f t="shared" si="10"/>
        <v>10</v>
      </c>
      <c r="AD8" s="21">
        <f t="shared" si="10"/>
        <v>2</v>
      </c>
      <c r="AE8" s="21">
        <f t="shared" si="10"/>
        <v>0</v>
      </c>
      <c r="AF8" s="23">
        <f t="shared" ref="AF8:AF39" si="11">IF(SUM(Z8:AD8)=0,"-",20*(Z8/SUM($Z8:$AD8))+30*(AA8/SUM($Z8:$AD8))+40.5*(AB8/SUM($Z8:$AD8))+50.5*(AC8/SUM($Z8:$AD8))+56*(AD8/SUM($Z8:$AD8)))</f>
        <v>32.036585365853661</v>
      </c>
      <c r="AG8" s="14"/>
      <c r="AH8" s="21">
        <f>AH9+AH49</f>
        <v>167</v>
      </c>
      <c r="AI8" s="21">
        <f t="shared" ref="AI8:AM8" si="12">AI9+AI49</f>
        <v>303</v>
      </c>
      <c r="AJ8" s="21">
        <f t="shared" si="12"/>
        <v>237</v>
      </c>
      <c r="AK8" s="21">
        <f t="shared" si="12"/>
        <v>213</v>
      </c>
      <c r="AL8" s="21">
        <f t="shared" si="12"/>
        <v>109</v>
      </c>
      <c r="AM8" s="21">
        <f t="shared" si="12"/>
        <v>0</v>
      </c>
      <c r="AN8" s="23">
        <f t="shared" ref="AN8:AN39" si="13">IF(SUM(AH8:AL8)=0,"-",20*(AH8/SUM($AH8:$AL8))+30*(AI8/SUM($AH8:$AL8))+40.5*(AJ8/SUM($AH8:$AL8))+50.5*(AK8/SUM($AH8:$AL8))+56*(AL8/SUM($AH8:$AL8)))</f>
        <v>37.793002915451893</v>
      </c>
      <c r="AO8" s="14"/>
      <c r="AP8" s="14">
        <f t="shared" ref="AP8:AP39" si="14">AH8+Z8+R8</f>
        <v>745</v>
      </c>
      <c r="AQ8" s="14">
        <f t="shared" ref="AQ8:AQ39" si="15">AI8+AA8+S8</f>
        <v>1737</v>
      </c>
      <c r="AR8" s="14">
        <f t="shared" ref="AR8:AR39" si="16">AJ8+AB8+T8</f>
        <v>766</v>
      </c>
      <c r="AS8" s="14">
        <f t="shared" ref="AS8:AS39" si="17">AK8+AC8+U8</f>
        <v>383</v>
      </c>
      <c r="AT8" s="14">
        <f t="shared" ref="AT8:AT39" si="18">AL8+AD8+V8</f>
        <v>132</v>
      </c>
      <c r="AU8" s="14">
        <f t="shared" ref="AU8:AU39" si="19">AM8+AE8+W8</f>
        <v>3</v>
      </c>
      <c r="AV8" s="23">
        <f t="shared" ref="AV8:AV39" si="20">IF(SUM(AP8:AT8)=0,"-",20*(AP8/SUM($AP8:$AT8))+30*(AQ8/SUM($AP8:$AT8))+40.5*(AR8/SUM($AP8:$AT8))+50.5*(AS8/SUM($AP8:$AT8))+56*(AT8/SUM($AP8:$AT8)))</f>
        <v>33.156125431836301</v>
      </c>
      <c r="AW8" s="17"/>
      <c r="AX8" s="19">
        <f>SUM(AP8:AU8)</f>
        <v>3766</v>
      </c>
      <c r="AY8" s="19">
        <v>3767</v>
      </c>
      <c r="AZ8" s="18">
        <f>AX8-AY8</f>
        <v>-1</v>
      </c>
      <c r="BA8" s="17"/>
      <c r="BB8" s="17"/>
      <c r="BC8" s="17"/>
      <c r="BD8" s="17"/>
      <c r="BE8" s="17"/>
      <c r="BF8" s="19"/>
    </row>
    <row r="9" spans="1:58" s="7" customFormat="1" ht="15" customHeight="1" x14ac:dyDescent="0.35">
      <c r="A9" s="20" t="s">
        <v>14</v>
      </c>
      <c r="B9" s="21">
        <f>SUM(B10:B48)</f>
        <v>96</v>
      </c>
      <c r="C9" s="21">
        <f t="shared" ref="C9:G9" si="21">SUM(C10:C48)</f>
        <v>407</v>
      </c>
      <c r="D9" s="21">
        <f t="shared" si="21"/>
        <v>115</v>
      </c>
      <c r="E9" s="21">
        <f t="shared" si="21"/>
        <v>39</v>
      </c>
      <c r="F9" s="21">
        <f t="shared" si="21"/>
        <v>8</v>
      </c>
      <c r="G9" s="21">
        <f t="shared" si="21"/>
        <v>1</v>
      </c>
      <c r="H9" s="23">
        <f t="shared" ref="H9:H56" si="22">IF(SUM(B9:F9)=0,"-",20*(B9/SUM($B9:$F9))+30*(C9/SUM($B9:$F9))+40.5*(D9/SUM($B9:$F9))+50.5*(E9/SUM($B9:$F9))+56*(F9/SUM($B9:$F9)))</f>
        <v>31.887218045112778</v>
      </c>
      <c r="I9" s="21"/>
      <c r="J9" s="21">
        <f>SUM(J10:J48)</f>
        <v>344</v>
      </c>
      <c r="K9" s="21">
        <f t="shared" ref="K9:O9" si="23">SUM(K10:K48)</f>
        <v>672</v>
      </c>
      <c r="L9" s="21">
        <f t="shared" si="23"/>
        <v>319</v>
      </c>
      <c r="M9" s="21">
        <f t="shared" si="23"/>
        <v>104</v>
      </c>
      <c r="N9" s="21">
        <f t="shared" si="23"/>
        <v>12</v>
      </c>
      <c r="O9" s="21">
        <f t="shared" si="23"/>
        <v>2</v>
      </c>
      <c r="P9" s="23">
        <f t="shared" si="2"/>
        <v>31.621984838042724</v>
      </c>
      <c r="Q9" s="21"/>
      <c r="R9" s="21">
        <f t="shared" si="3"/>
        <v>440</v>
      </c>
      <c r="S9" s="21">
        <f t="shared" si="4"/>
        <v>1079</v>
      </c>
      <c r="T9" s="21">
        <f t="shared" si="5"/>
        <v>434</v>
      </c>
      <c r="U9" s="21">
        <f t="shared" si="6"/>
        <v>143</v>
      </c>
      <c r="V9" s="21">
        <f t="shared" si="7"/>
        <v>20</v>
      </c>
      <c r="W9" s="21">
        <f t="shared" si="8"/>
        <v>3</v>
      </c>
      <c r="X9" s="23">
        <f t="shared" si="9"/>
        <v>31.705340264650285</v>
      </c>
      <c r="Y9" s="21"/>
      <c r="Z9" s="21">
        <f>SUM(Z10:Z48)</f>
        <v>24</v>
      </c>
      <c r="AA9" s="21">
        <f t="shared" ref="AA9:AE9" si="24">SUM(AA10:AA48)</f>
        <v>38</v>
      </c>
      <c r="AB9" s="21">
        <f t="shared" si="24"/>
        <v>19</v>
      </c>
      <c r="AC9" s="21">
        <f t="shared" si="24"/>
        <v>7</v>
      </c>
      <c r="AD9" s="21">
        <f t="shared" si="24"/>
        <v>2</v>
      </c>
      <c r="AE9" s="21">
        <f t="shared" si="24"/>
        <v>0</v>
      </c>
      <c r="AF9" s="23">
        <f t="shared" si="11"/>
        <v>31.722222222222221</v>
      </c>
      <c r="AG9" s="21"/>
      <c r="AH9" s="21">
        <f>SUM(AH10:AH48)</f>
        <v>114</v>
      </c>
      <c r="AI9" s="21">
        <f t="shared" ref="AI9:AM9" si="25">SUM(AI10:AI48)</f>
        <v>203</v>
      </c>
      <c r="AJ9" s="21">
        <f t="shared" si="25"/>
        <v>171</v>
      </c>
      <c r="AK9" s="21">
        <f t="shared" si="25"/>
        <v>153</v>
      </c>
      <c r="AL9" s="21">
        <f t="shared" si="25"/>
        <v>86</v>
      </c>
      <c r="AM9" s="21">
        <f t="shared" si="25"/>
        <v>0</v>
      </c>
      <c r="AN9" s="23">
        <f t="shared" si="13"/>
        <v>38.29160935350756</v>
      </c>
      <c r="AO9" s="21"/>
      <c r="AP9" s="21">
        <f t="shared" si="14"/>
        <v>578</v>
      </c>
      <c r="AQ9" s="21">
        <f t="shared" si="15"/>
        <v>1320</v>
      </c>
      <c r="AR9" s="21">
        <f t="shared" si="16"/>
        <v>624</v>
      </c>
      <c r="AS9" s="21">
        <f t="shared" si="17"/>
        <v>303</v>
      </c>
      <c r="AT9" s="21">
        <f t="shared" si="18"/>
        <v>108</v>
      </c>
      <c r="AU9" s="21">
        <f t="shared" si="19"/>
        <v>3</v>
      </c>
      <c r="AV9" s="23">
        <f t="shared" si="20"/>
        <v>33.33839072621889</v>
      </c>
      <c r="AW9" s="17"/>
      <c r="AX9" s="19">
        <f t="shared" ref="AX9:AX56" si="26">SUM(AP9:AU9)</f>
        <v>2936</v>
      </c>
      <c r="AY9" s="19">
        <v>2937</v>
      </c>
      <c r="AZ9" s="18">
        <f t="shared" ref="AZ9:AZ56" si="27">AX9-AY9</f>
        <v>-1</v>
      </c>
      <c r="BA9" s="17"/>
      <c r="BB9" s="17"/>
      <c r="BC9" s="17"/>
      <c r="BD9" s="17"/>
      <c r="BE9" s="17"/>
    </row>
    <row r="10" spans="1:58" s="7" customFormat="1" ht="15" customHeight="1" x14ac:dyDescent="0.35">
      <c r="A10" s="2" t="s">
        <v>15</v>
      </c>
      <c r="B10" s="22">
        <f>'2017-18_working'!B10</f>
        <v>5</v>
      </c>
      <c r="C10" s="22">
        <f>'2017-18_working'!C10</f>
        <v>17</v>
      </c>
      <c r="D10" s="22">
        <f>'2017-18_working'!D10</f>
        <v>1</v>
      </c>
      <c r="E10" s="22">
        <f>'2017-18_working'!E10</f>
        <v>2</v>
      </c>
      <c r="F10" s="22">
        <f>'2017-18_working'!F10+'2017-18_working'!G10</f>
        <v>0</v>
      </c>
      <c r="G10" s="22">
        <f>'2017-18_working'!H10</f>
        <v>0</v>
      </c>
      <c r="H10" s="23">
        <f t="shared" si="22"/>
        <v>30.060000000000002</v>
      </c>
      <c r="I10" s="22"/>
      <c r="J10" s="22">
        <f>'2017-18_working'!J10</f>
        <v>7</v>
      </c>
      <c r="K10" s="22">
        <f>'2017-18_working'!K10</f>
        <v>9</v>
      </c>
      <c r="L10" s="22">
        <f>'2017-18_working'!L10</f>
        <v>7</v>
      </c>
      <c r="M10" s="22">
        <f>'2017-18_working'!M10</f>
        <v>6</v>
      </c>
      <c r="N10" s="22">
        <f>'2017-18_working'!N10+'2017-18_working'!O10</f>
        <v>1</v>
      </c>
      <c r="O10" s="22">
        <f>'2017-18_working'!P10</f>
        <v>0</v>
      </c>
      <c r="P10" s="23">
        <f t="shared" si="2"/>
        <v>35.083333333333336</v>
      </c>
      <c r="Q10" s="22"/>
      <c r="R10" s="21">
        <f t="shared" si="3"/>
        <v>12</v>
      </c>
      <c r="S10" s="21">
        <f t="shared" si="4"/>
        <v>26</v>
      </c>
      <c r="T10" s="21">
        <f t="shared" si="5"/>
        <v>8</v>
      </c>
      <c r="U10" s="21">
        <f t="shared" si="6"/>
        <v>8</v>
      </c>
      <c r="V10" s="21">
        <f t="shared" si="7"/>
        <v>1</v>
      </c>
      <c r="W10" s="21">
        <f t="shared" si="8"/>
        <v>0</v>
      </c>
      <c r="X10" s="23">
        <f t="shared" si="9"/>
        <v>32.799999999999997</v>
      </c>
      <c r="Y10" s="22"/>
      <c r="Z10" s="22">
        <f>'2017-18_working'!R10</f>
        <v>0</v>
      </c>
      <c r="AA10" s="22">
        <f>'2017-18_working'!S10</f>
        <v>1</v>
      </c>
      <c r="AB10" s="22">
        <f>'2017-18_working'!T10</f>
        <v>1</v>
      </c>
      <c r="AC10" s="22">
        <f>'2017-18_working'!U10</f>
        <v>0</v>
      </c>
      <c r="AD10" s="22">
        <f>'2017-18_working'!V10+'2017-18_working'!W10</f>
        <v>0</v>
      </c>
      <c r="AE10" s="22">
        <f>'2017-18_working'!X10</f>
        <v>0</v>
      </c>
      <c r="AF10" s="23">
        <f t="shared" si="11"/>
        <v>35.25</v>
      </c>
      <c r="AG10" s="22"/>
      <c r="AH10" s="22">
        <f>'2017-18_working'!Z10</f>
        <v>4</v>
      </c>
      <c r="AI10" s="22">
        <f>'2017-18_working'!AA10</f>
        <v>6</v>
      </c>
      <c r="AJ10" s="22">
        <f>'2017-18_working'!AB10</f>
        <v>6</v>
      </c>
      <c r="AK10" s="22">
        <f>'2017-18_working'!AC10</f>
        <v>2</v>
      </c>
      <c r="AL10" s="22">
        <f>'2017-18_working'!AD10+'2017-18_working'!AE10</f>
        <v>6</v>
      </c>
      <c r="AM10" s="22">
        <f>'2017-18_working'!AF10</f>
        <v>0</v>
      </c>
      <c r="AN10" s="23">
        <f t="shared" si="13"/>
        <v>39.166666666666664</v>
      </c>
      <c r="AO10" s="22"/>
      <c r="AP10" s="21">
        <f t="shared" si="14"/>
        <v>16</v>
      </c>
      <c r="AQ10" s="21">
        <f t="shared" si="15"/>
        <v>33</v>
      </c>
      <c r="AR10" s="21">
        <f t="shared" si="16"/>
        <v>15</v>
      </c>
      <c r="AS10" s="21">
        <f t="shared" si="17"/>
        <v>10</v>
      </c>
      <c r="AT10" s="21">
        <f t="shared" si="18"/>
        <v>7</v>
      </c>
      <c r="AU10" s="21">
        <f t="shared" si="19"/>
        <v>0</v>
      </c>
      <c r="AV10" s="23">
        <f t="shared" si="20"/>
        <v>34.746913580246911</v>
      </c>
      <c r="AW10" s="17"/>
      <c r="AX10" s="19">
        <f t="shared" si="26"/>
        <v>81</v>
      </c>
      <c r="AY10" s="19">
        <v>81</v>
      </c>
      <c r="AZ10" s="18">
        <f t="shared" si="27"/>
        <v>0</v>
      </c>
      <c r="BA10" s="17"/>
      <c r="BB10" s="17"/>
      <c r="BC10" s="17"/>
      <c r="BD10" s="17"/>
      <c r="BE10" s="17"/>
    </row>
    <row r="11" spans="1:58" s="7" customFormat="1" ht="15" customHeight="1" x14ac:dyDescent="0.35">
      <c r="A11" s="2" t="s">
        <v>16</v>
      </c>
      <c r="B11" s="22">
        <f>'2017-18_working'!B11</f>
        <v>1</v>
      </c>
      <c r="C11" s="22">
        <f>'2017-18_working'!C11</f>
        <v>18</v>
      </c>
      <c r="D11" s="22">
        <f>'2017-18_working'!D11</f>
        <v>6</v>
      </c>
      <c r="E11" s="22">
        <f>'2017-18_working'!E11</f>
        <v>0</v>
      </c>
      <c r="F11" s="22">
        <f>'2017-18_working'!F11+'2017-18_working'!G11</f>
        <v>0</v>
      </c>
      <c r="G11" s="22">
        <f>'2017-18_working'!H11</f>
        <v>0</v>
      </c>
      <c r="H11" s="23">
        <f t="shared" si="22"/>
        <v>32.119999999999997</v>
      </c>
      <c r="I11" s="22"/>
      <c r="J11" s="22">
        <f>'2017-18_working'!J11</f>
        <v>8</v>
      </c>
      <c r="K11" s="22">
        <f>'2017-18_working'!K11</f>
        <v>9</v>
      </c>
      <c r="L11" s="22">
        <f>'2017-18_working'!L11</f>
        <v>12</v>
      </c>
      <c r="M11" s="22">
        <f>'2017-18_working'!M11</f>
        <v>4</v>
      </c>
      <c r="N11" s="22">
        <f>'2017-18_working'!N11+'2017-18_working'!O11</f>
        <v>0</v>
      </c>
      <c r="O11" s="22">
        <f>'2017-18_working'!P11</f>
        <v>0</v>
      </c>
      <c r="P11" s="23">
        <f t="shared" si="2"/>
        <v>33.878787878787875</v>
      </c>
      <c r="Q11" s="22"/>
      <c r="R11" s="21">
        <f t="shared" si="3"/>
        <v>9</v>
      </c>
      <c r="S11" s="21">
        <f t="shared" si="4"/>
        <v>27</v>
      </c>
      <c r="T11" s="21">
        <f t="shared" si="5"/>
        <v>18</v>
      </c>
      <c r="U11" s="21">
        <f t="shared" si="6"/>
        <v>4</v>
      </c>
      <c r="V11" s="21">
        <f t="shared" si="7"/>
        <v>0</v>
      </c>
      <c r="W11" s="21">
        <f t="shared" si="8"/>
        <v>0</v>
      </c>
      <c r="X11" s="23">
        <f t="shared" si="9"/>
        <v>33.120689655172413</v>
      </c>
      <c r="Y11" s="22"/>
      <c r="Z11" s="22">
        <f>'2017-18_working'!R11</f>
        <v>0</v>
      </c>
      <c r="AA11" s="22">
        <f>'2017-18_working'!S11</f>
        <v>0</v>
      </c>
      <c r="AB11" s="22">
        <f>'2017-18_working'!T11</f>
        <v>0</v>
      </c>
      <c r="AC11" s="22">
        <f>'2017-18_working'!U11</f>
        <v>0</v>
      </c>
      <c r="AD11" s="22">
        <f>'2017-18_working'!V11+'2017-18_working'!W11</f>
        <v>0</v>
      </c>
      <c r="AE11" s="22">
        <f>'2017-18_working'!X11</f>
        <v>0</v>
      </c>
      <c r="AF11" s="23" t="str">
        <f t="shared" si="11"/>
        <v>-</v>
      </c>
      <c r="AG11" s="22"/>
      <c r="AH11" s="22">
        <f>'2017-18_working'!Z11</f>
        <v>1</v>
      </c>
      <c r="AI11" s="22">
        <f>'2017-18_working'!AA11</f>
        <v>8</v>
      </c>
      <c r="AJ11" s="22">
        <f>'2017-18_working'!AB11</f>
        <v>4</v>
      </c>
      <c r="AK11" s="22">
        <f>'2017-18_working'!AC11</f>
        <v>8</v>
      </c>
      <c r="AL11" s="22">
        <f>'2017-18_working'!AD11+'2017-18_working'!AE11</f>
        <v>5</v>
      </c>
      <c r="AM11" s="22">
        <f>'2017-18_working'!AF11</f>
        <v>0</v>
      </c>
      <c r="AN11" s="23">
        <f t="shared" si="13"/>
        <v>42.538461538461547</v>
      </c>
      <c r="AO11" s="22"/>
      <c r="AP11" s="21">
        <f t="shared" si="14"/>
        <v>10</v>
      </c>
      <c r="AQ11" s="21">
        <f t="shared" si="15"/>
        <v>35</v>
      </c>
      <c r="AR11" s="21">
        <f t="shared" si="16"/>
        <v>22</v>
      </c>
      <c r="AS11" s="21">
        <f t="shared" si="17"/>
        <v>12</v>
      </c>
      <c r="AT11" s="21">
        <f t="shared" si="18"/>
        <v>5</v>
      </c>
      <c r="AU11" s="21">
        <f t="shared" si="19"/>
        <v>0</v>
      </c>
      <c r="AV11" s="23">
        <f t="shared" si="20"/>
        <v>36.035714285714292</v>
      </c>
      <c r="AW11" s="17"/>
      <c r="AX11" s="19">
        <f t="shared" si="26"/>
        <v>84</v>
      </c>
      <c r="AY11" s="19">
        <v>84</v>
      </c>
      <c r="AZ11" s="18">
        <f t="shared" si="27"/>
        <v>0</v>
      </c>
      <c r="BA11" s="17"/>
      <c r="BB11" s="17"/>
      <c r="BC11" s="17"/>
      <c r="BD11" s="17"/>
      <c r="BE11" s="17"/>
    </row>
    <row r="12" spans="1:58" s="7" customFormat="1" ht="15" customHeight="1" x14ac:dyDescent="0.35">
      <c r="A12" s="2" t="s">
        <v>17</v>
      </c>
      <c r="B12" s="22">
        <f>'2017-18_working'!B12</f>
        <v>1</v>
      </c>
      <c r="C12" s="22">
        <f>'2017-18_working'!C12</f>
        <v>15</v>
      </c>
      <c r="D12" s="22">
        <f>'2017-18_working'!D12</f>
        <v>4</v>
      </c>
      <c r="E12" s="22">
        <f>'2017-18_working'!E12</f>
        <v>1</v>
      </c>
      <c r="F12" s="22">
        <f>'2017-18_working'!F12+'2017-18_working'!G12</f>
        <v>0</v>
      </c>
      <c r="G12" s="22">
        <f>'2017-18_working'!H12</f>
        <v>0</v>
      </c>
      <c r="H12" s="23">
        <f t="shared" si="22"/>
        <v>32.5</v>
      </c>
      <c r="I12" s="22"/>
      <c r="J12" s="22">
        <f>'2017-18_working'!J12</f>
        <v>5</v>
      </c>
      <c r="K12" s="22">
        <f>'2017-18_working'!K12</f>
        <v>10</v>
      </c>
      <c r="L12" s="22">
        <f>'2017-18_working'!L12</f>
        <v>5</v>
      </c>
      <c r="M12" s="22">
        <f>'2017-18_working'!M12</f>
        <v>0</v>
      </c>
      <c r="N12" s="22">
        <f>'2017-18_working'!N12+'2017-18_working'!O12</f>
        <v>0</v>
      </c>
      <c r="O12" s="22">
        <f>'2017-18_working'!P12</f>
        <v>0</v>
      </c>
      <c r="P12" s="23">
        <f t="shared" si="2"/>
        <v>30.125</v>
      </c>
      <c r="Q12" s="22"/>
      <c r="R12" s="21">
        <f t="shared" si="3"/>
        <v>6</v>
      </c>
      <c r="S12" s="21">
        <f t="shared" si="4"/>
        <v>25</v>
      </c>
      <c r="T12" s="21">
        <f t="shared" si="5"/>
        <v>9</v>
      </c>
      <c r="U12" s="21">
        <f t="shared" si="6"/>
        <v>1</v>
      </c>
      <c r="V12" s="21">
        <f t="shared" si="7"/>
        <v>0</v>
      </c>
      <c r="W12" s="21">
        <f t="shared" si="8"/>
        <v>0</v>
      </c>
      <c r="X12" s="23">
        <f t="shared" si="9"/>
        <v>31.341463414634145</v>
      </c>
      <c r="Y12" s="22"/>
      <c r="Z12" s="22">
        <f>'2017-18_working'!R12</f>
        <v>3</v>
      </c>
      <c r="AA12" s="22">
        <f>'2017-18_working'!S12</f>
        <v>2</v>
      </c>
      <c r="AB12" s="22">
        <f>'2017-18_working'!T12</f>
        <v>1</v>
      </c>
      <c r="AC12" s="22">
        <f>'2017-18_working'!U12</f>
        <v>3</v>
      </c>
      <c r="AD12" s="22">
        <f>'2017-18_working'!V12+'2017-18_working'!W12</f>
        <v>0</v>
      </c>
      <c r="AE12" s="22">
        <f>'2017-18_working'!X12</f>
        <v>0</v>
      </c>
      <c r="AF12" s="23">
        <f t="shared" si="11"/>
        <v>34.666666666666664</v>
      </c>
      <c r="AG12" s="22"/>
      <c r="AH12" s="22">
        <f>'2017-18_working'!Z12</f>
        <v>7</v>
      </c>
      <c r="AI12" s="22">
        <f>'2017-18_working'!AA12</f>
        <v>13</v>
      </c>
      <c r="AJ12" s="22">
        <f>'2017-18_working'!AB12</f>
        <v>14</v>
      </c>
      <c r="AK12" s="22">
        <f>'2017-18_working'!AC12</f>
        <v>7</v>
      </c>
      <c r="AL12" s="22">
        <f>'2017-18_working'!AD12+'2017-18_working'!AE12</f>
        <v>1</v>
      </c>
      <c r="AM12" s="22">
        <f>'2017-18_working'!AF12</f>
        <v>0</v>
      </c>
      <c r="AN12" s="23">
        <f t="shared" si="13"/>
        <v>35.86904761904762</v>
      </c>
      <c r="AO12" s="22"/>
      <c r="AP12" s="21">
        <f t="shared" si="14"/>
        <v>16</v>
      </c>
      <c r="AQ12" s="21">
        <f t="shared" si="15"/>
        <v>40</v>
      </c>
      <c r="AR12" s="21">
        <f t="shared" si="16"/>
        <v>24</v>
      </c>
      <c r="AS12" s="21">
        <f t="shared" si="17"/>
        <v>11</v>
      </c>
      <c r="AT12" s="21">
        <f t="shared" si="18"/>
        <v>1</v>
      </c>
      <c r="AU12" s="21">
        <f t="shared" si="19"/>
        <v>0</v>
      </c>
      <c r="AV12" s="23">
        <f t="shared" si="20"/>
        <v>33.733695652173914</v>
      </c>
      <c r="AW12" s="17"/>
      <c r="AX12" s="19">
        <f t="shared" si="26"/>
        <v>92</v>
      </c>
      <c r="AY12" s="19">
        <v>92</v>
      </c>
      <c r="AZ12" s="18">
        <f t="shared" si="27"/>
        <v>0</v>
      </c>
      <c r="BA12" s="17"/>
      <c r="BB12" s="17"/>
      <c r="BC12" s="17"/>
      <c r="BD12" s="17"/>
      <c r="BE12" s="17"/>
    </row>
    <row r="13" spans="1:58" s="7" customFormat="1" ht="15" customHeight="1" x14ac:dyDescent="0.35">
      <c r="A13" s="2" t="s">
        <v>18</v>
      </c>
      <c r="B13" s="22">
        <f>'2017-18_working'!B13</f>
        <v>2</v>
      </c>
      <c r="C13" s="22">
        <f>'2017-18_working'!C13</f>
        <v>7</v>
      </c>
      <c r="D13" s="22">
        <f>'2017-18_working'!D13</f>
        <v>2</v>
      </c>
      <c r="E13" s="22">
        <f>'2017-18_working'!E13</f>
        <v>0</v>
      </c>
      <c r="F13" s="22">
        <f>'2017-18_working'!F13+'2017-18_working'!G13</f>
        <v>0</v>
      </c>
      <c r="G13" s="22">
        <f>'2017-18_working'!H13</f>
        <v>0</v>
      </c>
      <c r="H13" s="23">
        <f t="shared" si="22"/>
        <v>30.09090909090909</v>
      </c>
      <c r="I13" s="22"/>
      <c r="J13" s="22">
        <f>'2017-18_working'!J13</f>
        <v>3</v>
      </c>
      <c r="K13" s="22">
        <f>'2017-18_working'!K13</f>
        <v>10</v>
      </c>
      <c r="L13" s="22">
        <f>'2017-18_working'!L13</f>
        <v>7</v>
      </c>
      <c r="M13" s="22">
        <f>'2017-18_working'!M13</f>
        <v>0</v>
      </c>
      <c r="N13" s="22">
        <f>'2017-18_working'!N13+'2017-18_working'!O13</f>
        <v>0</v>
      </c>
      <c r="O13" s="22">
        <f>'2017-18_working'!P13</f>
        <v>0</v>
      </c>
      <c r="P13" s="23">
        <f t="shared" si="2"/>
        <v>32.174999999999997</v>
      </c>
      <c r="Q13" s="22"/>
      <c r="R13" s="21">
        <f t="shared" si="3"/>
        <v>5</v>
      </c>
      <c r="S13" s="21">
        <f t="shared" si="4"/>
        <v>17</v>
      </c>
      <c r="T13" s="21">
        <f t="shared" si="5"/>
        <v>9</v>
      </c>
      <c r="U13" s="21">
        <f t="shared" si="6"/>
        <v>0</v>
      </c>
      <c r="V13" s="21">
        <f t="shared" si="7"/>
        <v>0</v>
      </c>
      <c r="W13" s="21">
        <f t="shared" si="8"/>
        <v>0</v>
      </c>
      <c r="X13" s="23">
        <f t="shared" si="9"/>
        <v>31.435483870967744</v>
      </c>
      <c r="Y13" s="22"/>
      <c r="Z13" s="22">
        <f>'2017-18_working'!R13</f>
        <v>0</v>
      </c>
      <c r="AA13" s="22">
        <f>'2017-18_working'!S13</f>
        <v>0</v>
      </c>
      <c r="AB13" s="22">
        <f>'2017-18_working'!T13</f>
        <v>0</v>
      </c>
      <c r="AC13" s="22">
        <f>'2017-18_working'!U13</f>
        <v>0</v>
      </c>
      <c r="AD13" s="22">
        <f>'2017-18_working'!V13+'2017-18_working'!W13</f>
        <v>0</v>
      </c>
      <c r="AE13" s="22">
        <f>'2017-18_working'!X13</f>
        <v>0</v>
      </c>
      <c r="AF13" s="23" t="str">
        <f t="shared" si="11"/>
        <v>-</v>
      </c>
      <c r="AG13" s="22"/>
      <c r="AH13" s="22">
        <f>'2017-18_working'!Z13</f>
        <v>2</v>
      </c>
      <c r="AI13" s="22">
        <f>'2017-18_working'!AA13</f>
        <v>3</v>
      </c>
      <c r="AJ13" s="22">
        <f>'2017-18_working'!AB13</f>
        <v>2</v>
      </c>
      <c r="AK13" s="22">
        <f>'2017-18_working'!AC13</f>
        <v>4</v>
      </c>
      <c r="AL13" s="22">
        <f>'2017-18_working'!AD13+'2017-18_working'!AE13</f>
        <v>2</v>
      </c>
      <c r="AM13" s="22">
        <f>'2017-18_working'!AF13</f>
        <v>0</v>
      </c>
      <c r="AN13" s="23">
        <f t="shared" si="13"/>
        <v>40.384615384615387</v>
      </c>
      <c r="AO13" s="22"/>
      <c r="AP13" s="21">
        <f t="shared" si="14"/>
        <v>7</v>
      </c>
      <c r="AQ13" s="21">
        <f t="shared" si="15"/>
        <v>20</v>
      </c>
      <c r="AR13" s="21">
        <f t="shared" si="16"/>
        <v>11</v>
      </c>
      <c r="AS13" s="21">
        <f t="shared" si="17"/>
        <v>4</v>
      </c>
      <c r="AT13" s="21">
        <f t="shared" si="18"/>
        <v>2</v>
      </c>
      <c r="AU13" s="21">
        <f t="shared" si="19"/>
        <v>0</v>
      </c>
      <c r="AV13" s="23">
        <f t="shared" si="20"/>
        <v>34.079545454545453</v>
      </c>
      <c r="AW13" s="17"/>
      <c r="AX13" s="19">
        <f t="shared" si="26"/>
        <v>44</v>
      </c>
      <c r="AY13" s="19">
        <v>44</v>
      </c>
      <c r="AZ13" s="18">
        <f t="shared" si="27"/>
        <v>0</v>
      </c>
      <c r="BA13" s="17"/>
      <c r="BB13" s="17"/>
      <c r="BC13" s="17"/>
      <c r="BD13" s="17"/>
      <c r="BE13" s="17"/>
    </row>
    <row r="14" spans="1:58" s="7" customFormat="1" ht="15" customHeight="1" x14ac:dyDescent="0.35">
      <c r="A14" s="2" t="s">
        <v>19</v>
      </c>
      <c r="B14" s="22">
        <f>'2017-18_working'!B14</f>
        <v>2</v>
      </c>
      <c r="C14" s="22">
        <f>'2017-18_working'!C14</f>
        <v>4</v>
      </c>
      <c r="D14" s="22">
        <f>'2017-18_working'!D14</f>
        <v>1</v>
      </c>
      <c r="E14" s="22">
        <f>'2017-18_working'!E14</f>
        <v>0</v>
      </c>
      <c r="F14" s="22">
        <f>'2017-18_working'!F14+'2017-18_working'!G14</f>
        <v>0</v>
      </c>
      <c r="G14" s="22">
        <f>'2017-18_working'!H14</f>
        <v>0</v>
      </c>
      <c r="H14" s="23">
        <f t="shared" si="22"/>
        <v>28.642857142857139</v>
      </c>
      <c r="I14" s="22"/>
      <c r="J14" s="22">
        <f>'2017-18_working'!J14</f>
        <v>7</v>
      </c>
      <c r="K14" s="22">
        <f>'2017-18_working'!K14</f>
        <v>13</v>
      </c>
      <c r="L14" s="22">
        <f>'2017-18_working'!L14</f>
        <v>7</v>
      </c>
      <c r="M14" s="22">
        <f>'2017-18_working'!M14</f>
        <v>2</v>
      </c>
      <c r="N14" s="22">
        <f>'2017-18_working'!N14+'2017-18_working'!O14</f>
        <v>1</v>
      </c>
      <c r="O14" s="22">
        <f>'2017-18_working'!P14</f>
        <v>0</v>
      </c>
      <c r="P14" s="23">
        <f t="shared" si="2"/>
        <v>32.35</v>
      </c>
      <c r="Q14" s="22"/>
      <c r="R14" s="21">
        <f t="shared" si="3"/>
        <v>9</v>
      </c>
      <c r="S14" s="21">
        <f t="shared" si="4"/>
        <v>17</v>
      </c>
      <c r="T14" s="21">
        <f t="shared" si="5"/>
        <v>8</v>
      </c>
      <c r="U14" s="21">
        <f t="shared" si="6"/>
        <v>2</v>
      </c>
      <c r="V14" s="21">
        <f t="shared" si="7"/>
        <v>1</v>
      </c>
      <c r="W14" s="21">
        <f t="shared" si="8"/>
        <v>0</v>
      </c>
      <c r="X14" s="23">
        <f t="shared" si="9"/>
        <v>31.648648648648649</v>
      </c>
      <c r="Y14" s="22"/>
      <c r="Z14" s="22">
        <f>'2017-18_working'!R14</f>
        <v>4</v>
      </c>
      <c r="AA14" s="22">
        <f>'2017-18_working'!S14</f>
        <v>3</v>
      </c>
      <c r="AB14" s="22">
        <f>'2017-18_working'!T14</f>
        <v>2</v>
      </c>
      <c r="AC14" s="22">
        <f>'2017-18_working'!U14</f>
        <v>0</v>
      </c>
      <c r="AD14" s="22">
        <f>'2017-18_working'!V14+'2017-18_working'!W14</f>
        <v>0</v>
      </c>
      <c r="AE14" s="22">
        <f>'2017-18_working'!X14</f>
        <v>0</v>
      </c>
      <c r="AF14" s="23">
        <f t="shared" si="11"/>
        <v>27.888888888888889</v>
      </c>
      <c r="AG14" s="22"/>
      <c r="AH14" s="22">
        <f>'2017-18_working'!Z14</f>
        <v>11</v>
      </c>
      <c r="AI14" s="22">
        <f>'2017-18_working'!AA14</f>
        <v>8</v>
      </c>
      <c r="AJ14" s="22">
        <f>'2017-18_working'!AB14</f>
        <v>4</v>
      </c>
      <c r="AK14" s="22">
        <f>'2017-18_working'!AC14</f>
        <v>1</v>
      </c>
      <c r="AL14" s="22">
        <f>'2017-18_working'!AD14+'2017-18_working'!AE14</f>
        <v>0</v>
      </c>
      <c r="AM14" s="22">
        <f>'2017-18_working'!AF14</f>
        <v>0</v>
      </c>
      <c r="AN14" s="23">
        <f t="shared" si="13"/>
        <v>28.020833333333332</v>
      </c>
      <c r="AO14" s="22"/>
      <c r="AP14" s="21">
        <f t="shared" si="14"/>
        <v>24</v>
      </c>
      <c r="AQ14" s="21">
        <f t="shared" si="15"/>
        <v>28</v>
      </c>
      <c r="AR14" s="21">
        <f t="shared" si="16"/>
        <v>14</v>
      </c>
      <c r="AS14" s="21">
        <f t="shared" si="17"/>
        <v>3</v>
      </c>
      <c r="AT14" s="21">
        <f t="shared" si="18"/>
        <v>1</v>
      </c>
      <c r="AU14" s="21">
        <f t="shared" si="19"/>
        <v>0</v>
      </c>
      <c r="AV14" s="23">
        <f t="shared" si="20"/>
        <v>29.921428571428571</v>
      </c>
      <c r="AW14" s="17"/>
      <c r="AX14" s="19">
        <f t="shared" si="26"/>
        <v>70</v>
      </c>
      <c r="AY14" s="19">
        <v>70</v>
      </c>
      <c r="AZ14" s="18">
        <f t="shared" si="27"/>
        <v>0</v>
      </c>
      <c r="BA14" s="17"/>
      <c r="BB14" s="17"/>
      <c r="BC14" s="17"/>
      <c r="BD14" s="17"/>
      <c r="BE14" s="17"/>
    </row>
    <row r="15" spans="1:58" s="7" customFormat="1" ht="15" customHeight="1" x14ac:dyDescent="0.35">
      <c r="A15" s="2" t="s">
        <v>20</v>
      </c>
      <c r="B15" s="22">
        <f>'2017-18_working'!B15</f>
        <v>7</v>
      </c>
      <c r="C15" s="22">
        <f>'2017-18_working'!C15</f>
        <v>8</v>
      </c>
      <c r="D15" s="22">
        <f>'2017-18_working'!D15</f>
        <v>3</v>
      </c>
      <c r="E15" s="22">
        <f>'2017-18_working'!E15</f>
        <v>1</v>
      </c>
      <c r="F15" s="22">
        <f>'2017-18_working'!F15+'2017-18_working'!G15</f>
        <v>0</v>
      </c>
      <c r="G15" s="22">
        <f>'2017-18_working'!H15</f>
        <v>0</v>
      </c>
      <c r="H15" s="23">
        <f t="shared" si="22"/>
        <v>29.05263157894737</v>
      </c>
      <c r="I15" s="22"/>
      <c r="J15" s="22">
        <f>'2017-18_working'!J15</f>
        <v>4</v>
      </c>
      <c r="K15" s="22">
        <f>'2017-18_working'!K15</f>
        <v>12</v>
      </c>
      <c r="L15" s="22">
        <f>'2017-18_working'!L15</f>
        <v>4</v>
      </c>
      <c r="M15" s="22">
        <f>'2017-18_working'!M15</f>
        <v>1</v>
      </c>
      <c r="N15" s="22">
        <f>'2017-18_working'!N15+'2017-18_working'!O15</f>
        <v>0</v>
      </c>
      <c r="O15" s="22">
        <f>'2017-18_working'!P15</f>
        <v>0</v>
      </c>
      <c r="P15" s="23">
        <f t="shared" si="2"/>
        <v>31.071428571428569</v>
      </c>
      <c r="Q15" s="22"/>
      <c r="R15" s="21">
        <f t="shared" si="3"/>
        <v>11</v>
      </c>
      <c r="S15" s="21">
        <f t="shared" si="4"/>
        <v>20</v>
      </c>
      <c r="T15" s="21">
        <f t="shared" si="5"/>
        <v>7</v>
      </c>
      <c r="U15" s="21">
        <f t="shared" si="6"/>
        <v>2</v>
      </c>
      <c r="V15" s="21">
        <f t="shared" si="7"/>
        <v>0</v>
      </c>
      <c r="W15" s="21">
        <f t="shared" si="8"/>
        <v>0</v>
      </c>
      <c r="X15" s="23">
        <f t="shared" si="9"/>
        <v>30.112499999999997</v>
      </c>
      <c r="Y15" s="22"/>
      <c r="Z15" s="22">
        <f>'2017-18_working'!R15</f>
        <v>0</v>
      </c>
      <c r="AA15" s="22">
        <f>'2017-18_working'!S15</f>
        <v>0</v>
      </c>
      <c r="AB15" s="22">
        <f>'2017-18_working'!T15</f>
        <v>0</v>
      </c>
      <c r="AC15" s="22">
        <f>'2017-18_working'!U15</f>
        <v>0</v>
      </c>
      <c r="AD15" s="22">
        <f>'2017-18_working'!V15+'2017-18_working'!W15</f>
        <v>0</v>
      </c>
      <c r="AE15" s="22">
        <f>'2017-18_working'!X15</f>
        <v>0</v>
      </c>
      <c r="AF15" s="23" t="str">
        <f t="shared" si="11"/>
        <v>-</v>
      </c>
      <c r="AG15" s="22"/>
      <c r="AH15" s="22">
        <f>'2017-18_working'!Z15</f>
        <v>11</v>
      </c>
      <c r="AI15" s="22">
        <f>'2017-18_working'!AA15</f>
        <v>11</v>
      </c>
      <c r="AJ15" s="22">
        <f>'2017-18_working'!AB15</f>
        <v>8</v>
      </c>
      <c r="AK15" s="22">
        <f>'2017-18_working'!AC15</f>
        <v>3</v>
      </c>
      <c r="AL15" s="22">
        <f>'2017-18_working'!AD15+'2017-18_working'!AE15</f>
        <v>5</v>
      </c>
      <c r="AM15" s="22">
        <f>'2017-18_working'!AF15</f>
        <v>0</v>
      </c>
      <c r="AN15" s="23">
        <f t="shared" si="13"/>
        <v>34.35526315789474</v>
      </c>
      <c r="AO15" s="22"/>
      <c r="AP15" s="21">
        <f t="shared" si="14"/>
        <v>22</v>
      </c>
      <c r="AQ15" s="21">
        <f t="shared" si="15"/>
        <v>31</v>
      </c>
      <c r="AR15" s="21">
        <f t="shared" si="16"/>
        <v>15</v>
      </c>
      <c r="AS15" s="21">
        <f t="shared" si="17"/>
        <v>5</v>
      </c>
      <c r="AT15" s="21">
        <f t="shared" si="18"/>
        <v>5</v>
      </c>
      <c r="AU15" s="21">
        <f t="shared" si="19"/>
        <v>0</v>
      </c>
      <c r="AV15" s="23">
        <f t="shared" si="20"/>
        <v>32.179487179487175</v>
      </c>
      <c r="AW15" s="17"/>
      <c r="AX15" s="19">
        <f t="shared" si="26"/>
        <v>78</v>
      </c>
      <c r="AY15" s="19">
        <v>78</v>
      </c>
      <c r="AZ15" s="18">
        <f t="shared" si="27"/>
        <v>0</v>
      </c>
      <c r="BA15" s="17"/>
      <c r="BB15" s="17"/>
      <c r="BC15" s="17"/>
      <c r="BD15" s="17"/>
      <c r="BE15" s="17"/>
    </row>
    <row r="16" spans="1:58" s="7" customFormat="1" ht="15" customHeight="1" x14ac:dyDescent="0.35">
      <c r="A16" s="2" t="s">
        <v>21</v>
      </c>
      <c r="B16" s="22">
        <f>'2017-18_working'!B16</f>
        <v>5</v>
      </c>
      <c r="C16" s="22">
        <f>'2017-18_working'!C16</f>
        <v>13</v>
      </c>
      <c r="D16" s="22">
        <f>'2017-18_working'!D16</f>
        <v>3</v>
      </c>
      <c r="E16" s="22">
        <f>'2017-18_working'!E16</f>
        <v>0</v>
      </c>
      <c r="F16" s="22">
        <f>'2017-18_working'!F16+'2017-18_working'!G16</f>
        <v>1</v>
      </c>
      <c r="G16" s="22">
        <f>'2017-18_working'!H16</f>
        <v>0</v>
      </c>
      <c r="H16" s="23">
        <f t="shared" si="22"/>
        <v>30.340909090909093</v>
      </c>
      <c r="I16" s="22"/>
      <c r="J16" s="22">
        <f>'2017-18_working'!J16</f>
        <v>2</v>
      </c>
      <c r="K16" s="22">
        <f>'2017-18_working'!K16</f>
        <v>7</v>
      </c>
      <c r="L16" s="22">
        <f>'2017-18_working'!L16</f>
        <v>2</v>
      </c>
      <c r="M16" s="22">
        <f>'2017-18_working'!M16</f>
        <v>0</v>
      </c>
      <c r="N16" s="22">
        <f>'2017-18_working'!N16+'2017-18_working'!O16</f>
        <v>0</v>
      </c>
      <c r="O16" s="22">
        <f>'2017-18_working'!P16</f>
        <v>0</v>
      </c>
      <c r="P16" s="23">
        <f t="shared" si="2"/>
        <v>30.09090909090909</v>
      </c>
      <c r="Q16" s="22"/>
      <c r="R16" s="21">
        <f t="shared" si="3"/>
        <v>7</v>
      </c>
      <c r="S16" s="21">
        <f t="shared" si="4"/>
        <v>20</v>
      </c>
      <c r="T16" s="21">
        <f t="shared" si="5"/>
        <v>5</v>
      </c>
      <c r="U16" s="21">
        <f t="shared" si="6"/>
        <v>0</v>
      </c>
      <c r="V16" s="21">
        <f t="shared" si="7"/>
        <v>1</v>
      </c>
      <c r="W16" s="21">
        <f t="shared" si="8"/>
        <v>0</v>
      </c>
      <c r="X16" s="23">
        <f t="shared" si="9"/>
        <v>30.257575757575758</v>
      </c>
      <c r="Y16" s="22"/>
      <c r="Z16" s="22">
        <f>'2017-18_working'!R16</f>
        <v>0</v>
      </c>
      <c r="AA16" s="22">
        <f>'2017-18_working'!S16</f>
        <v>0</v>
      </c>
      <c r="AB16" s="22">
        <f>'2017-18_working'!T16</f>
        <v>1</v>
      </c>
      <c r="AC16" s="22">
        <f>'2017-18_working'!U16</f>
        <v>0</v>
      </c>
      <c r="AD16" s="22">
        <f>'2017-18_working'!V16+'2017-18_working'!W16</f>
        <v>0</v>
      </c>
      <c r="AE16" s="22">
        <f>'2017-18_working'!X16</f>
        <v>0</v>
      </c>
      <c r="AF16" s="23">
        <f t="shared" si="11"/>
        <v>40.5</v>
      </c>
      <c r="AG16" s="22"/>
      <c r="AH16" s="22">
        <f>'2017-18_working'!Z16</f>
        <v>1</v>
      </c>
      <c r="AI16" s="22">
        <f>'2017-18_working'!AA16</f>
        <v>6</v>
      </c>
      <c r="AJ16" s="22">
        <f>'2017-18_working'!AB16</f>
        <v>3</v>
      </c>
      <c r="AK16" s="22">
        <f>'2017-18_working'!AC16</f>
        <v>2</v>
      </c>
      <c r="AL16" s="22">
        <f>'2017-18_working'!AD16+'2017-18_working'!AE16</f>
        <v>1</v>
      </c>
      <c r="AM16" s="22">
        <f>'2017-18_working'!AF16</f>
        <v>0</v>
      </c>
      <c r="AN16" s="23">
        <f t="shared" si="13"/>
        <v>36.807692307692307</v>
      </c>
      <c r="AO16" s="22"/>
      <c r="AP16" s="21">
        <f t="shared" si="14"/>
        <v>8</v>
      </c>
      <c r="AQ16" s="21">
        <f t="shared" si="15"/>
        <v>26</v>
      </c>
      <c r="AR16" s="21">
        <f t="shared" si="16"/>
        <v>9</v>
      </c>
      <c r="AS16" s="21">
        <f t="shared" si="17"/>
        <v>2</v>
      </c>
      <c r="AT16" s="21">
        <f t="shared" si="18"/>
        <v>2</v>
      </c>
      <c r="AU16" s="21">
        <f t="shared" si="19"/>
        <v>0</v>
      </c>
      <c r="AV16" s="23">
        <f t="shared" si="20"/>
        <v>32.287234042553195</v>
      </c>
      <c r="AW16" s="17"/>
      <c r="AX16" s="19">
        <f t="shared" si="26"/>
        <v>47</v>
      </c>
      <c r="AY16" s="19">
        <v>47</v>
      </c>
      <c r="AZ16" s="18">
        <f t="shared" si="27"/>
        <v>0</v>
      </c>
      <c r="BA16" s="17"/>
      <c r="BB16" s="17"/>
      <c r="BC16" s="17"/>
      <c r="BD16" s="17"/>
      <c r="BE16" s="17"/>
    </row>
    <row r="17" spans="1:57" s="7" customFormat="1" ht="15" customHeight="1" x14ac:dyDescent="0.35">
      <c r="A17" s="2" t="s">
        <v>22</v>
      </c>
      <c r="B17" s="22">
        <f>'2017-18_working'!B17</f>
        <v>0</v>
      </c>
      <c r="C17" s="22">
        <f>'2017-18_working'!C17</f>
        <v>4</v>
      </c>
      <c r="D17" s="22">
        <f>'2017-18_working'!D17</f>
        <v>1</v>
      </c>
      <c r="E17" s="22">
        <f>'2017-18_working'!E17</f>
        <v>0</v>
      </c>
      <c r="F17" s="22">
        <f>'2017-18_working'!F17+'2017-18_working'!G17</f>
        <v>0</v>
      </c>
      <c r="G17" s="22">
        <f>'2017-18_working'!H17</f>
        <v>0</v>
      </c>
      <c r="H17" s="23">
        <f t="shared" si="22"/>
        <v>32.1</v>
      </c>
      <c r="I17" s="22"/>
      <c r="J17" s="22">
        <f>'2017-18_working'!J17</f>
        <v>2</v>
      </c>
      <c r="K17" s="22">
        <f>'2017-18_working'!K17</f>
        <v>11</v>
      </c>
      <c r="L17" s="22">
        <f>'2017-18_working'!L17</f>
        <v>6</v>
      </c>
      <c r="M17" s="22">
        <f>'2017-18_working'!M17</f>
        <v>2</v>
      </c>
      <c r="N17" s="22">
        <f>'2017-18_working'!N17+'2017-18_working'!O17</f>
        <v>2</v>
      </c>
      <c r="O17" s="22">
        <f>'2017-18_working'!P17</f>
        <v>0</v>
      </c>
      <c r="P17" s="23">
        <f t="shared" si="2"/>
        <v>35.913043478260867</v>
      </c>
      <c r="Q17" s="22"/>
      <c r="R17" s="21">
        <f t="shared" si="3"/>
        <v>2</v>
      </c>
      <c r="S17" s="21">
        <f t="shared" si="4"/>
        <v>15</v>
      </c>
      <c r="T17" s="21">
        <f t="shared" si="5"/>
        <v>7</v>
      </c>
      <c r="U17" s="21">
        <f t="shared" si="6"/>
        <v>2</v>
      </c>
      <c r="V17" s="21">
        <f t="shared" si="7"/>
        <v>2</v>
      </c>
      <c r="W17" s="21">
        <f t="shared" si="8"/>
        <v>0</v>
      </c>
      <c r="X17" s="23">
        <f t="shared" si="9"/>
        <v>35.232142857142854</v>
      </c>
      <c r="Y17" s="22"/>
      <c r="Z17" s="22">
        <f>'2017-18_working'!R17</f>
        <v>1</v>
      </c>
      <c r="AA17" s="22">
        <f>'2017-18_working'!S17</f>
        <v>2</v>
      </c>
      <c r="AB17" s="22">
        <f>'2017-18_working'!T17</f>
        <v>0</v>
      </c>
      <c r="AC17" s="22">
        <f>'2017-18_working'!U17</f>
        <v>0</v>
      </c>
      <c r="AD17" s="22">
        <f>'2017-18_working'!V17+'2017-18_working'!W17</f>
        <v>0</v>
      </c>
      <c r="AE17" s="22">
        <f>'2017-18_working'!X17</f>
        <v>0</v>
      </c>
      <c r="AF17" s="23">
        <f t="shared" si="11"/>
        <v>26.666666666666664</v>
      </c>
      <c r="AG17" s="22"/>
      <c r="AH17" s="22">
        <f>'2017-18_working'!Z17</f>
        <v>1</v>
      </c>
      <c r="AI17" s="22">
        <f>'2017-18_working'!AA17</f>
        <v>3</v>
      </c>
      <c r="AJ17" s="22">
        <f>'2017-18_working'!AB17</f>
        <v>2</v>
      </c>
      <c r="AK17" s="22">
        <f>'2017-18_working'!AC17</f>
        <v>0</v>
      </c>
      <c r="AL17" s="22">
        <f>'2017-18_working'!AD17+'2017-18_working'!AE17</f>
        <v>1</v>
      </c>
      <c r="AM17" s="22">
        <f>'2017-18_working'!AF17</f>
        <v>0</v>
      </c>
      <c r="AN17" s="23">
        <f t="shared" si="13"/>
        <v>35.285714285714285</v>
      </c>
      <c r="AO17" s="22"/>
      <c r="AP17" s="21">
        <f t="shared" si="14"/>
        <v>4</v>
      </c>
      <c r="AQ17" s="21">
        <f t="shared" si="15"/>
        <v>20</v>
      </c>
      <c r="AR17" s="21">
        <f t="shared" si="16"/>
        <v>9</v>
      </c>
      <c r="AS17" s="21">
        <f t="shared" si="17"/>
        <v>2</v>
      </c>
      <c r="AT17" s="21">
        <f t="shared" si="18"/>
        <v>3</v>
      </c>
      <c r="AU17" s="21">
        <f t="shared" si="19"/>
        <v>0</v>
      </c>
      <c r="AV17" s="23">
        <f t="shared" si="20"/>
        <v>34.565789473684212</v>
      </c>
      <c r="AW17" s="17"/>
      <c r="AX17" s="19">
        <f t="shared" si="26"/>
        <v>38</v>
      </c>
      <c r="AY17" s="19">
        <v>38</v>
      </c>
      <c r="AZ17" s="18">
        <f t="shared" si="27"/>
        <v>0</v>
      </c>
      <c r="BA17" s="17"/>
      <c r="BB17" s="17"/>
      <c r="BC17" s="17"/>
      <c r="BD17" s="17"/>
      <c r="BE17" s="17"/>
    </row>
    <row r="18" spans="1:57" s="7" customFormat="1" ht="15" customHeight="1" x14ac:dyDescent="0.35">
      <c r="A18" s="2" t="s">
        <v>23</v>
      </c>
      <c r="B18" s="22">
        <f>'2017-18_working'!B18</f>
        <v>0</v>
      </c>
      <c r="C18" s="22">
        <f>'2017-18_working'!C18</f>
        <v>0</v>
      </c>
      <c r="D18" s="22">
        <f>'2017-18_working'!D18</f>
        <v>1</v>
      </c>
      <c r="E18" s="22">
        <f>'2017-18_working'!E18</f>
        <v>0</v>
      </c>
      <c r="F18" s="22">
        <f>'2017-18_working'!F18+'2017-18_working'!G18</f>
        <v>0</v>
      </c>
      <c r="G18" s="22">
        <f>'2017-18_working'!H18</f>
        <v>0</v>
      </c>
      <c r="H18" s="23">
        <f t="shared" si="22"/>
        <v>40.5</v>
      </c>
      <c r="I18" s="22"/>
      <c r="J18" s="22">
        <f>'2017-18_working'!J18</f>
        <v>11</v>
      </c>
      <c r="K18" s="22">
        <f>'2017-18_working'!K18</f>
        <v>9</v>
      </c>
      <c r="L18" s="22">
        <f>'2017-18_working'!L18</f>
        <v>13</v>
      </c>
      <c r="M18" s="22">
        <f>'2017-18_working'!M18</f>
        <v>1</v>
      </c>
      <c r="N18" s="22">
        <f>'2017-18_working'!N18+'2017-18_working'!O18</f>
        <v>0</v>
      </c>
      <c r="O18" s="22">
        <f>'2017-18_working'!P18</f>
        <v>0</v>
      </c>
      <c r="P18" s="23">
        <f t="shared" si="2"/>
        <v>31.382352941176471</v>
      </c>
      <c r="Q18" s="22"/>
      <c r="R18" s="21">
        <f t="shared" si="3"/>
        <v>11</v>
      </c>
      <c r="S18" s="21">
        <f t="shared" si="4"/>
        <v>9</v>
      </c>
      <c r="T18" s="21">
        <f t="shared" si="5"/>
        <v>14</v>
      </c>
      <c r="U18" s="21">
        <f t="shared" si="6"/>
        <v>1</v>
      </c>
      <c r="V18" s="21">
        <f t="shared" si="7"/>
        <v>0</v>
      </c>
      <c r="W18" s="21">
        <f t="shared" si="8"/>
        <v>0</v>
      </c>
      <c r="X18" s="23">
        <f t="shared" si="9"/>
        <v>31.642857142857142</v>
      </c>
      <c r="Y18" s="22"/>
      <c r="Z18" s="22">
        <f>'2017-18_working'!R18</f>
        <v>0</v>
      </c>
      <c r="AA18" s="22">
        <f>'2017-18_working'!S18</f>
        <v>0</v>
      </c>
      <c r="AB18" s="22">
        <f>'2017-18_working'!T18</f>
        <v>0</v>
      </c>
      <c r="AC18" s="22">
        <f>'2017-18_working'!U18</f>
        <v>0</v>
      </c>
      <c r="AD18" s="22">
        <f>'2017-18_working'!V18+'2017-18_working'!W18</f>
        <v>0</v>
      </c>
      <c r="AE18" s="22">
        <f>'2017-18_working'!X18</f>
        <v>0</v>
      </c>
      <c r="AF18" s="23" t="str">
        <f t="shared" si="11"/>
        <v>-</v>
      </c>
      <c r="AG18" s="22"/>
      <c r="AH18" s="22">
        <f>'2017-18_working'!Z18</f>
        <v>0</v>
      </c>
      <c r="AI18" s="22">
        <f>'2017-18_working'!AA18</f>
        <v>1</v>
      </c>
      <c r="AJ18" s="22">
        <f>'2017-18_working'!AB18</f>
        <v>0</v>
      </c>
      <c r="AK18" s="22">
        <f>'2017-18_working'!AC18</f>
        <v>0</v>
      </c>
      <c r="AL18" s="22">
        <f>'2017-18_working'!AD18+'2017-18_working'!AE18</f>
        <v>0</v>
      </c>
      <c r="AM18" s="22">
        <f>'2017-18_working'!AF18</f>
        <v>0</v>
      </c>
      <c r="AN18" s="23">
        <f t="shared" si="13"/>
        <v>30</v>
      </c>
      <c r="AO18" s="22"/>
      <c r="AP18" s="21">
        <f t="shared" si="14"/>
        <v>11</v>
      </c>
      <c r="AQ18" s="21">
        <f t="shared" si="15"/>
        <v>10</v>
      </c>
      <c r="AR18" s="21">
        <f t="shared" si="16"/>
        <v>14</v>
      </c>
      <c r="AS18" s="21">
        <f t="shared" si="17"/>
        <v>1</v>
      </c>
      <c r="AT18" s="21">
        <f t="shared" si="18"/>
        <v>0</v>
      </c>
      <c r="AU18" s="21">
        <f t="shared" si="19"/>
        <v>0</v>
      </c>
      <c r="AV18" s="23">
        <f t="shared" si="20"/>
        <v>31.597222222222225</v>
      </c>
      <c r="AW18" s="17"/>
      <c r="AX18" s="19">
        <f t="shared" si="26"/>
        <v>36</v>
      </c>
      <c r="AY18" s="19">
        <v>36</v>
      </c>
      <c r="AZ18" s="18">
        <f t="shared" si="27"/>
        <v>0</v>
      </c>
      <c r="BA18" s="17"/>
      <c r="BB18" s="17"/>
      <c r="BC18" s="17"/>
      <c r="BD18" s="17"/>
      <c r="BE18" s="17"/>
    </row>
    <row r="19" spans="1:57" s="7" customFormat="1" ht="15" customHeight="1" x14ac:dyDescent="0.35">
      <c r="A19" s="24" t="s">
        <v>24</v>
      </c>
      <c r="B19" s="22">
        <f>'2017-18_working'!B19</f>
        <v>0</v>
      </c>
      <c r="C19" s="22">
        <f>'2017-18_working'!C19</f>
        <v>2</v>
      </c>
      <c r="D19" s="22">
        <f>'2017-18_working'!D19</f>
        <v>0</v>
      </c>
      <c r="E19" s="22">
        <f>'2017-18_working'!E19</f>
        <v>1</v>
      </c>
      <c r="F19" s="22">
        <f>'2017-18_working'!F19+'2017-18_working'!G19</f>
        <v>0</v>
      </c>
      <c r="G19" s="22">
        <f>'2017-18_working'!H19</f>
        <v>0</v>
      </c>
      <c r="H19" s="23">
        <f t="shared" si="22"/>
        <v>36.833333333333329</v>
      </c>
      <c r="I19" s="22"/>
      <c r="J19" s="22">
        <f>'2017-18_working'!J19</f>
        <v>11</v>
      </c>
      <c r="K19" s="22">
        <f>'2017-18_working'!K19</f>
        <v>11</v>
      </c>
      <c r="L19" s="22">
        <f>'2017-18_working'!L19</f>
        <v>4</v>
      </c>
      <c r="M19" s="22">
        <f>'2017-18_working'!M19</f>
        <v>1</v>
      </c>
      <c r="N19" s="22">
        <f>'2017-18_working'!N19+'2017-18_working'!O19</f>
        <v>1</v>
      </c>
      <c r="O19" s="22">
        <f>'2017-18_working'!P19</f>
        <v>0</v>
      </c>
      <c r="P19" s="23">
        <f t="shared" si="2"/>
        <v>29.232142857142854</v>
      </c>
      <c r="Q19" s="22"/>
      <c r="R19" s="21">
        <f t="shared" si="3"/>
        <v>11</v>
      </c>
      <c r="S19" s="21">
        <f t="shared" si="4"/>
        <v>13</v>
      </c>
      <c r="T19" s="21">
        <f t="shared" si="5"/>
        <v>4</v>
      </c>
      <c r="U19" s="21">
        <f t="shared" si="6"/>
        <v>2</v>
      </c>
      <c r="V19" s="21">
        <f t="shared" si="7"/>
        <v>1</v>
      </c>
      <c r="W19" s="21">
        <f t="shared" si="8"/>
        <v>0</v>
      </c>
      <c r="X19" s="23">
        <f t="shared" si="9"/>
        <v>29.967741935483872</v>
      </c>
      <c r="Y19" s="22"/>
      <c r="Z19" s="22">
        <f>'2017-18_working'!R19</f>
        <v>1</v>
      </c>
      <c r="AA19" s="22">
        <f>'2017-18_working'!S19</f>
        <v>2</v>
      </c>
      <c r="AB19" s="22">
        <f>'2017-18_working'!T19</f>
        <v>1</v>
      </c>
      <c r="AC19" s="22">
        <f>'2017-18_working'!U19</f>
        <v>0</v>
      </c>
      <c r="AD19" s="22">
        <f>'2017-18_working'!V19+'2017-18_working'!W19</f>
        <v>0</v>
      </c>
      <c r="AE19" s="22">
        <f>'2017-18_working'!X19</f>
        <v>0</v>
      </c>
      <c r="AF19" s="23">
        <f t="shared" si="11"/>
        <v>30.125</v>
      </c>
      <c r="AG19" s="22"/>
      <c r="AH19" s="22">
        <f>'2017-18_working'!Z19</f>
        <v>2</v>
      </c>
      <c r="AI19" s="22">
        <f>'2017-18_working'!AA19</f>
        <v>3</v>
      </c>
      <c r="AJ19" s="22">
        <f>'2017-18_working'!AB19</f>
        <v>3</v>
      </c>
      <c r="AK19" s="22">
        <f>'2017-18_working'!AC19</f>
        <v>5</v>
      </c>
      <c r="AL19" s="22">
        <f>'2017-18_working'!AD19+'2017-18_working'!AE19</f>
        <v>1</v>
      </c>
      <c r="AM19" s="22">
        <f>'2017-18_working'!AF19</f>
        <v>0</v>
      </c>
      <c r="AN19" s="23">
        <f t="shared" si="13"/>
        <v>40</v>
      </c>
      <c r="AO19" s="22"/>
      <c r="AP19" s="21">
        <f t="shared" si="14"/>
        <v>14</v>
      </c>
      <c r="AQ19" s="21">
        <f t="shared" si="15"/>
        <v>18</v>
      </c>
      <c r="AR19" s="21">
        <f t="shared" si="16"/>
        <v>8</v>
      </c>
      <c r="AS19" s="21">
        <f t="shared" si="17"/>
        <v>7</v>
      </c>
      <c r="AT19" s="21">
        <f t="shared" si="18"/>
        <v>2</v>
      </c>
      <c r="AU19" s="21">
        <f t="shared" si="19"/>
        <v>0</v>
      </c>
      <c r="AV19" s="23">
        <f t="shared" si="20"/>
        <v>32.846938775510203</v>
      </c>
      <c r="AW19" s="17"/>
      <c r="AX19" s="19">
        <f t="shared" si="26"/>
        <v>49</v>
      </c>
      <c r="AY19" s="19">
        <v>49</v>
      </c>
      <c r="AZ19" s="18">
        <f t="shared" si="27"/>
        <v>0</v>
      </c>
      <c r="BA19" s="17"/>
      <c r="BB19" s="17"/>
      <c r="BC19" s="17"/>
      <c r="BD19" s="17"/>
      <c r="BE19" s="17"/>
    </row>
    <row r="20" spans="1:57" s="7" customFormat="1" ht="15" customHeight="1" x14ac:dyDescent="0.35">
      <c r="A20" s="24" t="s">
        <v>25</v>
      </c>
      <c r="B20" s="22">
        <f>'2017-18_working'!B20</f>
        <v>4</v>
      </c>
      <c r="C20" s="22">
        <f>'2017-18_working'!C20</f>
        <v>23</v>
      </c>
      <c r="D20" s="22">
        <f>'2017-18_working'!D20</f>
        <v>6</v>
      </c>
      <c r="E20" s="22">
        <f>'2017-18_working'!E20</f>
        <v>2</v>
      </c>
      <c r="F20" s="22">
        <f>'2017-18_working'!F20+'2017-18_working'!G20</f>
        <v>0</v>
      </c>
      <c r="G20" s="22">
        <f>'2017-18_working'!H20</f>
        <v>0</v>
      </c>
      <c r="H20" s="23">
        <f t="shared" si="22"/>
        <v>31.828571428571429</v>
      </c>
      <c r="I20" s="22"/>
      <c r="J20" s="22">
        <f>'2017-18_working'!J20</f>
        <v>18</v>
      </c>
      <c r="K20" s="22">
        <f>'2017-18_working'!K20</f>
        <v>54</v>
      </c>
      <c r="L20" s="22">
        <f>'2017-18_working'!L20</f>
        <v>28</v>
      </c>
      <c r="M20" s="22">
        <f>'2017-18_working'!M20</f>
        <v>8</v>
      </c>
      <c r="N20" s="22">
        <f>'2017-18_working'!N20+'2017-18_working'!O20</f>
        <v>0</v>
      </c>
      <c r="O20" s="22">
        <f>'2017-18_working'!P20</f>
        <v>0</v>
      </c>
      <c r="P20" s="23">
        <f t="shared" si="2"/>
        <v>32.574074074074076</v>
      </c>
      <c r="Q20" s="22"/>
      <c r="R20" s="21">
        <f t="shared" si="3"/>
        <v>22</v>
      </c>
      <c r="S20" s="21">
        <f t="shared" si="4"/>
        <v>77</v>
      </c>
      <c r="T20" s="21">
        <f t="shared" si="5"/>
        <v>34</v>
      </c>
      <c r="U20" s="21">
        <f t="shared" si="6"/>
        <v>10</v>
      </c>
      <c r="V20" s="21">
        <f t="shared" si="7"/>
        <v>0</v>
      </c>
      <c r="W20" s="21">
        <f t="shared" si="8"/>
        <v>0</v>
      </c>
      <c r="X20" s="23">
        <f t="shared" si="9"/>
        <v>32.391608391608393</v>
      </c>
      <c r="Y20" s="22"/>
      <c r="Z20" s="22">
        <f>'2017-18_working'!R20</f>
        <v>0</v>
      </c>
      <c r="AA20" s="22">
        <f>'2017-18_working'!S20</f>
        <v>2</v>
      </c>
      <c r="AB20" s="22">
        <f>'2017-18_working'!T20</f>
        <v>0</v>
      </c>
      <c r="AC20" s="22">
        <f>'2017-18_working'!U20</f>
        <v>0</v>
      </c>
      <c r="AD20" s="22">
        <f>'2017-18_working'!V20+'2017-18_working'!W20</f>
        <v>0</v>
      </c>
      <c r="AE20" s="22">
        <f>'2017-18_working'!X20</f>
        <v>0</v>
      </c>
      <c r="AF20" s="23">
        <f t="shared" si="11"/>
        <v>30</v>
      </c>
      <c r="AG20" s="22"/>
      <c r="AH20" s="22">
        <f>'2017-18_working'!Z20</f>
        <v>1</v>
      </c>
      <c r="AI20" s="22">
        <f>'2017-18_working'!AA20</f>
        <v>8</v>
      </c>
      <c r="AJ20" s="22">
        <f>'2017-18_working'!AB20</f>
        <v>8</v>
      </c>
      <c r="AK20" s="22">
        <f>'2017-18_working'!AC20</f>
        <v>7</v>
      </c>
      <c r="AL20" s="22">
        <f>'2017-18_working'!AD20+'2017-18_working'!AE20</f>
        <v>2</v>
      </c>
      <c r="AM20" s="22">
        <f>'2017-18_working'!AF20</f>
        <v>0</v>
      </c>
      <c r="AN20" s="23">
        <f t="shared" si="13"/>
        <v>40.365384615384613</v>
      </c>
      <c r="AO20" s="22"/>
      <c r="AP20" s="21">
        <f t="shared" si="14"/>
        <v>23</v>
      </c>
      <c r="AQ20" s="21">
        <f t="shared" si="15"/>
        <v>87</v>
      </c>
      <c r="AR20" s="21">
        <f t="shared" si="16"/>
        <v>42</v>
      </c>
      <c r="AS20" s="21">
        <f t="shared" si="17"/>
        <v>17</v>
      </c>
      <c r="AT20" s="21">
        <f t="shared" si="18"/>
        <v>2</v>
      </c>
      <c r="AU20" s="21">
        <f t="shared" si="19"/>
        <v>0</v>
      </c>
      <c r="AV20" s="23">
        <f t="shared" si="20"/>
        <v>33.576023391812861</v>
      </c>
      <c r="AW20" s="17"/>
      <c r="AX20" s="19">
        <f t="shared" si="26"/>
        <v>171</v>
      </c>
      <c r="AY20" s="19">
        <v>171</v>
      </c>
      <c r="AZ20" s="18">
        <f t="shared" si="27"/>
        <v>0</v>
      </c>
      <c r="BA20" s="17"/>
      <c r="BB20" s="17"/>
      <c r="BC20" s="17"/>
      <c r="BD20" s="17"/>
      <c r="BE20" s="17"/>
    </row>
    <row r="21" spans="1:57" s="7" customFormat="1" ht="15" customHeight="1" x14ac:dyDescent="0.35">
      <c r="A21" s="2" t="s">
        <v>26</v>
      </c>
      <c r="B21" s="22">
        <f>'2017-18_working'!B21</f>
        <v>0</v>
      </c>
      <c r="C21" s="22">
        <f>'2017-18_working'!C21</f>
        <v>13</v>
      </c>
      <c r="D21" s="22">
        <f>'2017-18_working'!D21</f>
        <v>6</v>
      </c>
      <c r="E21" s="22">
        <f>'2017-18_working'!E21</f>
        <v>1</v>
      </c>
      <c r="F21" s="22">
        <f>'2017-18_working'!F21+'2017-18_working'!G21</f>
        <v>1</v>
      </c>
      <c r="G21" s="22">
        <f>'2017-18_working'!H21</f>
        <v>0</v>
      </c>
      <c r="H21" s="23">
        <f t="shared" si="22"/>
        <v>35.214285714285715</v>
      </c>
      <c r="I21" s="22"/>
      <c r="J21" s="22">
        <f>'2017-18_working'!J21</f>
        <v>21</v>
      </c>
      <c r="K21" s="22">
        <f>'2017-18_working'!K21</f>
        <v>34</v>
      </c>
      <c r="L21" s="22">
        <f>'2017-18_working'!L21</f>
        <v>18</v>
      </c>
      <c r="M21" s="22">
        <f>'2017-18_working'!M21</f>
        <v>4</v>
      </c>
      <c r="N21" s="22">
        <f>'2017-18_working'!N21+'2017-18_working'!O21</f>
        <v>1</v>
      </c>
      <c r="O21" s="22">
        <f>'2017-18_working'!P21</f>
        <v>0</v>
      </c>
      <c r="P21" s="23">
        <f t="shared" si="2"/>
        <v>31.115384615384617</v>
      </c>
      <c r="Q21" s="22"/>
      <c r="R21" s="21">
        <f t="shared" si="3"/>
        <v>21</v>
      </c>
      <c r="S21" s="21">
        <f t="shared" si="4"/>
        <v>47</v>
      </c>
      <c r="T21" s="21">
        <f t="shared" si="5"/>
        <v>24</v>
      </c>
      <c r="U21" s="21">
        <f t="shared" si="6"/>
        <v>5</v>
      </c>
      <c r="V21" s="21">
        <f t="shared" si="7"/>
        <v>2</v>
      </c>
      <c r="W21" s="21">
        <f t="shared" si="8"/>
        <v>0</v>
      </c>
      <c r="X21" s="23">
        <f t="shared" si="9"/>
        <v>31.984848484848488</v>
      </c>
      <c r="Y21" s="22"/>
      <c r="Z21" s="22">
        <f>'2017-18_working'!R21</f>
        <v>3</v>
      </c>
      <c r="AA21" s="22">
        <f>'2017-18_working'!S21</f>
        <v>1</v>
      </c>
      <c r="AB21" s="22">
        <f>'2017-18_working'!T21</f>
        <v>0</v>
      </c>
      <c r="AC21" s="22">
        <f>'2017-18_working'!U21</f>
        <v>0</v>
      </c>
      <c r="AD21" s="22">
        <f>'2017-18_working'!V21+'2017-18_working'!W21</f>
        <v>0</v>
      </c>
      <c r="AE21" s="22">
        <f>'2017-18_working'!X21</f>
        <v>0</v>
      </c>
      <c r="AF21" s="23">
        <f t="shared" si="11"/>
        <v>22.5</v>
      </c>
      <c r="AG21" s="22"/>
      <c r="AH21" s="22">
        <f>'2017-18_working'!Z21</f>
        <v>3</v>
      </c>
      <c r="AI21" s="22">
        <f>'2017-18_working'!AA21</f>
        <v>7</v>
      </c>
      <c r="AJ21" s="22">
        <f>'2017-18_working'!AB21</f>
        <v>3</v>
      </c>
      <c r="AK21" s="22">
        <f>'2017-18_working'!AC21</f>
        <v>11</v>
      </c>
      <c r="AL21" s="22">
        <f>'2017-18_working'!AD21+'2017-18_working'!AE21</f>
        <v>1</v>
      </c>
      <c r="AM21" s="22">
        <f>'2017-18_working'!AF21</f>
        <v>0</v>
      </c>
      <c r="AN21" s="23">
        <f t="shared" si="13"/>
        <v>40.119999999999997</v>
      </c>
      <c r="AO21" s="22"/>
      <c r="AP21" s="21">
        <f t="shared" si="14"/>
        <v>27</v>
      </c>
      <c r="AQ21" s="21">
        <f t="shared" si="15"/>
        <v>55</v>
      </c>
      <c r="AR21" s="21">
        <f t="shared" si="16"/>
        <v>27</v>
      </c>
      <c r="AS21" s="21">
        <f t="shared" si="17"/>
        <v>16</v>
      </c>
      <c r="AT21" s="21">
        <f t="shared" si="18"/>
        <v>3</v>
      </c>
      <c r="AU21" s="21">
        <f t="shared" si="19"/>
        <v>0</v>
      </c>
      <c r="AV21" s="23">
        <f t="shared" si="20"/>
        <v>33.27734375</v>
      </c>
      <c r="AW21" s="17"/>
      <c r="AX21" s="19">
        <f t="shared" si="26"/>
        <v>128</v>
      </c>
      <c r="AY21" s="19">
        <v>128</v>
      </c>
      <c r="AZ21" s="18">
        <f t="shared" si="27"/>
        <v>0</v>
      </c>
      <c r="BA21" s="17"/>
      <c r="BB21" s="17"/>
      <c r="BC21" s="17"/>
      <c r="BD21" s="17"/>
      <c r="BE21" s="17"/>
    </row>
    <row r="22" spans="1:57" s="7" customFormat="1" ht="15" customHeight="1" x14ac:dyDescent="0.35">
      <c r="A22" s="2" t="s">
        <v>27</v>
      </c>
      <c r="B22" s="22">
        <f>'2017-18_working'!B22</f>
        <v>11</v>
      </c>
      <c r="C22" s="22">
        <f>'2017-18_working'!C22</f>
        <v>10</v>
      </c>
      <c r="D22" s="22">
        <f>'2017-18_working'!D22</f>
        <v>1</v>
      </c>
      <c r="E22" s="22">
        <f>'2017-18_working'!E22</f>
        <v>0</v>
      </c>
      <c r="F22" s="22">
        <f>'2017-18_working'!F22+'2017-18_working'!G22</f>
        <v>0</v>
      </c>
      <c r="G22" s="22">
        <f>'2017-18_working'!H22</f>
        <v>0</v>
      </c>
      <c r="H22" s="23">
        <f t="shared" si="22"/>
        <v>25.477272727272727</v>
      </c>
      <c r="I22" s="22"/>
      <c r="J22" s="22">
        <f>'2017-18_working'!J22</f>
        <v>7</v>
      </c>
      <c r="K22" s="22">
        <f>'2017-18_working'!K22</f>
        <v>17</v>
      </c>
      <c r="L22" s="22">
        <f>'2017-18_working'!L22</f>
        <v>3</v>
      </c>
      <c r="M22" s="22">
        <f>'2017-18_working'!M22</f>
        <v>0</v>
      </c>
      <c r="N22" s="22">
        <f>'2017-18_working'!N22+'2017-18_working'!O22</f>
        <v>0</v>
      </c>
      <c r="O22" s="22">
        <f>'2017-18_working'!P22</f>
        <v>0</v>
      </c>
      <c r="P22" s="23">
        <f t="shared" si="2"/>
        <v>28.574074074074076</v>
      </c>
      <c r="Q22" s="22"/>
      <c r="R22" s="21">
        <f t="shared" si="3"/>
        <v>18</v>
      </c>
      <c r="S22" s="21">
        <f t="shared" si="4"/>
        <v>27</v>
      </c>
      <c r="T22" s="21">
        <f t="shared" si="5"/>
        <v>4</v>
      </c>
      <c r="U22" s="21">
        <f t="shared" si="6"/>
        <v>0</v>
      </c>
      <c r="V22" s="21">
        <f t="shared" si="7"/>
        <v>0</v>
      </c>
      <c r="W22" s="21">
        <f t="shared" si="8"/>
        <v>0</v>
      </c>
      <c r="X22" s="23">
        <f t="shared" si="9"/>
        <v>27.183673469387756</v>
      </c>
      <c r="Y22" s="22"/>
      <c r="Z22" s="22">
        <f>'2017-18_working'!R22</f>
        <v>0</v>
      </c>
      <c r="AA22" s="22">
        <f>'2017-18_working'!S22</f>
        <v>0</v>
      </c>
      <c r="AB22" s="22">
        <f>'2017-18_working'!T22</f>
        <v>0</v>
      </c>
      <c r="AC22" s="22">
        <f>'2017-18_working'!U22</f>
        <v>0</v>
      </c>
      <c r="AD22" s="22">
        <f>'2017-18_working'!V22+'2017-18_working'!W22</f>
        <v>0</v>
      </c>
      <c r="AE22" s="22">
        <f>'2017-18_working'!X22</f>
        <v>0</v>
      </c>
      <c r="AF22" s="23" t="str">
        <f t="shared" si="11"/>
        <v>-</v>
      </c>
      <c r="AG22" s="22"/>
      <c r="AH22" s="22">
        <f>'2017-18_working'!Z22</f>
        <v>4</v>
      </c>
      <c r="AI22" s="22">
        <f>'2017-18_working'!AA22</f>
        <v>2</v>
      </c>
      <c r="AJ22" s="22">
        <f>'2017-18_working'!AB22</f>
        <v>3</v>
      </c>
      <c r="AK22" s="22">
        <f>'2017-18_working'!AC22</f>
        <v>6</v>
      </c>
      <c r="AL22" s="22">
        <f>'2017-18_working'!AD22+'2017-18_working'!AE22</f>
        <v>3</v>
      </c>
      <c r="AM22" s="22">
        <f>'2017-18_working'!AF22</f>
        <v>0</v>
      </c>
      <c r="AN22" s="23">
        <f t="shared" si="13"/>
        <v>40.694444444444443</v>
      </c>
      <c r="AO22" s="22"/>
      <c r="AP22" s="21">
        <f t="shared" si="14"/>
        <v>22</v>
      </c>
      <c r="AQ22" s="21">
        <f t="shared" si="15"/>
        <v>29</v>
      </c>
      <c r="AR22" s="21">
        <f t="shared" si="16"/>
        <v>7</v>
      </c>
      <c r="AS22" s="21">
        <f t="shared" si="17"/>
        <v>6</v>
      </c>
      <c r="AT22" s="21">
        <f t="shared" si="18"/>
        <v>3</v>
      </c>
      <c r="AU22" s="21">
        <f t="shared" si="19"/>
        <v>0</v>
      </c>
      <c r="AV22" s="23">
        <f t="shared" si="20"/>
        <v>30.81343283582089</v>
      </c>
      <c r="AW22" s="17"/>
      <c r="AX22" s="19">
        <f t="shared" si="26"/>
        <v>67</v>
      </c>
      <c r="AY22" s="19">
        <v>67</v>
      </c>
      <c r="AZ22" s="18">
        <f t="shared" si="27"/>
        <v>0</v>
      </c>
      <c r="BA22" s="17"/>
      <c r="BB22" s="17"/>
      <c r="BC22" s="17"/>
      <c r="BD22" s="17"/>
      <c r="BE22" s="17"/>
    </row>
    <row r="23" spans="1:57" s="7" customFormat="1" ht="15" customHeight="1" x14ac:dyDescent="0.35">
      <c r="A23" s="2" t="s">
        <v>28</v>
      </c>
      <c r="B23" s="22">
        <f>'2017-18_working'!B23</f>
        <v>1</v>
      </c>
      <c r="C23" s="22">
        <f>'2017-18_working'!C23</f>
        <v>4</v>
      </c>
      <c r="D23" s="22">
        <f>'2017-18_working'!D23</f>
        <v>2</v>
      </c>
      <c r="E23" s="22">
        <f>'2017-18_working'!E23</f>
        <v>0</v>
      </c>
      <c r="F23" s="22">
        <f>'2017-18_working'!F23+'2017-18_working'!G23</f>
        <v>0</v>
      </c>
      <c r="G23" s="22">
        <f>'2017-18_working'!H23</f>
        <v>1</v>
      </c>
      <c r="H23" s="23">
        <f t="shared" si="22"/>
        <v>31.571428571428569</v>
      </c>
      <c r="I23" s="22"/>
      <c r="J23" s="22">
        <f>'2017-18_working'!J23</f>
        <v>5</v>
      </c>
      <c r="K23" s="22">
        <f>'2017-18_working'!K23</f>
        <v>16</v>
      </c>
      <c r="L23" s="22">
        <f>'2017-18_working'!L23</f>
        <v>1</v>
      </c>
      <c r="M23" s="22">
        <f>'2017-18_working'!M23</f>
        <v>0</v>
      </c>
      <c r="N23" s="22">
        <f>'2017-18_working'!N23+'2017-18_working'!O23</f>
        <v>0</v>
      </c>
      <c r="O23" s="22">
        <f>'2017-18_working'!P23</f>
        <v>0</v>
      </c>
      <c r="P23" s="23">
        <f t="shared" si="2"/>
        <v>28.204545454545457</v>
      </c>
      <c r="Q23" s="22"/>
      <c r="R23" s="21">
        <f t="shared" si="3"/>
        <v>6</v>
      </c>
      <c r="S23" s="21">
        <f t="shared" si="4"/>
        <v>20</v>
      </c>
      <c r="T23" s="21">
        <f t="shared" si="5"/>
        <v>3</v>
      </c>
      <c r="U23" s="21">
        <f t="shared" si="6"/>
        <v>0</v>
      </c>
      <c r="V23" s="21">
        <f t="shared" si="7"/>
        <v>0</v>
      </c>
      <c r="W23" s="21">
        <f t="shared" si="8"/>
        <v>1</v>
      </c>
      <c r="X23" s="23">
        <f t="shared" si="9"/>
        <v>29.017241379310345</v>
      </c>
      <c r="Y23" s="22"/>
      <c r="Z23" s="22">
        <f>'2017-18_working'!R23</f>
        <v>2</v>
      </c>
      <c r="AA23" s="22">
        <f>'2017-18_working'!S23</f>
        <v>1</v>
      </c>
      <c r="AB23" s="22">
        <f>'2017-18_working'!T23</f>
        <v>1</v>
      </c>
      <c r="AC23" s="22">
        <f>'2017-18_working'!U23</f>
        <v>0</v>
      </c>
      <c r="AD23" s="22">
        <f>'2017-18_working'!V23+'2017-18_working'!W23</f>
        <v>0</v>
      </c>
      <c r="AE23" s="22">
        <f>'2017-18_working'!X23</f>
        <v>0</v>
      </c>
      <c r="AF23" s="23">
        <f t="shared" si="11"/>
        <v>27.625</v>
      </c>
      <c r="AG23" s="22"/>
      <c r="AH23" s="22">
        <f>'2017-18_working'!Z23</f>
        <v>2</v>
      </c>
      <c r="AI23" s="22">
        <f>'2017-18_working'!AA23</f>
        <v>3</v>
      </c>
      <c r="AJ23" s="22">
        <f>'2017-18_working'!AB23</f>
        <v>7</v>
      </c>
      <c r="AK23" s="22">
        <f>'2017-18_working'!AC23</f>
        <v>8</v>
      </c>
      <c r="AL23" s="22">
        <f>'2017-18_working'!AD23+'2017-18_working'!AE23</f>
        <v>3</v>
      </c>
      <c r="AM23" s="22">
        <f>'2017-18_working'!AF23</f>
        <v>0</v>
      </c>
      <c r="AN23" s="23">
        <f t="shared" si="13"/>
        <v>42.847826086956516</v>
      </c>
      <c r="AO23" s="22"/>
      <c r="AP23" s="21">
        <f t="shared" si="14"/>
        <v>10</v>
      </c>
      <c r="AQ23" s="21">
        <f t="shared" si="15"/>
        <v>24</v>
      </c>
      <c r="AR23" s="21">
        <f t="shared" si="16"/>
        <v>11</v>
      </c>
      <c r="AS23" s="21">
        <f t="shared" si="17"/>
        <v>8</v>
      </c>
      <c r="AT23" s="21">
        <f t="shared" si="18"/>
        <v>3</v>
      </c>
      <c r="AU23" s="21">
        <f t="shared" si="19"/>
        <v>1</v>
      </c>
      <c r="AV23" s="23">
        <f t="shared" si="20"/>
        <v>34.598214285714285</v>
      </c>
      <c r="AW23" s="17"/>
      <c r="AX23" s="19">
        <f t="shared" si="26"/>
        <v>57</v>
      </c>
      <c r="AY23" s="19">
        <v>57</v>
      </c>
      <c r="AZ23" s="18">
        <f t="shared" si="27"/>
        <v>0</v>
      </c>
      <c r="BA23" s="17"/>
      <c r="BB23" s="17"/>
      <c r="BC23" s="17"/>
      <c r="BD23" s="17"/>
      <c r="BE23" s="17"/>
    </row>
    <row r="24" spans="1:57" s="7" customFormat="1" ht="15" customHeight="1" x14ac:dyDescent="0.35">
      <c r="A24" s="2" t="s">
        <v>29</v>
      </c>
      <c r="B24" s="22">
        <f>'2017-18_working'!B24</f>
        <v>1</v>
      </c>
      <c r="C24" s="22">
        <f>'2017-18_working'!C24</f>
        <v>16</v>
      </c>
      <c r="D24" s="22">
        <f>'2017-18_working'!D24</f>
        <v>4</v>
      </c>
      <c r="E24" s="22">
        <f>'2017-18_working'!E24</f>
        <v>1</v>
      </c>
      <c r="F24" s="22">
        <f>'2017-18_working'!F24+'2017-18_working'!G24</f>
        <v>0</v>
      </c>
      <c r="G24" s="22">
        <f>'2017-18_working'!H24</f>
        <v>0</v>
      </c>
      <c r="H24" s="23">
        <f t="shared" si="22"/>
        <v>32.38636363636364</v>
      </c>
      <c r="I24" s="22"/>
      <c r="J24" s="22">
        <f>'2017-18_working'!J24</f>
        <v>24</v>
      </c>
      <c r="K24" s="22">
        <f>'2017-18_working'!K24</f>
        <v>45</v>
      </c>
      <c r="L24" s="22">
        <f>'2017-18_working'!L24</f>
        <v>11</v>
      </c>
      <c r="M24" s="22">
        <f>'2017-18_working'!M24</f>
        <v>7</v>
      </c>
      <c r="N24" s="22">
        <f>'2017-18_working'!N24+'2017-18_working'!O24</f>
        <v>1</v>
      </c>
      <c r="O24" s="22">
        <f>'2017-18_working'!P24</f>
        <v>0</v>
      </c>
      <c r="P24" s="23">
        <f t="shared" si="2"/>
        <v>30.511363636363633</v>
      </c>
      <c r="Q24" s="22"/>
      <c r="R24" s="21">
        <f t="shared" si="3"/>
        <v>25</v>
      </c>
      <c r="S24" s="21">
        <f t="shared" si="4"/>
        <v>61</v>
      </c>
      <c r="T24" s="21">
        <f t="shared" si="5"/>
        <v>15</v>
      </c>
      <c r="U24" s="21">
        <f t="shared" si="6"/>
        <v>8</v>
      </c>
      <c r="V24" s="21">
        <f t="shared" si="7"/>
        <v>1</v>
      </c>
      <c r="W24" s="21">
        <f t="shared" si="8"/>
        <v>0</v>
      </c>
      <c r="X24" s="23">
        <f t="shared" si="9"/>
        <v>30.886363636363633</v>
      </c>
      <c r="Y24" s="22"/>
      <c r="Z24" s="22">
        <f>'2017-18_working'!R24</f>
        <v>1</v>
      </c>
      <c r="AA24" s="22">
        <f>'2017-18_working'!S24</f>
        <v>1</v>
      </c>
      <c r="AB24" s="22">
        <f>'2017-18_working'!T24</f>
        <v>0</v>
      </c>
      <c r="AC24" s="22">
        <f>'2017-18_working'!U24</f>
        <v>0</v>
      </c>
      <c r="AD24" s="22">
        <f>'2017-18_working'!V24+'2017-18_working'!W24</f>
        <v>0</v>
      </c>
      <c r="AE24" s="22">
        <f>'2017-18_working'!X24</f>
        <v>0</v>
      </c>
      <c r="AF24" s="23">
        <f t="shared" si="11"/>
        <v>25</v>
      </c>
      <c r="AG24" s="22"/>
      <c r="AH24" s="22">
        <f>'2017-18_working'!Z24</f>
        <v>8</v>
      </c>
      <c r="AI24" s="22">
        <f>'2017-18_working'!AA24</f>
        <v>15</v>
      </c>
      <c r="AJ24" s="22">
        <f>'2017-18_working'!AB24</f>
        <v>13</v>
      </c>
      <c r="AK24" s="22">
        <f>'2017-18_working'!AC24</f>
        <v>16</v>
      </c>
      <c r="AL24" s="22">
        <f>'2017-18_working'!AD24+'2017-18_working'!AE24</f>
        <v>9</v>
      </c>
      <c r="AM24" s="22">
        <f>'2017-18_working'!AF24</f>
        <v>0</v>
      </c>
      <c r="AN24" s="23">
        <f t="shared" si="13"/>
        <v>40.139344262295083</v>
      </c>
      <c r="AO24" s="22"/>
      <c r="AP24" s="21">
        <f t="shared" si="14"/>
        <v>34</v>
      </c>
      <c r="AQ24" s="21">
        <f t="shared" si="15"/>
        <v>77</v>
      </c>
      <c r="AR24" s="21">
        <f t="shared" si="16"/>
        <v>28</v>
      </c>
      <c r="AS24" s="21">
        <f t="shared" si="17"/>
        <v>24</v>
      </c>
      <c r="AT24" s="21">
        <f t="shared" si="18"/>
        <v>10</v>
      </c>
      <c r="AU24" s="21">
        <f t="shared" si="19"/>
        <v>0</v>
      </c>
      <c r="AV24" s="23">
        <f t="shared" si="20"/>
        <v>34.080924855491325</v>
      </c>
      <c r="AW24" s="17"/>
      <c r="AX24" s="19">
        <f t="shared" si="26"/>
        <v>173</v>
      </c>
      <c r="AY24" s="19">
        <v>174</v>
      </c>
      <c r="AZ24" s="18">
        <f t="shared" si="27"/>
        <v>-1</v>
      </c>
      <c r="BA24" s="17"/>
      <c r="BB24" s="17"/>
      <c r="BC24" s="17"/>
      <c r="BD24" s="17"/>
      <c r="BE24" s="17"/>
    </row>
    <row r="25" spans="1:57" s="7" customFormat="1" ht="15" customHeight="1" x14ac:dyDescent="0.35">
      <c r="A25" s="2" t="s">
        <v>30</v>
      </c>
      <c r="B25" s="22">
        <f>'2017-18_working'!B25</f>
        <v>5</v>
      </c>
      <c r="C25" s="22">
        <f>'2017-18_working'!C25</f>
        <v>24</v>
      </c>
      <c r="D25" s="22">
        <f>'2017-18_working'!D25</f>
        <v>5</v>
      </c>
      <c r="E25" s="22">
        <f>'2017-18_working'!E25</f>
        <v>1</v>
      </c>
      <c r="F25" s="22">
        <f>'2017-18_working'!F25+'2017-18_working'!G25</f>
        <v>0</v>
      </c>
      <c r="G25" s="22">
        <f>'2017-18_working'!H25</f>
        <v>0</v>
      </c>
      <c r="H25" s="23">
        <f t="shared" si="22"/>
        <v>30.657142857142858</v>
      </c>
      <c r="I25" s="22"/>
      <c r="J25" s="22">
        <f>'2017-18_working'!J25</f>
        <v>9</v>
      </c>
      <c r="K25" s="22">
        <f>'2017-18_working'!K25</f>
        <v>20</v>
      </c>
      <c r="L25" s="22">
        <f>'2017-18_working'!L25</f>
        <v>8</v>
      </c>
      <c r="M25" s="22">
        <f>'2017-18_working'!M25</f>
        <v>1</v>
      </c>
      <c r="N25" s="22">
        <f>'2017-18_working'!N25+'2017-18_working'!O25</f>
        <v>0</v>
      </c>
      <c r="O25" s="22">
        <f>'2017-18_working'!P25</f>
        <v>0</v>
      </c>
      <c r="P25" s="23">
        <f t="shared" si="2"/>
        <v>30.381578947368421</v>
      </c>
      <c r="Q25" s="22"/>
      <c r="R25" s="21">
        <f t="shared" si="3"/>
        <v>14</v>
      </c>
      <c r="S25" s="21">
        <f t="shared" si="4"/>
        <v>44</v>
      </c>
      <c r="T25" s="21">
        <f t="shared" si="5"/>
        <v>13</v>
      </c>
      <c r="U25" s="21">
        <f t="shared" si="6"/>
        <v>2</v>
      </c>
      <c r="V25" s="21">
        <f t="shared" si="7"/>
        <v>0</v>
      </c>
      <c r="W25" s="21">
        <f t="shared" si="8"/>
        <v>0</v>
      </c>
      <c r="X25" s="23">
        <f t="shared" si="9"/>
        <v>30.513698630136982</v>
      </c>
      <c r="Y25" s="22"/>
      <c r="Z25" s="22">
        <f>'2017-18_working'!R25</f>
        <v>3</v>
      </c>
      <c r="AA25" s="22">
        <f>'2017-18_working'!S25</f>
        <v>1</v>
      </c>
      <c r="AB25" s="22">
        <f>'2017-18_working'!T25</f>
        <v>2</v>
      </c>
      <c r="AC25" s="22">
        <f>'2017-18_working'!U25</f>
        <v>0</v>
      </c>
      <c r="AD25" s="22">
        <f>'2017-18_working'!V25+'2017-18_working'!W25</f>
        <v>0</v>
      </c>
      <c r="AE25" s="22">
        <f>'2017-18_working'!X25</f>
        <v>0</v>
      </c>
      <c r="AF25" s="23">
        <f t="shared" si="11"/>
        <v>28.5</v>
      </c>
      <c r="AG25" s="22"/>
      <c r="AH25" s="22">
        <f>'2017-18_working'!Z25</f>
        <v>0</v>
      </c>
      <c r="AI25" s="22">
        <f>'2017-18_working'!AA25</f>
        <v>5</v>
      </c>
      <c r="AJ25" s="22">
        <f>'2017-18_working'!AB25</f>
        <v>2</v>
      </c>
      <c r="AK25" s="22">
        <f>'2017-18_working'!AC25</f>
        <v>1</v>
      </c>
      <c r="AL25" s="22">
        <f>'2017-18_working'!AD25+'2017-18_working'!AE25</f>
        <v>1</v>
      </c>
      <c r="AM25" s="22">
        <f>'2017-18_working'!AF25</f>
        <v>0</v>
      </c>
      <c r="AN25" s="23">
        <f t="shared" si="13"/>
        <v>37.5</v>
      </c>
      <c r="AO25" s="22"/>
      <c r="AP25" s="21">
        <f t="shared" si="14"/>
        <v>17</v>
      </c>
      <c r="AQ25" s="21">
        <f t="shared" si="15"/>
        <v>50</v>
      </c>
      <c r="AR25" s="21">
        <f t="shared" si="16"/>
        <v>17</v>
      </c>
      <c r="AS25" s="21">
        <f t="shared" si="17"/>
        <v>3</v>
      </c>
      <c r="AT25" s="21">
        <f t="shared" si="18"/>
        <v>1</v>
      </c>
      <c r="AU25" s="21">
        <f t="shared" si="19"/>
        <v>0</v>
      </c>
      <c r="AV25" s="23">
        <f t="shared" si="20"/>
        <v>31.090909090909093</v>
      </c>
      <c r="AW25" s="17"/>
      <c r="AX25" s="19">
        <f t="shared" si="26"/>
        <v>88</v>
      </c>
      <c r="AY25" s="19">
        <v>88</v>
      </c>
      <c r="AZ25" s="18">
        <f t="shared" si="27"/>
        <v>0</v>
      </c>
      <c r="BA25" s="17"/>
      <c r="BB25" s="17"/>
      <c r="BC25" s="17"/>
      <c r="BD25" s="17"/>
      <c r="BE25" s="17"/>
    </row>
    <row r="26" spans="1:57" s="7" customFormat="1" ht="15" customHeight="1" x14ac:dyDescent="0.35">
      <c r="A26" s="2" t="s">
        <v>31</v>
      </c>
      <c r="B26" s="22">
        <f>'2017-18_working'!B26</f>
        <v>7</v>
      </c>
      <c r="C26" s="22">
        <f>'2017-18_working'!C26</f>
        <v>33</v>
      </c>
      <c r="D26" s="22">
        <f>'2017-18_working'!D26</f>
        <v>8</v>
      </c>
      <c r="E26" s="22">
        <f>'2017-18_working'!E26</f>
        <v>6</v>
      </c>
      <c r="F26" s="22">
        <f>'2017-18_working'!F26+'2017-18_working'!G26</f>
        <v>2</v>
      </c>
      <c r="G26" s="22">
        <f>'2017-18_working'!H26</f>
        <v>0</v>
      </c>
      <c r="H26" s="23">
        <f t="shared" si="22"/>
        <v>33.375</v>
      </c>
      <c r="I26" s="22"/>
      <c r="J26" s="22">
        <f>'2017-18_working'!J26</f>
        <v>18</v>
      </c>
      <c r="K26" s="22">
        <f>'2017-18_working'!K26</f>
        <v>38</v>
      </c>
      <c r="L26" s="22">
        <f>'2017-18_working'!L26</f>
        <v>31</v>
      </c>
      <c r="M26" s="22">
        <f>'2017-18_working'!M26</f>
        <v>11</v>
      </c>
      <c r="N26" s="22">
        <f>'2017-18_working'!N26+'2017-18_working'!O26</f>
        <v>1</v>
      </c>
      <c r="O26" s="22">
        <f>'2017-18_working'!P26</f>
        <v>0</v>
      </c>
      <c r="P26" s="23">
        <f t="shared" si="2"/>
        <v>34.01010101010101</v>
      </c>
      <c r="Q26" s="22"/>
      <c r="R26" s="21">
        <f t="shared" si="3"/>
        <v>25</v>
      </c>
      <c r="S26" s="21">
        <f t="shared" si="4"/>
        <v>71</v>
      </c>
      <c r="T26" s="21">
        <f t="shared" si="5"/>
        <v>39</v>
      </c>
      <c r="U26" s="21">
        <f t="shared" si="6"/>
        <v>17</v>
      </c>
      <c r="V26" s="21">
        <f t="shared" si="7"/>
        <v>3</v>
      </c>
      <c r="W26" s="21">
        <f t="shared" si="8"/>
        <v>0</v>
      </c>
      <c r="X26" s="23">
        <f t="shared" si="9"/>
        <v>33.780645161290323</v>
      </c>
      <c r="Y26" s="22"/>
      <c r="Z26" s="22">
        <f>'2017-18_working'!R26</f>
        <v>1</v>
      </c>
      <c r="AA26" s="22">
        <f>'2017-18_working'!S26</f>
        <v>1</v>
      </c>
      <c r="AB26" s="22">
        <f>'2017-18_working'!T26</f>
        <v>0</v>
      </c>
      <c r="AC26" s="22">
        <f>'2017-18_working'!U26</f>
        <v>0</v>
      </c>
      <c r="AD26" s="22">
        <f>'2017-18_working'!V26+'2017-18_working'!W26</f>
        <v>0</v>
      </c>
      <c r="AE26" s="22">
        <f>'2017-18_working'!X26</f>
        <v>0</v>
      </c>
      <c r="AF26" s="23">
        <f t="shared" si="11"/>
        <v>25</v>
      </c>
      <c r="AG26" s="22"/>
      <c r="AH26" s="22">
        <f>'2017-18_working'!Z26</f>
        <v>8</v>
      </c>
      <c r="AI26" s="22">
        <f>'2017-18_working'!AA26</f>
        <v>18</v>
      </c>
      <c r="AJ26" s="22">
        <f>'2017-18_working'!AB26</f>
        <v>10</v>
      </c>
      <c r="AK26" s="22">
        <f>'2017-18_working'!AC26</f>
        <v>10</v>
      </c>
      <c r="AL26" s="22">
        <f>'2017-18_working'!AD26+'2017-18_working'!AE26</f>
        <v>6</v>
      </c>
      <c r="AM26" s="22">
        <f>'2017-18_working'!AF26</f>
        <v>0</v>
      </c>
      <c r="AN26" s="23">
        <f t="shared" si="13"/>
        <v>37.42307692307692</v>
      </c>
      <c r="AO26" s="22"/>
      <c r="AP26" s="21">
        <f t="shared" si="14"/>
        <v>34</v>
      </c>
      <c r="AQ26" s="21">
        <f t="shared" si="15"/>
        <v>90</v>
      </c>
      <c r="AR26" s="21">
        <f t="shared" si="16"/>
        <v>49</v>
      </c>
      <c r="AS26" s="21">
        <f t="shared" si="17"/>
        <v>27</v>
      </c>
      <c r="AT26" s="21">
        <f t="shared" si="18"/>
        <v>9</v>
      </c>
      <c r="AU26" s="21">
        <f t="shared" si="19"/>
        <v>0</v>
      </c>
      <c r="AV26" s="23">
        <f t="shared" si="20"/>
        <v>34.602870813397132</v>
      </c>
      <c r="AW26" s="17"/>
      <c r="AX26" s="19">
        <f t="shared" si="26"/>
        <v>209</v>
      </c>
      <c r="AY26" s="19">
        <v>209</v>
      </c>
      <c r="AZ26" s="18">
        <f t="shared" si="27"/>
        <v>0</v>
      </c>
      <c r="BA26" s="17"/>
      <c r="BB26" s="17"/>
      <c r="BC26" s="17"/>
      <c r="BD26" s="17"/>
      <c r="BE26" s="17"/>
    </row>
    <row r="27" spans="1:57" s="7" customFormat="1" ht="15" customHeight="1" x14ac:dyDescent="0.35">
      <c r="A27" s="2" t="s">
        <v>32</v>
      </c>
      <c r="B27" s="22">
        <f>'2017-18_working'!B27</f>
        <v>2</v>
      </c>
      <c r="C27" s="22">
        <f>'2017-18_working'!C27</f>
        <v>9</v>
      </c>
      <c r="D27" s="22">
        <f>'2017-18_working'!D27</f>
        <v>8</v>
      </c>
      <c r="E27" s="22">
        <f>'2017-18_working'!E27</f>
        <v>1</v>
      </c>
      <c r="F27" s="22">
        <f>'2017-18_working'!F27+'2017-18_working'!G27</f>
        <v>1</v>
      </c>
      <c r="G27" s="22">
        <f>'2017-18_working'!H27</f>
        <v>0</v>
      </c>
      <c r="H27" s="23">
        <f t="shared" si="22"/>
        <v>35.261904761904759</v>
      </c>
      <c r="I27" s="22"/>
      <c r="J27" s="22">
        <f>'2017-18_working'!J27</f>
        <v>10</v>
      </c>
      <c r="K27" s="22">
        <f>'2017-18_working'!K27</f>
        <v>13</v>
      </c>
      <c r="L27" s="22">
        <f>'2017-18_working'!L27</f>
        <v>11</v>
      </c>
      <c r="M27" s="22">
        <f>'2017-18_working'!M27</f>
        <v>3</v>
      </c>
      <c r="N27" s="22">
        <f>'2017-18_working'!N27+'2017-18_working'!O27</f>
        <v>0</v>
      </c>
      <c r="O27" s="22">
        <f>'2017-18_working'!P27</f>
        <v>0</v>
      </c>
      <c r="P27" s="23">
        <f t="shared" si="2"/>
        <v>32.081081081081081</v>
      </c>
      <c r="Q27" s="22"/>
      <c r="R27" s="21">
        <f t="shared" si="3"/>
        <v>12</v>
      </c>
      <c r="S27" s="21">
        <f t="shared" si="4"/>
        <v>22</v>
      </c>
      <c r="T27" s="21">
        <f t="shared" si="5"/>
        <v>19</v>
      </c>
      <c r="U27" s="21">
        <f t="shared" si="6"/>
        <v>4</v>
      </c>
      <c r="V27" s="21">
        <f t="shared" si="7"/>
        <v>1</v>
      </c>
      <c r="W27" s="21">
        <f t="shared" si="8"/>
        <v>0</v>
      </c>
      <c r="X27" s="23">
        <f t="shared" si="9"/>
        <v>33.232758620689658</v>
      </c>
      <c r="Y27" s="22"/>
      <c r="Z27" s="22">
        <f>'2017-18_working'!R27</f>
        <v>0</v>
      </c>
      <c r="AA27" s="22">
        <f>'2017-18_working'!S27</f>
        <v>1</v>
      </c>
      <c r="AB27" s="22">
        <f>'2017-18_working'!T27</f>
        <v>0</v>
      </c>
      <c r="AC27" s="22">
        <f>'2017-18_working'!U27</f>
        <v>0</v>
      </c>
      <c r="AD27" s="22">
        <f>'2017-18_working'!V27+'2017-18_working'!W27</f>
        <v>1</v>
      </c>
      <c r="AE27" s="22">
        <f>'2017-18_working'!X27</f>
        <v>0</v>
      </c>
      <c r="AF27" s="23">
        <f t="shared" si="11"/>
        <v>43</v>
      </c>
      <c r="AG27" s="22"/>
      <c r="AH27" s="22">
        <f>'2017-18_working'!Z27</f>
        <v>3</v>
      </c>
      <c r="AI27" s="22">
        <f>'2017-18_working'!AA27</f>
        <v>2</v>
      </c>
      <c r="AJ27" s="22">
        <f>'2017-18_working'!AB27</f>
        <v>3</v>
      </c>
      <c r="AK27" s="22">
        <f>'2017-18_working'!AC27</f>
        <v>2</v>
      </c>
      <c r="AL27" s="22">
        <f>'2017-18_working'!AD27+'2017-18_working'!AE27</f>
        <v>4</v>
      </c>
      <c r="AM27" s="22">
        <f>'2017-18_working'!AF27</f>
        <v>0</v>
      </c>
      <c r="AN27" s="23">
        <f t="shared" si="13"/>
        <v>40.464285714285715</v>
      </c>
      <c r="AO27" s="22"/>
      <c r="AP27" s="21">
        <f t="shared" si="14"/>
        <v>15</v>
      </c>
      <c r="AQ27" s="21">
        <f t="shared" si="15"/>
        <v>25</v>
      </c>
      <c r="AR27" s="21">
        <f t="shared" si="16"/>
        <v>22</v>
      </c>
      <c r="AS27" s="21">
        <f t="shared" si="17"/>
        <v>6</v>
      </c>
      <c r="AT27" s="21">
        <f t="shared" si="18"/>
        <v>6</v>
      </c>
      <c r="AU27" s="21">
        <f t="shared" si="19"/>
        <v>0</v>
      </c>
      <c r="AV27" s="23">
        <f t="shared" si="20"/>
        <v>34.864864864864863</v>
      </c>
      <c r="AW27" s="17"/>
      <c r="AX27" s="19">
        <f t="shared" si="26"/>
        <v>74</v>
      </c>
      <c r="AY27" s="19">
        <v>74</v>
      </c>
      <c r="AZ27" s="18">
        <f t="shared" si="27"/>
        <v>0</v>
      </c>
      <c r="BA27" s="17"/>
      <c r="BB27" s="17"/>
      <c r="BC27" s="17"/>
      <c r="BD27" s="17"/>
      <c r="BE27" s="17"/>
    </row>
    <row r="28" spans="1:57" s="7" customFormat="1" ht="15" customHeight="1" x14ac:dyDescent="0.35">
      <c r="A28" s="2" t="s">
        <v>33</v>
      </c>
      <c r="B28" s="22">
        <f>'2017-18_working'!B28</f>
        <v>12</v>
      </c>
      <c r="C28" s="22">
        <f>'2017-18_working'!C28</f>
        <v>19</v>
      </c>
      <c r="D28" s="22">
        <f>'2017-18_working'!D28</f>
        <v>3</v>
      </c>
      <c r="E28" s="22">
        <f>'2017-18_working'!E28</f>
        <v>2</v>
      </c>
      <c r="F28" s="22">
        <f>'2017-18_working'!F28+'2017-18_working'!G28</f>
        <v>1</v>
      </c>
      <c r="G28" s="22">
        <f>'2017-18_working'!H28</f>
        <v>0</v>
      </c>
      <c r="H28" s="23">
        <f t="shared" si="22"/>
        <v>29.418918918918916</v>
      </c>
      <c r="I28" s="22"/>
      <c r="J28" s="22">
        <f>'2017-18_working'!J28</f>
        <v>8</v>
      </c>
      <c r="K28" s="22">
        <f>'2017-18_working'!K28</f>
        <v>12</v>
      </c>
      <c r="L28" s="22">
        <f>'2017-18_working'!L28</f>
        <v>10</v>
      </c>
      <c r="M28" s="22">
        <f>'2017-18_working'!M28</f>
        <v>4</v>
      </c>
      <c r="N28" s="22">
        <f>'2017-18_working'!N28+'2017-18_working'!O28</f>
        <v>1</v>
      </c>
      <c r="O28" s="22">
        <f>'2017-18_working'!P28</f>
        <v>0</v>
      </c>
      <c r="P28" s="23">
        <f t="shared" si="2"/>
        <v>33.800000000000004</v>
      </c>
      <c r="Q28" s="22"/>
      <c r="R28" s="21">
        <f t="shared" si="3"/>
        <v>20</v>
      </c>
      <c r="S28" s="21">
        <f t="shared" si="4"/>
        <v>31</v>
      </c>
      <c r="T28" s="21">
        <f t="shared" si="5"/>
        <v>13</v>
      </c>
      <c r="U28" s="21">
        <f t="shared" si="6"/>
        <v>6</v>
      </c>
      <c r="V28" s="21">
        <f t="shared" si="7"/>
        <v>2</v>
      </c>
      <c r="W28" s="21">
        <f t="shared" si="8"/>
        <v>0</v>
      </c>
      <c r="X28" s="23">
        <f t="shared" si="9"/>
        <v>31.548611111111107</v>
      </c>
      <c r="Y28" s="22"/>
      <c r="Z28" s="22">
        <f>'2017-18_working'!R28</f>
        <v>0</v>
      </c>
      <c r="AA28" s="22">
        <f>'2017-18_working'!S28</f>
        <v>0</v>
      </c>
      <c r="AB28" s="22">
        <f>'2017-18_working'!T28</f>
        <v>0</v>
      </c>
      <c r="AC28" s="22">
        <f>'2017-18_working'!U28</f>
        <v>0</v>
      </c>
      <c r="AD28" s="22">
        <f>'2017-18_working'!V28+'2017-18_working'!W28</f>
        <v>0</v>
      </c>
      <c r="AE28" s="22">
        <f>'2017-18_working'!X28</f>
        <v>0</v>
      </c>
      <c r="AF28" s="23" t="str">
        <f t="shared" si="11"/>
        <v>-</v>
      </c>
      <c r="AG28" s="22"/>
      <c r="AH28" s="22">
        <f>'2017-18_working'!Z28</f>
        <v>3</v>
      </c>
      <c r="AI28" s="22">
        <f>'2017-18_working'!AA28</f>
        <v>6</v>
      </c>
      <c r="AJ28" s="22">
        <f>'2017-18_working'!AB28</f>
        <v>4</v>
      </c>
      <c r="AK28" s="22">
        <f>'2017-18_working'!AC28</f>
        <v>3</v>
      </c>
      <c r="AL28" s="22">
        <f>'2017-18_working'!AD28+'2017-18_working'!AE28</f>
        <v>4</v>
      </c>
      <c r="AM28" s="22">
        <f>'2017-18_working'!AF28</f>
        <v>0</v>
      </c>
      <c r="AN28" s="23">
        <f t="shared" si="13"/>
        <v>38.875</v>
      </c>
      <c r="AO28" s="22"/>
      <c r="AP28" s="21">
        <f t="shared" si="14"/>
        <v>23</v>
      </c>
      <c r="AQ28" s="21">
        <f t="shared" si="15"/>
        <v>37</v>
      </c>
      <c r="AR28" s="21">
        <f t="shared" si="16"/>
        <v>17</v>
      </c>
      <c r="AS28" s="21">
        <f t="shared" si="17"/>
        <v>9</v>
      </c>
      <c r="AT28" s="21">
        <f t="shared" si="18"/>
        <v>6</v>
      </c>
      <c r="AU28" s="21">
        <f t="shared" si="19"/>
        <v>0</v>
      </c>
      <c r="AV28" s="23">
        <f t="shared" si="20"/>
        <v>33.141304347826086</v>
      </c>
      <c r="AW28" s="17"/>
      <c r="AX28" s="19">
        <f t="shared" si="26"/>
        <v>92</v>
      </c>
      <c r="AY28" s="19">
        <v>92</v>
      </c>
      <c r="AZ28" s="18">
        <f t="shared" si="27"/>
        <v>0</v>
      </c>
      <c r="BA28" s="17"/>
      <c r="BB28" s="17"/>
      <c r="BC28" s="17"/>
      <c r="BD28" s="17"/>
      <c r="BE28" s="17"/>
    </row>
    <row r="29" spans="1:57" s="7" customFormat="1" ht="15" customHeight="1" x14ac:dyDescent="0.35">
      <c r="A29" s="2" t="s">
        <v>34</v>
      </c>
      <c r="B29" s="22">
        <f>'2017-18_working'!B29</f>
        <v>2</v>
      </c>
      <c r="C29" s="22">
        <f>'2017-18_working'!C29</f>
        <v>15</v>
      </c>
      <c r="D29" s="22">
        <f>'2017-18_working'!D29</f>
        <v>5</v>
      </c>
      <c r="E29" s="22">
        <f>'2017-18_working'!E29</f>
        <v>0</v>
      </c>
      <c r="F29" s="22">
        <f>'2017-18_working'!F29+'2017-18_working'!G29</f>
        <v>0</v>
      </c>
      <c r="G29" s="22">
        <f>'2017-18_working'!H29</f>
        <v>0</v>
      </c>
      <c r="H29" s="23">
        <f t="shared" si="22"/>
        <v>31.477272727272727</v>
      </c>
      <c r="I29" s="22"/>
      <c r="J29" s="22">
        <f>'2017-18_working'!J29</f>
        <v>12</v>
      </c>
      <c r="K29" s="22">
        <f>'2017-18_working'!K29</f>
        <v>25</v>
      </c>
      <c r="L29" s="22">
        <f>'2017-18_working'!L29</f>
        <v>7</v>
      </c>
      <c r="M29" s="22">
        <f>'2017-18_working'!M29</f>
        <v>2</v>
      </c>
      <c r="N29" s="22">
        <f>'2017-18_working'!N29+'2017-18_working'!O29</f>
        <v>0</v>
      </c>
      <c r="O29" s="22">
        <f>'2017-18_working'!P29</f>
        <v>0</v>
      </c>
      <c r="P29" s="23">
        <f t="shared" si="2"/>
        <v>29.880434782608695</v>
      </c>
      <c r="Q29" s="22"/>
      <c r="R29" s="21">
        <f t="shared" si="3"/>
        <v>14</v>
      </c>
      <c r="S29" s="21">
        <f t="shared" si="4"/>
        <v>40</v>
      </c>
      <c r="T29" s="21">
        <f t="shared" si="5"/>
        <v>12</v>
      </c>
      <c r="U29" s="21">
        <f t="shared" si="6"/>
        <v>2</v>
      </c>
      <c r="V29" s="21">
        <f t="shared" si="7"/>
        <v>0</v>
      </c>
      <c r="W29" s="21">
        <f t="shared" si="8"/>
        <v>0</v>
      </c>
      <c r="X29" s="23">
        <f t="shared" si="9"/>
        <v>30.397058823529413</v>
      </c>
      <c r="Y29" s="22"/>
      <c r="Z29" s="22">
        <f>'2017-18_working'!R29</f>
        <v>0</v>
      </c>
      <c r="AA29" s="22">
        <f>'2017-18_working'!S29</f>
        <v>1</v>
      </c>
      <c r="AB29" s="22">
        <f>'2017-18_working'!T29</f>
        <v>1</v>
      </c>
      <c r="AC29" s="22">
        <f>'2017-18_working'!U29</f>
        <v>0</v>
      </c>
      <c r="AD29" s="22">
        <f>'2017-18_working'!V29+'2017-18_working'!W29</f>
        <v>0</v>
      </c>
      <c r="AE29" s="22">
        <f>'2017-18_working'!X29</f>
        <v>0</v>
      </c>
      <c r="AF29" s="23">
        <f t="shared" si="11"/>
        <v>35.25</v>
      </c>
      <c r="AG29" s="22"/>
      <c r="AH29" s="22">
        <f>'2017-18_working'!Z29</f>
        <v>5</v>
      </c>
      <c r="AI29" s="22">
        <f>'2017-18_working'!AA29</f>
        <v>10</v>
      </c>
      <c r="AJ29" s="22">
        <f>'2017-18_working'!AB29</f>
        <v>4</v>
      </c>
      <c r="AK29" s="22">
        <f>'2017-18_working'!AC29</f>
        <v>9</v>
      </c>
      <c r="AL29" s="22">
        <f>'2017-18_working'!AD29+'2017-18_working'!AE29</f>
        <v>6</v>
      </c>
      <c r="AM29" s="22">
        <f>'2017-18_working'!AF29</f>
        <v>0</v>
      </c>
      <c r="AN29" s="23">
        <f t="shared" si="13"/>
        <v>39.779411764705884</v>
      </c>
      <c r="AO29" s="22"/>
      <c r="AP29" s="21">
        <f t="shared" si="14"/>
        <v>19</v>
      </c>
      <c r="AQ29" s="21">
        <f t="shared" si="15"/>
        <v>51</v>
      </c>
      <c r="AR29" s="21">
        <f t="shared" si="16"/>
        <v>17</v>
      </c>
      <c r="AS29" s="21">
        <f t="shared" si="17"/>
        <v>11</v>
      </c>
      <c r="AT29" s="21">
        <f t="shared" si="18"/>
        <v>6</v>
      </c>
      <c r="AU29" s="21">
        <f t="shared" si="19"/>
        <v>0</v>
      </c>
      <c r="AV29" s="23">
        <f t="shared" si="20"/>
        <v>33.557692307692307</v>
      </c>
      <c r="AW29" s="17"/>
      <c r="AX29" s="19">
        <f t="shared" si="26"/>
        <v>104</v>
      </c>
      <c r="AY29" s="19">
        <v>104</v>
      </c>
      <c r="AZ29" s="18">
        <f t="shared" si="27"/>
        <v>0</v>
      </c>
      <c r="BA29" s="17"/>
      <c r="BB29" s="17"/>
      <c r="BC29" s="17"/>
      <c r="BD29" s="17"/>
      <c r="BE29" s="17"/>
    </row>
    <row r="30" spans="1:57" s="7" customFormat="1" ht="15" customHeight="1" x14ac:dyDescent="0.35">
      <c r="A30" s="2" t="s">
        <v>35</v>
      </c>
      <c r="B30" s="22">
        <f>'2017-18_working'!B30</f>
        <v>0</v>
      </c>
      <c r="C30" s="22">
        <f>'2017-18_working'!C30</f>
        <v>0</v>
      </c>
      <c r="D30" s="22">
        <f>'2017-18_working'!D30</f>
        <v>0</v>
      </c>
      <c r="E30" s="22">
        <f>'2017-18_working'!E30</f>
        <v>0</v>
      </c>
      <c r="F30" s="22">
        <f>'2017-18_working'!F30+'2017-18_working'!G30</f>
        <v>0</v>
      </c>
      <c r="G30" s="22">
        <f>'2017-18_working'!H30</f>
        <v>0</v>
      </c>
      <c r="H30" s="23" t="str">
        <f t="shared" si="22"/>
        <v>-</v>
      </c>
      <c r="I30" s="22"/>
      <c r="J30" s="22">
        <f>'2017-18_working'!J30</f>
        <v>0</v>
      </c>
      <c r="K30" s="22">
        <f>'2017-18_working'!K30</f>
        <v>0</v>
      </c>
      <c r="L30" s="22">
        <f>'2017-18_working'!L30</f>
        <v>0</v>
      </c>
      <c r="M30" s="22">
        <f>'2017-18_working'!M30</f>
        <v>0</v>
      </c>
      <c r="N30" s="22">
        <f>'2017-18_working'!N30+'2017-18_working'!O30</f>
        <v>0</v>
      </c>
      <c r="O30" s="22">
        <f>'2017-18_working'!P30</f>
        <v>0</v>
      </c>
      <c r="P30" s="23" t="str">
        <f t="shared" si="2"/>
        <v>-</v>
      </c>
      <c r="Q30" s="22"/>
      <c r="R30" s="21">
        <f t="shared" si="3"/>
        <v>0</v>
      </c>
      <c r="S30" s="21">
        <f t="shared" si="4"/>
        <v>0</v>
      </c>
      <c r="T30" s="21">
        <f t="shared" si="5"/>
        <v>0</v>
      </c>
      <c r="U30" s="21">
        <f t="shared" si="6"/>
        <v>0</v>
      </c>
      <c r="V30" s="21">
        <f t="shared" si="7"/>
        <v>0</v>
      </c>
      <c r="W30" s="21">
        <f t="shared" si="8"/>
        <v>0</v>
      </c>
      <c r="X30" s="23" t="str">
        <f t="shared" si="9"/>
        <v>-</v>
      </c>
      <c r="Y30" s="22"/>
      <c r="Z30" s="22">
        <f>'2017-18_working'!R30</f>
        <v>0</v>
      </c>
      <c r="AA30" s="22">
        <f>'2017-18_working'!S30</f>
        <v>0</v>
      </c>
      <c r="AB30" s="22">
        <f>'2017-18_working'!T30</f>
        <v>0</v>
      </c>
      <c r="AC30" s="22">
        <f>'2017-18_working'!U30</f>
        <v>0</v>
      </c>
      <c r="AD30" s="22">
        <f>'2017-18_working'!V30+'2017-18_working'!W30</f>
        <v>0</v>
      </c>
      <c r="AE30" s="22">
        <f>'2017-18_working'!X30</f>
        <v>0</v>
      </c>
      <c r="AF30" s="23" t="str">
        <f t="shared" si="11"/>
        <v>-</v>
      </c>
      <c r="AG30" s="22"/>
      <c r="AH30" s="22">
        <f>'2017-18_working'!Z30</f>
        <v>0</v>
      </c>
      <c r="AI30" s="22">
        <f>'2017-18_working'!AA30</f>
        <v>0</v>
      </c>
      <c r="AJ30" s="22">
        <f>'2017-18_working'!AB30</f>
        <v>0</v>
      </c>
      <c r="AK30" s="22">
        <f>'2017-18_working'!AC30</f>
        <v>1</v>
      </c>
      <c r="AL30" s="22">
        <f>'2017-18_working'!AD30+'2017-18_working'!AE30</f>
        <v>1</v>
      </c>
      <c r="AM30" s="22">
        <f>'2017-18_working'!AF30</f>
        <v>0</v>
      </c>
      <c r="AN30" s="23">
        <f t="shared" si="13"/>
        <v>53.25</v>
      </c>
      <c r="AO30" s="22"/>
      <c r="AP30" s="21">
        <f t="shared" si="14"/>
        <v>0</v>
      </c>
      <c r="AQ30" s="21">
        <f t="shared" si="15"/>
        <v>0</v>
      </c>
      <c r="AR30" s="21">
        <f t="shared" si="16"/>
        <v>0</v>
      </c>
      <c r="AS30" s="21">
        <f t="shared" si="17"/>
        <v>1</v>
      </c>
      <c r="AT30" s="21">
        <f t="shared" si="18"/>
        <v>1</v>
      </c>
      <c r="AU30" s="21">
        <f t="shared" si="19"/>
        <v>0</v>
      </c>
      <c r="AV30" s="23">
        <f t="shared" si="20"/>
        <v>53.25</v>
      </c>
      <c r="AW30" s="17"/>
      <c r="AX30" s="19">
        <f t="shared" si="26"/>
        <v>2</v>
      </c>
      <c r="AY30" s="19">
        <v>2</v>
      </c>
      <c r="AZ30" s="18">
        <f t="shared" si="27"/>
        <v>0</v>
      </c>
      <c r="BA30" s="17"/>
      <c r="BB30" s="17"/>
      <c r="BC30" s="17"/>
      <c r="BD30" s="17"/>
      <c r="BE30" s="17"/>
    </row>
    <row r="31" spans="1:57" s="7" customFormat="1" ht="15" customHeight="1" x14ac:dyDescent="0.35">
      <c r="A31" s="3" t="s">
        <v>36</v>
      </c>
      <c r="B31" s="22">
        <f>'2017-18_working'!B31</f>
        <v>2</v>
      </c>
      <c r="C31" s="22">
        <f>'2017-18_working'!C31</f>
        <v>21</v>
      </c>
      <c r="D31" s="22">
        <f>'2017-18_working'!D31</f>
        <v>4</v>
      </c>
      <c r="E31" s="22">
        <f>'2017-18_working'!E31</f>
        <v>2</v>
      </c>
      <c r="F31" s="22">
        <f>'2017-18_working'!F31+'2017-18_working'!G31</f>
        <v>0</v>
      </c>
      <c r="G31" s="22">
        <f>'2017-18_working'!H31</f>
        <v>0</v>
      </c>
      <c r="H31" s="23">
        <f t="shared" si="22"/>
        <v>32.172413793103452</v>
      </c>
      <c r="I31" s="22"/>
      <c r="J31" s="22">
        <f>'2017-18_working'!J31</f>
        <v>16</v>
      </c>
      <c r="K31" s="22">
        <f>'2017-18_working'!K31</f>
        <v>30</v>
      </c>
      <c r="L31" s="22">
        <f>'2017-18_working'!L31</f>
        <v>7</v>
      </c>
      <c r="M31" s="22">
        <f>'2017-18_working'!M31</f>
        <v>2</v>
      </c>
      <c r="N31" s="22">
        <f>'2017-18_working'!N31+'2017-18_working'!O31</f>
        <v>1</v>
      </c>
      <c r="O31" s="22">
        <f>'2017-18_working'!P31</f>
        <v>0</v>
      </c>
      <c r="P31" s="23">
        <f t="shared" si="2"/>
        <v>29.651785714285712</v>
      </c>
      <c r="Q31" s="22"/>
      <c r="R31" s="21">
        <f t="shared" si="3"/>
        <v>18</v>
      </c>
      <c r="S31" s="21">
        <f t="shared" si="4"/>
        <v>51</v>
      </c>
      <c r="T31" s="21">
        <f t="shared" si="5"/>
        <v>11</v>
      </c>
      <c r="U31" s="21">
        <f t="shared" si="6"/>
        <v>4</v>
      </c>
      <c r="V31" s="21">
        <f t="shared" si="7"/>
        <v>1</v>
      </c>
      <c r="W31" s="21">
        <f t="shared" si="8"/>
        <v>0</v>
      </c>
      <c r="X31" s="23">
        <f t="shared" si="9"/>
        <v>30.511764705882353</v>
      </c>
      <c r="Y31" s="22"/>
      <c r="Z31" s="22">
        <f>'2017-18_working'!R31</f>
        <v>1</v>
      </c>
      <c r="AA31" s="22">
        <f>'2017-18_working'!S31</f>
        <v>4</v>
      </c>
      <c r="AB31" s="22">
        <f>'2017-18_working'!T31</f>
        <v>2</v>
      </c>
      <c r="AC31" s="22">
        <f>'2017-18_working'!U31</f>
        <v>1</v>
      </c>
      <c r="AD31" s="22">
        <f>'2017-18_working'!V31+'2017-18_working'!W31</f>
        <v>0</v>
      </c>
      <c r="AE31" s="22">
        <f>'2017-18_working'!X31</f>
        <v>0</v>
      </c>
      <c r="AF31" s="23">
        <f t="shared" si="11"/>
        <v>33.9375</v>
      </c>
      <c r="AG31" s="22"/>
      <c r="AH31" s="22">
        <f>'2017-18_working'!Z31</f>
        <v>12</v>
      </c>
      <c r="AI31" s="22">
        <f>'2017-18_working'!AA31</f>
        <v>13</v>
      </c>
      <c r="AJ31" s="22">
        <f>'2017-18_working'!AB31</f>
        <v>14</v>
      </c>
      <c r="AK31" s="22">
        <f>'2017-18_working'!AC31</f>
        <v>9</v>
      </c>
      <c r="AL31" s="22">
        <f>'2017-18_working'!AD31+'2017-18_working'!AE31</f>
        <v>4</v>
      </c>
      <c r="AM31" s="22">
        <f>'2017-18_working'!AF31</f>
        <v>0</v>
      </c>
      <c r="AN31" s="23">
        <f t="shared" si="13"/>
        <v>36.067307692307693</v>
      </c>
      <c r="AO31" s="22"/>
      <c r="AP31" s="21">
        <f t="shared" si="14"/>
        <v>31</v>
      </c>
      <c r="AQ31" s="21">
        <f t="shared" si="15"/>
        <v>68</v>
      </c>
      <c r="AR31" s="21">
        <f t="shared" si="16"/>
        <v>27</v>
      </c>
      <c r="AS31" s="21">
        <f t="shared" si="17"/>
        <v>14</v>
      </c>
      <c r="AT31" s="21">
        <f t="shared" si="18"/>
        <v>5</v>
      </c>
      <c r="AU31" s="21">
        <f t="shared" si="19"/>
        <v>0</v>
      </c>
      <c r="AV31" s="23">
        <f t="shared" si="20"/>
        <v>32.693103448275863</v>
      </c>
      <c r="AW31" s="17"/>
      <c r="AX31" s="19">
        <f t="shared" si="26"/>
        <v>145</v>
      </c>
      <c r="AY31" s="19">
        <v>145</v>
      </c>
      <c r="AZ31" s="18">
        <f t="shared" si="27"/>
        <v>0</v>
      </c>
      <c r="BA31" s="17"/>
      <c r="BB31" s="17"/>
      <c r="BC31" s="17"/>
      <c r="BD31" s="17"/>
      <c r="BE31" s="17"/>
    </row>
    <row r="32" spans="1:57" s="7" customFormat="1" ht="15" customHeight="1" x14ac:dyDescent="0.35">
      <c r="A32" s="3" t="s">
        <v>37</v>
      </c>
      <c r="B32" s="22">
        <f>'2017-18_working'!B32</f>
        <v>4</v>
      </c>
      <c r="C32" s="22">
        <f>'2017-18_working'!C32</f>
        <v>37</v>
      </c>
      <c r="D32" s="22">
        <f>'2017-18_working'!D32</f>
        <v>9</v>
      </c>
      <c r="E32" s="22">
        <f>'2017-18_working'!E32</f>
        <v>6</v>
      </c>
      <c r="F32" s="22">
        <f>'2017-18_working'!F32+'2017-18_working'!G32</f>
        <v>0</v>
      </c>
      <c r="G32" s="22">
        <f>'2017-18_working'!H32</f>
        <v>0</v>
      </c>
      <c r="H32" s="23">
        <f t="shared" si="22"/>
        <v>33.169642857142854</v>
      </c>
      <c r="I32" s="22"/>
      <c r="J32" s="22">
        <f>'2017-18_working'!J32</f>
        <v>18</v>
      </c>
      <c r="K32" s="22">
        <f>'2017-18_working'!K32</f>
        <v>18</v>
      </c>
      <c r="L32" s="22">
        <f>'2017-18_working'!L32</f>
        <v>12</v>
      </c>
      <c r="M32" s="22">
        <f>'2017-18_working'!M32</f>
        <v>9</v>
      </c>
      <c r="N32" s="22">
        <f>'2017-18_working'!N32+'2017-18_working'!O32</f>
        <v>0</v>
      </c>
      <c r="O32" s="22">
        <f>'2017-18_working'!P32</f>
        <v>0</v>
      </c>
      <c r="P32" s="23">
        <f t="shared" si="2"/>
        <v>32.28947368421052</v>
      </c>
      <c r="Q32" s="22"/>
      <c r="R32" s="21">
        <f t="shared" si="3"/>
        <v>22</v>
      </c>
      <c r="S32" s="21">
        <f t="shared" si="4"/>
        <v>55</v>
      </c>
      <c r="T32" s="21">
        <f t="shared" si="5"/>
        <v>21</v>
      </c>
      <c r="U32" s="21">
        <f t="shared" si="6"/>
        <v>15</v>
      </c>
      <c r="V32" s="21">
        <f t="shared" si="7"/>
        <v>0</v>
      </c>
      <c r="W32" s="21">
        <f t="shared" si="8"/>
        <v>0</v>
      </c>
      <c r="X32" s="23">
        <f t="shared" si="9"/>
        <v>32.725663716814161</v>
      </c>
      <c r="Y32" s="22"/>
      <c r="Z32" s="22">
        <f>'2017-18_working'!R32</f>
        <v>0</v>
      </c>
      <c r="AA32" s="22">
        <f>'2017-18_working'!S32</f>
        <v>0</v>
      </c>
      <c r="AB32" s="22">
        <f>'2017-18_working'!T32</f>
        <v>0</v>
      </c>
      <c r="AC32" s="22">
        <f>'2017-18_working'!U32</f>
        <v>0</v>
      </c>
      <c r="AD32" s="22">
        <f>'2017-18_working'!V32+'2017-18_working'!W32</f>
        <v>0</v>
      </c>
      <c r="AE32" s="22">
        <f>'2017-18_working'!X32</f>
        <v>0</v>
      </c>
      <c r="AF32" s="23" t="str">
        <f t="shared" si="11"/>
        <v>-</v>
      </c>
      <c r="AG32" s="22"/>
      <c r="AH32" s="22">
        <f>'2017-18_working'!Z32</f>
        <v>11</v>
      </c>
      <c r="AI32" s="22">
        <f>'2017-18_working'!AA32</f>
        <v>14</v>
      </c>
      <c r="AJ32" s="22">
        <f>'2017-18_working'!AB32</f>
        <v>14</v>
      </c>
      <c r="AK32" s="22">
        <f>'2017-18_working'!AC32</f>
        <v>1</v>
      </c>
      <c r="AL32" s="22">
        <f>'2017-18_working'!AD32+'2017-18_working'!AE32</f>
        <v>5</v>
      </c>
      <c r="AM32" s="22">
        <f>'2017-18_working'!AF32</f>
        <v>0</v>
      </c>
      <c r="AN32" s="23">
        <f t="shared" si="13"/>
        <v>34.166666666666671</v>
      </c>
      <c r="AO32" s="22"/>
      <c r="AP32" s="21">
        <f t="shared" si="14"/>
        <v>33</v>
      </c>
      <c r="AQ32" s="21">
        <f t="shared" si="15"/>
        <v>69</v>
      </c>
      <c r="AR32" s="21">
        <f t="shared" si="16"/>
        <v>35</v>
      </c>
      <c r="AS32" s="21">
        <f t="shared" si="17"/>
        <v>16</v>
      </c>
      <c r="AT32" s="21">
        <f t="shared" si="18"/>
        <v>5</v>
      </c>
      <c r="AU32" s="21">
        <f t="shared" si="19"/>
        <v>0</v>
      </c>
      <c r="AV32" s="23">
        <f t="shared" si="20"/>
        <v>33.13607594936709</v>
      </c>
      <c r="AW32" s="17"/>
      <c r="AX32" s="19">
        <f t="shared" si="26"/>
        <v>158</v>
      </c>
      <c r="AY32" s="19">
        <v>158</v>
      </c>
      <c r="AZ32" s="18">
        <f t="shared" si="27"/>
        <v>0</v>
      </c>
      <c r="BA32" s="17"/>
      <c r="BB32" s="17"/>
      <c r="BC32" s="17"/>
      <c r="BD32" s="17"/>
      <c r="BE32" s="17"/>
    </row>
    <row r="33" spans="1:57" s="7" customFormat="1" ht="15" customHeight="1" x14ac:dyDescent="0.35">
      <c r="A33" s="2" t="s">
        <v>38</v>
      </c>
      <c r="B33" s="22">
        <f>'2017-18_working'!B33</f>
        <v>4</v>
      </c>
      <c r="C33" s="22">
        <f>'2017-18_working'!C33</f>
        <v>17</v>
      </c>
      <c r="D33" s="22">
        <f>'2017-18_working'!D33</f>
        <v>4</v>
      </c>
      <c r="E33" s="22">
        <f>'2017-18_working'!E33</f>
        <v>0</v>
      </c>
      <c r="F33" s="22">
        <f>'2017-18_working'!F33+'2017-18_working'!G33</f>
        <v>0</v>
      </c>
      <c r="G33" s="22">
        <f>'2017-18_working'!H33</f>
        <v>0</v>
      </c>
      <c r="H33" s="23">
        <f t="shared" si="22"/>
        <v>30.080000000000002</v>
      </c>
      <c r="I33" s="22"/>
      <c r="J33" s="22">
        <f>'2017-18_working'!J33</f>
        <v>4</v>
      </c>
      <c r="K33" s="22">
        <f>'2017-18_working'!K33</f>
        <v>13</v>
      </c>
      <c r="L33" s="22">
        <f>'2017-18_working'!L33</f>
        <v>8</v>
      </c>
      <c r="M33" s="22">
        <f>'2017-18_working'!M33</f>
        <v>2</v>
      </c>
      <c r="N33" s="22">
        <f>'2017-18_working'!N33+'2017-18_working'!O33</f>
        <v>0</v>
      </c>
      <c r="O33" s="22">
        <f>'2017-18_working'!P33</f>
        <v>0</v>
      </c>
      <c r="P33" s="23">
        <f t="shared" si="2"/>
        <v>33.148148148148145</v>
      </c>
      <c r="Q33" s="22"/>
      <c r="R33" s="21">
        <f t="shared" si="3"/>
        <v>8</v>
      </c>
      <c r="S33" s="21">
        <f t="shared" si="4"/>
        <v>30</v>
      </c>
      <c r="T33" s="21">
        <f t="shared" si="5"/>
        <v>12</v>
      </c>
      <c r="U33" s="21">
        <f t="shared" si="6"/>
        <v>2</v>
      </c>
      <c r="V33" s="21">
        <f t="shared" si="7"/>
        <v>0</v>
      </c>
      <c r="W33" s="21">
        <f t="shared" si="8"/>
        <v>0</v>
      </c>
      <c r="X33" s="23">
        <f t="shared" si="9"/>
        <v>31.673076923076923</v>
      </c>
      <c r="Y33" s="22"/>
      <c r="Z33" s="22">
        <f>'2017-18_working'!R33</f>
        <v>0</v>
      </c>
      <c r="AA33" s="22">
        <f>'2017-18_working'!S33</f>
        <v>2</v>
      </c>
      <c r="AB33" s="22">
        <f>'2017-18_working'!T33</f>
        <v>0</v>
      </c>
      <c r="AC33" s="22">
        <f>'2017-18_working'!U33</f>
        <v>0</v>
      </c>
      <c r="AD33" s="22">
        <f>'2017-18_working'!V33+'2017-18_working'!W33</f>
        <v>0</v>
      </c>
      <c r="AE33" s="22">
        <f>'2017-18_working'!X33</f>
        <v>0</v>
      </c>
      <c r="AF33" s="23">
        <f t="shared" si="11"/>
        <v>30</v>
      </c>
      <c r="AG33" s="22"/>
      <c r="AH33" s="22">
        <f>'2017-18_working'!Z33</f>
        <v>1</v>
      </c>
      <c r="AI33" s="22">
        <f>'2017-18_working'!AA33</f>
        <v>4</v>
      </c>
      <c r="AJ33" s="22">
        <f>'2017-18_working'!AB33</f>
        <v>2</v>
      </c>
      <c r="AK33" s="22">
        <f>'2017-18_working'!AC33</f>
        <v>5</v>
      </c>
      <c r="AL33" s="22">
        <f>'2017-18_working'!AD33+'2017-18_working'!AE33</f>
        <v>0</v>
      </c>
      <c r="AM33" s="22">
        <f>'2017-18_working'!AF33</f>
        <v>0</v>
      </c>
      <c r="AN33" s="23">
        <f t="shared" si="13"/>
        <v>39.458333333333329</v>
      </c>
      <c r="AO33" s="22"/>
      <c r="AP33" s="21">
        <f t="shared" si="14"/>
        <v>9</v>
      </c>
      <c r="AQ33" s="21">
        <f t="shared" si="15"/>
        <v>36</v>
      </c>
      <c r="AR33" s="21">
        <f t="shared" si="16"/>
        <v>14</v>
      </c>
      <c r="AS33" s="21">
        <f t="shared" si="17"/>
        <v>7</v>
      </c>
      <c r="AT33" s="21">
        <f t="shared" si="18"/>
        <v>0</v>
      </c>
      <c r="AU33" s="21">
        <f t="shared" si="19"/>
        <v>0</v>
      </c>
      <c r="AV33" s="23">
        <f t="shared" si="20"/>
        <v>33.037878787878789</v>
      </c>
      <c r="AW33" s="17"/>
      <c r="AX33" s="19">
        <f t="shared" si="26"/>
        <v>66</v>
      </c>
      <c r="AY33" s="19">
        <v>66</v>
      </c>
      <c r="AZ33" s="18">
        <f t="shared" si="27"/>
        <v>0</v>
      </c>
      <c r="BA33" s="17"/>
      <c r="BB33" s="17"/>
      <c r="BC33" s="17"/>
      <c r="BD33" s="17"/>
      <c r="BE33" s="17"/>
    </row>
    <row r="34" spans="1:57" s="7" customFormat="1" ht="15" customHeight="1" x14ac:dyDescent="0.35">
      <c r="A34" s="3" t="s">
        <v>39</v>
      </c>
      <c r="B34" s="22">
        <f>'2017-18_working'!B34</f>
        <v>0</v>
      </c>
      <c r="C34" s="22">
        <f>'2017-18_working'!C34</f>
        <v>4</v>
      </c>
      <c r="D34" s="22">
        <f>'2017-18_working'!D34</f>
        <v>3</v>
      </c>
      <c r="E34" s="22">
        <f>'2017-18_working'!E34</f>
        <v>3</v>
      </c>
      <c r="F34" s="22">
        <f>'2017-18_working'!F34+'2017-18_working'!G34</f>
        <v>0</v>
      </c>
      <c r="G34" s="22">
        <f>'2017-18_working'!H34</f>
        <v>0</v>
      </c>
      <c r="H34" s="23">
        <f t="shared" si="22"/>
        <v>39.299999999999997</v>
      </c>
      <c r="I34" s="22"/>
      <c r="J34" s="22">
        <f>'2017-18_working'!J34</f>
        <v>14</v>
      </c>
      <c r="K34" s="22">
        <f>'2017-18_working'!K34</f>
        <v>23</v>
      </c>
      <c r="L34" s="22">
        <f>'2017-18_working'!L34</f>
        <v>5</v>
      </c>
      <c r="M34" s="22">
        <f>'2017-18_working'!M34</f>
        <v>3</v>
      </c>
      <c r="N34" s="22">
        <f>'2017-18_working'!N34+'2017-18_working'!O34</f>
        <v>0</v>
      </c>
      <c r="O34" s="22">
        <f>'2017-18_working'!P34</f>
        <v>0</v>
      </c>
      <c r="P34" s="23">
        <f t="shared" si="2"/>
        <v>29.422222222222221</v>
      </c>
      <c r="Q34" s="22"/>
      <c r="R34" s="21">
        <f t="shared" si="3"/>
        <v>14</v>
      </c>
      <c r="S34" s="21">
        <f t="shared" si="4"/>
        <v>27</v>
      </c>
      <c r="T34" s="21">
        <f t="shared" si="5"/>
        <v>8</v>
      </c>
      <c r="U34" s="21">
        <f t="shared" si="6"/>
        <v>6</v>
      </c>
      <c r="V34" s="21">
        <f t="shared" si="7"/>
        <v>0</v>
      </c>
      <c r="W34" s="21">
        <f t="shared" si="8"/>
        <v>0</v>
      </c>
      <c r="X34" s="23">
        <f t="shared" si="9"/>
        <v>31.218181818181815</v>
      </c>
      <c r="Y34" s="22"/>
      <c r="Z34" s="22">
        <f>'2017-18_working'!R34</f>
        <v>2</v>
      </c>
      <c r="AA34" s="22">
        <f>'2017-18_working'!S34</f>
        <v>0</v>
      </c>
      <c r="AB34" s="22">
        <f>'2017-18_working'!T34</f>
        <v>0</v>
      </c>
      <c r="AC34" s="22">
        <f>'2017-18_working'!U34</f>
        <v>0</v>
      </c>
      <c r="AD34" s="22">
        <f>'2017-18_working'!V34+'2017-18_working'!W34</f>
        <v>0</v>
      </c>
      <c r="AE34" s="22">
        <f>'2017-18_working'!X34</f>
        <v>0</v>
      </c>
      <c r="AF34" s="23">
        <f t="shared" si="11"/>
        <v>20</v>
      </c>
      <c r="AG34" s="22"/>
      <c r="AH34" s="22">
        <f>'2017-18_working'!Z34</f>
        <v>0</v>
      </c>
      <c r="AI34" s="22">
        <f>'2017-18_working'!AA34</f>
        <v>3</v>
      </c>
      <c r="AJ34" s="22">
        <f>'2017-18_working'!AB34</f>
        <v>0</v>
      </c>
      <c r="AK34" s="22">
        <f>'2017-18_working'!AC34</f>
        <v>0</v>
      </c>
      <c r="AL34" s="22">
        <f>'2017-18_working'!AD34+'2017-18_working'!AE34</f>
        <v>0</v>
      </c>
      <c r="AM34" s="22">
        <f>'2017-18_working'!AF34</f>
        <v>0</v>
      </c>
      <c r="AN34" s="23">
        <f t="shared" si="13"/>
        <v>30</v>
      </c>
      <c r="AO34" s="22"/>
      <c r="AP34" s="21">
        <f t="shared" si="14"/>
        <v>16</v>
      </c>
      <c r="AQ34" s="21">
        <f t="shared" si="15"/>
        <v>30</v>
      </c>
      <c r="AR34" s="21">
        <f t="shared" si="16"/>
        <v>8</v>
      </c>
      <c r="AS34" s="21">
        <f t="shared" si="17"/>
        <v>6</v>
      </c>
      <c r="AT34" s="21">
        <f t="shared" si="18"/>
        <v>0</v>
      </c>
      <c r="AU34" s="21">
        <f t="shared" si="19"/>
        <v>0</v>
      </c>
      <c r="AV34" s="23">
        <f t="shared" si="20"/>
        <v>30.783333333333335</v>
      </c>
      <c r="AW34" s="17"/>
      <c r="AX34" s="19">
        <f t="shared" si="26"/>
        <v>60</v>
      </c>
      <c r="AY34" s="19">
        <v>60</v>
      </c>
      <c r="AZ34" s="18">
        <f t="shared" si="27"/>
        <v>0</v>
      </c>
      <c r="BA34" s="17"/>
      <c r="BB34" s="17"/>
      <c r="BC34" s="17"/>
      <c r="BD34" s="17"/>
      <c r="BE34" s="17"/>
    </row>
    <row r="35" spans="1:57" s="7" customFormat="1" ht="15" customHeight="1" x14ac:dyDescent="0.35">
      <c r="A35" s="3" t="s">
        <v>40</v>
      </c>
      <c r="B35" s="22">
        <f>'2017-18_working'!B35</f>
        <v>4</v>
      </c>
      <c r="C35" s="22">
        <f>'2017-18_working'!C35</f>
        <v>12</v>
      </c>
      <c r="D35" s="22">
        <f>'2017-18_working'!D35</f>
        <v>3</v>
      </c>
      <c r="E35" s="22">
        <f>'2017-18_working'!E35</f>
        <v>0</v>
      </c>
      <c r="F35" s="22">
        <f>'2017-18_working'!F35+'2017-18_working'!G35</f>
        <v>0</v>
      </c>
      <c r="G35" s="22">
        <f>'2017-18_working'!H35</f>
        <v>0</v>
      </c>
      <c r="H35" s="23">
        <f t="shared" si="22"/>
        <v>29.552631578947366</v>
      </c>
      <c r="I35" s="22"/>
      <c r="J35" s="22">
        <f>'2017-18_working'!J35</f>
        <v>15</v>
      </c>
      <c r="K35" s="22">
        <f>'2017-18_working'!K35</f>
        <v>29</v>
      </c>
      <c r="L35" s="22">
        <f>'2017-18_working'!L35</f>
        <v>8</v>
      </c>
      <c r="M35" s="22">
        <f>'2017-18_working'!M35</f>
        <v>3</v>
      </c>
      <c r="N35" s="22">
        <f>'2017-18_working'!N35+'2017-18_working'!O35</f>
        <v>1</v>
      </c>
      <c r="O35" s="22">
        <f>'2017-18_working'!P35</f>
        <v>0</v>
      </c>
      <c r="P35" s="23">
        <f t="shared" si="2"/>
        <v>30.383928571428569</v>
      </c>
      <c r="Q35" s="22"/>
      <c r="R35" s="21">
        <f t="shared" si="3"/>
        <v>19</v>
      </c>
      <c r="S35" s="21">
        <f t="shared" si="4"/>
        <v>41</v>
      </c>
      <c r="T35" s="21">
        <f t="shared" si="5"/>
        <v>11</v>
      </c>
      <c r="U35" s="21">
        <f t="shared" si="6"/>
        <v>3</v>
      </c>
      <c r="V35" s="21">
        <f t="shared" si="7"/>
        <v>1</v>
      </c>
      <c r="W35" s="21">
        <f t="shared" si="8"/>
        <v>0</v>
      </c>
      <c r="X35" s="23">
        <f t="shared" si="9"/>
        <v>30.173333333333332</v>
      </c>
      <c r="Y35" s="22"/>
      <c r="Z35" s="22">
        <f>'2017-18_working'!R35</f>
        <v>0</v>
      </c>
      <c r="AA35" s="22">
        <f>'2017-18_working'!S35</f>
        <v>2</v>
      </c>
      <c r="AB35" s="22">
        <f>'2017-18_working'!T35</f>
        <v>1</v>
      </c>
      <c r="AC35" s="22">
        <f>'2017-18_working'!U35</f>
        <v>1</v>
      </c>
      <c r="AD35" s="22">
        <f>'2017-18_working'!V35+'2017-18_working'!W35</f>
        <v>0</v>
      </c>
      <c r="AE35" s="22">
        <f>'2017-18_working'!X35</f>
        <v>0</v>
      </c>
      <c r="AF35" s="23">
        <f t="shared" si="11"/>
        <v>37.75</v>
      </c>
      <c r="AG35" s="22"/>
      <c r="AH35" s="22">
        <f>'2017-18_working'!Z35</f>
        <v>1</v>
      </c>
      <c r="AI35" s="22">
        <f>'2017-18_working'!AA35</f>
        <v>2</v>
      </c>
      <c r="AJ35" s="22">
        <f>'2017-18_working'!AB35</f>
        <v>4</v>
      </c>
      <c r="AK35" s="22">
        <f>'2017-18_working'!AC35</f>
        <v>6</v>
      </c>
      <c r="AL35" s="22">
        <f>'2017-18_working'!AD35+'2017-18_working'!AE35</f>
        <v>3</v>
      </c>
      <c r="AM35" s="22">
        <f>'2017-18_working'!AF35</f>
        <v>0</v>
      </c>
      <c r="AN35" s="23">
        <f t="shared" si="13"/>
        <v>44.5625</v>
      </c>
      <c r="AO35" s="22"/>
      <c r="AP35" s="21">
        <f t="shared" si="14"/>
        <v>20</v>
      </c>
      <c r="AQ35" s="21">
        <f t="shared" si="15"/>
        <v>45</v>
      </c>
      <c r="AR35" s="21">
        <f t="shared" si="16"/>
        <v>16</v>
      </c>
      <c r="AS35" s="21">
        <f t="shared" si="17"/>
        <v>10</v>
      </c>
      <c r="AT35" s="21">
        <f t="shared" si="18"/>
        <v>4</v>
      </c>
      <c r="AU35" s="21">
        <f t="shared" si="19"/>
        <v>0</v>
      </c>
      <c r="AV35" s="23">
        <f t="shared" si="20"/>
        <v>32.915789473684207</v>
      </c>
      <c r="AW35" s="17"/>
      <c r="AX35" s="19">
        <f t="shared" si="26"/>
        <v>95</v>
      </c>
      <c r="AY35" s="19">
        <v>95</v>
      </c>
      <c r="AZ35" s="18">
        <f t="shared" si="27"/>
        <v>0</v>
      </c>
      <c r="BA35" s="17"/>
      <c r="BB35" s="17"/>
      <c r="BC35" s="17"/>
      <c r="BD35" s="17"/>
      <c r="BE35" s="17"/>
    </row>
    <row r="36" spans="1:57" s="7" customFormat="1" ht="15" customHeight="1" x14ac:dyDescent="0.35">
      <c r="A36" s="2" t="s">
        <v>41</v>
      </c>
      <c r="B36" s="22">
        <f>'2017-18_working'!B36</f>
        <v>0</v>
      </c>
      <c r="C36" s="22">
        <f>'2017-18_working'!C36</f>
        <v>0</v>
      </c>
      <c r="D36" s="22">
        <f>'2017-18_working'!D36</f>
        <v>0</v>
      </c>
      <c r="E36" s="22">
        <f>'2017-18_working'!E36</f>
        <v>0</v>
      </c>
      <c r="F36" s="22">
        <f>'2017-18_working'!F36+'2017-18_working'!G36</f>
        <v>0</v>
      </c>
      <c r="G36" s="22">
        <f>'2017-18_working'!H36</f>
        <v>0</v>
      </c>
      <c r="H36" s="23" t="str">
        <f t="shared" si="22"/>
        <v>-</v>
      </c>
      <c r="I36" s="22"/>
      <c r="J36" s="22">
        <f>'2017-18_working'!J36</f>
        <v>0</v>
      </c>
      <c r="K36" s="22">
        <f>'2017-18_working'!K36</f>
        <v>0</v>
      </c>
      <c r="L36" s="22">
        <f>'2017-18_working'!L36</f>
        <v>0</v>
      </c>
      <c r="M36" s="22">
        <f>'2017-18_working'!M36</f>
        <v>0</v>
      </c>
      <c r="N36" s="22">
        <f>'2017-18_working'!N36+'2017-18_working'!O36</f>
        <v>0</v>
      </c>
      <c r="O36" s="22">
        <f>'2017-18_working'!P36</f>
        <v>0</v>
      </c>
      <c r="P36" s="23" t="str">
        <f t="shared" si="2"/>
        <v>-</v>
      </c>
      <c r="Q36" s="22"/>
      <c r="R36" s="21">
        <f t="shared" si="3"/>
        <v>0</v>
      </c>
      <c r="S36" s="21">
        <f t="shared" si="4"/>
        <v>0</v>
      </c>
      <c r="T36" s="21">
        <f t="shared" si="5"/>
        <v>0</v>
      </c>
      <c r="U36" s="21">
        <f t="shared" si="6"/>
        <v>0</v>
      </c>
      <c r="V36" s="21">
        <f t="shared" si="7"/>
        <v>0</v>
      </c>
      <c r="W36" s="21">
        <f t="shared" si="8"/>
        <v>0</v>
      </c>
      <c r="X36" s="23" t="str">
        <f t="shared" si="9"/>
        <v>-</v>
      </c>
      <c r="Y36" s="22"/>
      <c r="Z36" s="22">
        <f>'2017-18_working'!R36</f>
        <v>1</v>
      </c>
      <c r="AA36" s="22">
        <f>'2017-18_working'!S36</f>
        <v>4</v>
      </c>
      <c r="AB36" s="22">
        <f>'2017-18_working'!T36</f>
        <v>5</v>
      </c>
      <c r="AC36" s="22">
        <f>'2017-18_working'!U36</f>
        <v>0</v>
      </c>
      <c r="AD36" s="22">
        <f>'2017-18_working'!V36+'2017-18_working'!W36</f>
        <v>0</v>
      </c>
      <c r="AE36" s="22">
        <f>'2017-18_working'!X36</f>
        <v>0</v>
      </c>
      <c r="AF36" s="23">
        <f t="shared" si="11"/>
        <v>34.25</v>
      </c>
      <c r="AG36" s="22"/>
      <c r="AH36" s="22">
        <f>'2017-18_working'!Z36</f>
        <v>0</v>
      </c>
      <c r="AI36" s="22">
        <f>'2017-18_working'!AA36</f>
        <v>0</v>
      </c>
      <c r="AJ36" s="22">
        <f>'2017-18_working'!AB36</f>
        <v>0</v>
      </c>
      <c r="AK36" s="22">
        <f>'2017-18_working'!AC36</f>
        <v>0</v>
      </c>
      <c r="AL36" s="22">
        <f>'2017-18_working'!AD36+'2017-18_working'!AE36</f>
        <v>0</v>
      </c>
      <c r="AM36" s="22">
        <f>'2017-18_working'!AF36</f>
        <v>0</v>
      </c>
      <c r="AN36" s="23" t="str">
        <f t="shared" si="13"/>
        <v>-</v>
      </c>
      <c r="AO36" s="22"/>
      <c r="AP36" s="21">
        <f t="shared" si="14"/>
        <v>1</v>
      </c>
      <c r="AQ36" s="21">
        <f t="shared" si="15"/>
        <v>4</v>
      </c>
      <c r="AR36" s="21">
        <f t="shared" si="16"/>
        <v>5</v>
      </c>
      <c r="AS36" s="21">
        <f t="shared" si="17"/>
        <v>0</v>
      </c>
      <c r="AT36" s="21">
        <f t="shared" si="18"/>
        <v>0</v>
      </c>
      <c r="AU36" s="21">
        <f t="shared" si="19"/>
        <v>0</v>
      </c>
      <c r="AV36" s="23">
        <f t="shared" si="20"/>
        <v>34.25</v>
      </c>
      <c r="AW36" s="17"/>
      <c r="AX36" s="19">
        <f t="shared" si="26"/>
        <v>10</v>
      </c>
      <c r="AY36" s="19">
        <v>10</v>
      </c>
      <c r="AZ36" s="18">
        <f t="shared" si="27"/>
        <v>0</v>
      </c>
      <c r="BA36" s="17"/>
      <c r="BB36" s="17"/>
      <c r="BC36" s="17"/>
      <c r="BD36" s="17"/>
      <c r="BE36" s="17"/>
    </row>
    <row r="37" spans="1:57" s="7" customFormat="1" ht="15" customHeight="1" x14ac:dyDescent="0.35">
      <c r="A37" s="3" t="s">
        <v>42</v>
      </c>
      <c r="B37" s="22">
        <f>'2017-18_working'!B37</f>
        <v>0</v>
      </c>
      <c r="C37" s="22">
        <f>'2017-18_working'!C37</f>
        <v>1</v>
      </c>
      <c r="D37" s="22">
        <f>'2017-18_working'!D37</f>
        <v>1</v>
      </c>
      <c r="E37" s="22">
        <f>'2017-18_working'!E37</f>
        <v>2</v>
      </c>
      <c r="F37" s="22">
        <f>'2017-18_working'!F37+'2017-18_working'!G37</f>
        <v>0</v>
      </c>
      <c r="G37" s="22">
        <f>'2017-18_working'!H37</f>
        <v>0</v>
      </c>
      <c r="H37" s="23">
        <f t="shared" si="22"/>
        <v>42.875</v>
      </c>
      <c r="I37" s="22"/>
      <c r="J37" s="22">
        <f>'2017-18_working'!J37</f>
        <v>12</v>
      </c>
      <c r="K37" s="22">
        <f>'2017-18_working'!K37</f>
        <v>31</v>
      </c>
      <c r="L37" s="22">
        <f>'2017-18_working'!L37</f>
        <v>9</v>
      </c>
      <c r="M37" s="22">
        <f>'2017-18_working'!M37</f>
        <v>1</v>
      </c>
      <c r="N37" s="22">
        <f>'2017-18_working'!N37+'2017-18_working'!O37</f>
        <v>0</v>
      </c>
      <c r="O37" s="22">
        <f>'2017-18_working'!P37</f>
        <v>0</v>
      </c>
      <c r="P37" s="23">
        <f t="shared" si="2"/>
        <v>29.90566037735849</v>
      </c>
      <c r="Q37" s="22"/>
      <c r="R37" s="21">
        <f t="shared" si="3"/>
        <v>12</v>
      </c>
      <c r="S37" s="21">
        <f t="shared" si="4"/>
        <v>32</v>
      </c>
      <c r="T37" s="21">
        <f t="shared" si="5"/>
        <v>10</v>
      </c>
      <c r="U37" s="21">
        <f t="shared" si="6"/>
        <v>3</v>
      </c>
      <c r="V37" s="21">
        <f t="shared" si="7"/>
        <v>0</v>
      </c>
      <c r="W37" s="21">
        <f t="shared" si="8"/>
        <v>0</v>
      </c>
      <c r="X37" s="23">
        <f t="shared" si="9"/>
        <v>30.815789473684209</v>
      </c>
      <c r="Y37" s="22"/>
      <c r="Z37" s="22">
        <f>'2017-18_working'!R37</f>
        <v>0</v>
      </c>
      <c r="AA37" s="22">
        <f>'2017-18_working'!S37</f>
        <v>2</v>
      </c>
      <c r="AB37" s="22">
        <f>'2017-18_working'!T37</f>
        <v>0</v>
      </c>
      <c r="AC37" s="22">
        <f>'2017-18_working'!U37</f>
        <v>0</v>
      </c>
      <c r="AD37" s="22">
        <f>'2017-18_working'!V37+'2017-18_working'!W37</f>
        <v>1</v>
      </c>
      <c r="AE37" s="22">
        <f>'2017-18_working'!X37</f>
        <v>0</v>
      </c>
      <c r="AF37" s="23">
        <f t="shared" si="11"/>
        <v>38.666666666666664</v>
      </c>
      <c r="AG37" s="22"/>
      <c r="AH37" s="22">
        <f>'2017-18_working'!Z37</f>
        <v>0</v>
      </c>
      <c r="AI37" s="22">
        <f>'2017-18_working'!AA37</f>
        <v>6</v>
      </c>
      <c r="AJ37" s="22">
        <f>'2017-18_working'!AB37</f>
        <v>8</v>
      </c>
      <c r="AK37" s="22">
        <f>'2017-18_working'!AC37</f>
        <v>5</v>
      </c>
      <c r="AL37" s="22">
        <f>'2017-18_working'!AD37+'2017-18_working'!AE37</f>
        <v>1</v>
      </c>
      <c r="AM37" s="22">
        <f>'2017-18_working'!AF37</f>
        <v>0</v>
      </c>
      <c r="AN37" s="23">
        <f t="shared" si="13"/>
        <v>40.625</v>
      </c>
      <c r="AO37" s="22"/>
      <c r="AP37" s="21">
        <f t="shared" si="14"/>
        <v>12</v>
      </c>
      <c r="AQ37" s="21">
        <f t="shared" si="15"/>
        <v>40</v>
      </c>
      <c r="AR37" s="21">
        <f t="shared" si="16"/>
        <v>18</v>
      </c>
      <c r="AS37" s="21">
        <f t="shared" si="17"/>
        <v>8</v>
      </c>
      <c r="AT37" s="21">
        <f t="shared" si="18"/>
        <v>2</v>
      </c>
      <c r="AU37" s="21">
        <f t="shared" si="19"/>
        <v>0</v>
      </c>
      <c r="AV37" s="23">
        <f t="shared" si="20"/>
        <v>33.5625</v>
      </c>
      <c r="AW37" s="17"/>
      <c r="AX37" s="19">
        <f t="shared" si="26"/>
        <v>80</v>
      </c>
      <c r="AY37" s="19">
        <v>80</v>
      </c>
      <c r="AZ37" s="18">
        <f t="shared" si="27"/>
        <v>0</v>
      </c>
      <c r="BA37" s="17"/>
      <c r="BB37" s="17"/>
      <c r="BC37" s="17"/>
      <c r="BD37" s="17"/>
      <c r="BE37" s="17"/>
    </row>
    <row r="38" spans="1:57" s="7" customFormat="1" ht="15" customHeight="1" x14ac:dyDescent="0.35">
      <c r="A38" s="3" t="s">
        <v>43</v>
      </c>
      <c r="B38" s="22">
        <f>'2017-18_working'!B38</f>
        <v>2</v>
      </c>
      <c r="C38" s="22">
        <f>'2017-18_working'!C38</f>
        <v>8</v>
      </c>
      <c r="D38" s="22">
        <f>'2017-18_working'!D38</f>
        <v>3</v>
      </c>
      <c r="E38" s="22">
        <f>'2017-18_working'!E38</f>
        <v>0</v>
      </c>
      <c r="F38" s="22">
        <f>'2017-18_working'!F38+'2017-18_working'!G38</f>
        <v>0</v>
      </c>
      <c r="G38" s="22">
        <f>'2017-18_working'!H38</f>
        <v>0</v>
      </c>
      <c r="H38" s="23">
        <f t="shared" si="22"/>
        <v>30.884615384615387</v>
      </c>
      <c r="I38" s="22"/>
      <c r="J38" s="22">
        <f>'2017-18_working'!J38</f>
        <v>5</v>
      </c>
      <c r="K38" s="22">
        <f>'2017-18_working'!K38</f>
        <v>23</v>
      </c>
      <c r="L38" s="22">
        <f>'2017-18_working'!L38</f>
        <v>5</v>
      </c>
      <c r="M38" s="22">
        <f>'2017-18_working'!M38</f>
        <v>1</v>
      </c>
      <c r="N38" s="22">
        <f>'2017-18_working'!N38+'2017-18_working'!O38</f>
        <v>0</v>
      </c>
      <c r="O38" s="22">
        <f>'2017-18_working'!P38</f>
        <v>0</v>
      </c>
      <c r="P38" s="23">
        <f t="shared" si="2"/>
        <v>30.676470588235297</v>
      </c>
      <c r="Q38" s="22"/>
      <c r="R38" s="21">
        <f t="shared" si="3"/>
        <v>7</v>
      </c>
      <c r="S38" s="21">
        <f t="shared" si="4"/>
        <v>31</v>
      </c>
      <c r="T38" s="21">
        <f t="shared" si="5"/>
        <v>8</v>
      </c>
      <c r="U38" s="21">
        <f t="shared" si="6"/>
        <v>1</v>
      </c>
      <c r="V38" s="21">
        <f t="shared" si="7"/>
        <v>0</v>
      </c>
      <c r="W38" s="21">
        <f t="shared" si="8"/>
        <v>0</v>
      </c>
      <c r="X38" s="23">
        <f t="shared" si="9"/>
        <v>30.734042553191486</v>
      </c>
      <c r="Y38" s="22"/>
      <c r="Z38" s="22">
        <f>'2017-18_working'!R38</f>
        <v>0</v>
      </c>
      <c r="AA38" s="22">
        <f>'2017-18_working'!S38</f>
        <v>0</v>
      </c>
      <c r="AB38" s="22">
        <f>'2017-18_working'!T38</f>
        <v>0</v>
      </c>
      <c r="AC38" s="22">
        <f>'2017-18_working'!U38</f>
        <v>0</v>
      </c>
      <c r="AD38" s="22">
        <f>'2017-18_working'!V38+'2017-18_working'!W38</f>
        <v>0</v>
      </c>
      <c r="AE38" s="22">
        <f>'2017-18_working'!X38</f>
        <v>0</v>
      </c>
      <c r="AF38" s="23" t="str">
        <f t="shared" si="11"/>
        <v>-</v>
      </c>
      <c r="AG38" s="22"/>
      <c r="AH38" s="22">
        <f>'2017-18_working'!Z38</f>
        <v>2</v>
      </c>
      <c r="AI38" s="22">
        <f>'2017-18_working'!AA38</f>
        <v>1</v>
      </c>
      <c r="AJ38" s="22">
        <f>'2017-18_working'!AB38</f>
        <v>2</v>
      </c>
      <c r="AK38" s="22">
        <f>'2017-18_working'!AC38</f>
        <v>3</v>
      </c>
      <c r="AL38" s="22">
        <f>'2017-18_working'!AD38+'2017-18_working'!AE38</f>
        <v>2</v>
      </c>
      <c r="AM38" s="22">
        <f>'2017-18_working'!AF38</f>
        <v>0</v>
      </c>
      <c r="AN38" s="23">
        <f t="shared" si="13"/>
        <v>41.45</v>
      </c>
      <c r="AO38" s="22"/>
      <c r="AP38" s="21">
        <f t="shared" si="14"/>
        <v>9</v>
      </c>
      <c r="AQ38" s="21">
        <f t="shared" si="15"/>
        <v>32</v>
      </c>
      <c r="AR38" s="21">
        <f t="shared" si="16"/>
        <v>10</v>
      </c>
      <c r="AS38" s="21">
        <f t="shared" si="17"/>
        <v>4</v>
      </c>
      <c r="AT38" s="21">
        <f t="shared" si="18"/>
        <v>2</v>
      </c>
      <c r="AU38" s="21">
        <f t="shared" si="19"/>
        <v>0</v>
      </c>
      <c r="AV38" s="23">
        <f t="shared" si="20"/>
        <v>32.614035087719301</v>
      </c>
      <c r="AW38" s="17"/>
      <c r="AX38" s="19">
        <f t="shared" si="26"/>
        <v>57</v>
      </c>
      <c r="AY38" s="19">
        <v>57</v>
      </c>
      <c r="AZ38" s="18">
        <f t="shared" si="27"/>
        <v>0</v>
      </c>
      <c r="BA38" s="17"/>
      <c r="BB38" s="17"/>
      <c r="BC38" s="17"/>
      <c r="BD38" s="17"/>
      <c r="BE38" s="17"/>
    </row>
    <row r="39" spans="1:57" s="7" customFormat="1" ht="15" customHeight="1" x14ac:dyDescent="0.35">
      <c r="A39" s="3" t="s">
        <v>44</v>
      </c>
      <c r="B39" s="22">
        <f>'2017-18_working'!B39</f>
        <v>0</v>
      </c>
      <c r="C39" s="22">
        <f>'2017-18_working'!C39</f>
        <v>1</v>
      </c>
      <c r="D39" s="22">
        <f>'2017-18_working'!D39</f>
        <v>0</v>
      </c>
      <c r="E39" s="22">
        <f>'2017-18_working'!E39</f>
        <v>0</v>
      </c>
      <c r="F39" s="22">
        <f>'2017-18_working'!F39+'2017-18_working'!G39</f>
        <v>0</v>
      </c>
      <c r="G39" s="22">
        <f>'2017-18_working'!H39</f>
        <v>0</v>
      </c>
      <c r="H39" s="23">
        <f t="shared" si="22"/>
        <v>30</v>
      </c>
      <c r="I39" s="22"/>
      <c r="J39" s="22">
        <f>'2017-18_working'!J39</f>
        <v>5</v>
      </c>
      <c r="K39" s="22">
        <f>'2017-18_working'!K39</f>
        <v>10</v>
      </c>
      <c r="L39" s="22">
        <f>'2017-18_working'!L39</f>
        <v>1</v>
      </c>
      <c r="M39" s="22">
        <f>'2017-18_working'!M39</f>
        <v>2</v>
      </c>
      <c r="N39" s="22">
        <f>'2017-18_working'!N39+'2017-18_working'!O39</f>
        <v>0</v>
      </c>
      <c r="O39" s="22">
        <f>'2017-18_working'!P39</f>
        <v>0</v>
      </c>
      <c r="P39" s="23">
        <f t="shared" si="2"/>
        <v>30.083333333333332</v>
      </c>
      <c r="Q39" s="22"/>
      <c r="R39" s="21">
        <f t="shared" si="3"/>
        <v>5</v>
      </c>
      <c r="S39" s="21">
        <f t="shared" si="4"/>
        <v>11</v>
      </c>
      <c r="T39" s="21">
        <f t="shared" si="5"/>
        <v>1</v>
      </c>
      <c r="U39" s="21">
        <f t="shared" si="6"/>
        <v>2</v>
      </c>
      <c r="V39" s="21">
        <f t="shared" si="7"/>
        <v>0</v>
      </c>
      <c r="W39" s="21">
        <f t="shared" si="8"/>
        <v>0</v>
      </c>
      <c r="X39" s="23">
        <f t="shared" si="9"/>
        <v>30.078947368421055</v>
      </c>
      <c r="Y39" s="22"/>
      <c r="Z39" s="22">
        <f>'2017-18_working'!R39</f>
        <v>0</v>
      </c>
      <c r="AA39" s="22">
        <f>'2017-18_working'!S39</f>
        <v>0</v>
      </c>
      <c r="AB39" s="22">
        <f>'2017-18_working'!T39</f>
        <v>0</v>
      </c>
      <c r="AC39" s="22">
        <f>'2017-18_working'!U39</f>
        <v>1</v>
      </c>
      <c r="AD39" s="22">
        <f>'2017-18_working'!V39+'2017-18_working'!W39</f>
        <v>0</v>
      </c>
      <c r="AE39" s="22">
        <f>'2017-18_working'!X39</f>
        <v>0</v>
      </c>
      <c r="AF39" s="23">
        <f t="shared" si="11"/>
        <v>50.5</v>
      </c>
      <c r="AG39" s="22"/>
      <c r="AH39" s="22">
        <f>'2017-18_working'!Z39</f>
        <v>0</v>
      </c>
      <c r="AI39" s="22">
        <f>'2017-18_working'!AA39</f>
        <v>1</v>
      </c>
      <c r="AJ39" s="22">
        <f>'2017-18_working'!AB39</f>
        <v>2</v>
      </c>
      <c r="AK39" s="22">
        <f>'2017-18_working'!AC39</f>
        <v>1</v>
      </c>
      <c r="AL39" s="22">
        <f>'2017-18_working'!AD39+'2017-18_working'!AE39</f>
        <v>0</v>
      </c>
      <c r="AM39" s="22">
        <f>'2017-18_working'!AF39</f>
        <v>0</v>
      </c>
      <c r="AN39" s="23">
        <f t="shared" si="13"/>
        <v>40.375</v>
      </c>
      <c r="AO39" s="22"/>
      <c r="AP39" s="21">
        <f t="shared" si="14"/>
        <v>5</v>
      </c>
      <c r="AQ39" s="21">
        <f t="shared" si="15"/>
        <v>12</v>
      </c>
      <c r="AR39" s="21">
        <f t="shared" si="16"/>
        <v>3</v>
      </c>
      <c r="AS39" s="21">
        <f t="shared" si="17"/>
        <v>4</v>
      </c>
      <c r="AT39" s="21">
        <f t="shared" si="18"/>
        <v>0</v>
      </c>
      <c r="AU39" s="21">
        <f t="shared" si="19"/>
        <v>0</v>
      </c>
      <c r="AV39" s="23">
        <f t="shared" si="20"/>
        <v>32.645833333333336</v>
      </c>
      <c r="AW39" s="17"/>
      <c r="AX39" s="19">
        <f t="shared" si="26"/>
        <v>24</v>
      </c>
      <c r="AY39" s="19">
        <v>24</v>
      </c>
      <c r="AZ39" s="18">
        <f t="shared" si="27"/>
        <v>0</v>
      </c>
      <c r="BA39" s="17"/>
      <c r="BB39" s="17"/>
      <c r="BC39" s="17"/>
      <c r="BD39" s="17"/>
      <c r="BE39" s="17"/>
    </row>
    <row r="40" spans="1:57" s="7" customFormat="1" ht="15" customHeight="1" x14ac:dyDescent="0.35">
      <c r="A40" s="2" t="s">
        <v>45</v>
      </c>
      <c r="B40" s="22">
        <f>'2017-18_working'!B40</f>
        <v>1</v>
      </c>
      <c r="C40" s="22">
        <f>'2017-18_working'!C40</f>
        <v>9</v>
      </c>
      <c r="D40" s="22">
        <f>'2017-18_working'!D40</f>
        <v>2</v>
      </c>
      <c r="E40" s="22">
        <f>'2017-18_working'!E40</f>
        <v>1</v>
      </c>
      <c r="F40" s="22">
        <f>'2017-18_working'!F40+'2017-18_working'!G40</f>
        <v>0</v>
      </c>
      <c r="G40" s="22">
        <f>'2017-18_working'!H40</f>
        <v>0</v>
      </c>
      <c r="H40" s="23">
        <f t="shared" si="22"/>
        <v>32.423076923076927</v>
      </c>
      <c r="I40" s="22"/>
      <c r="J40" s="22">
        <f>'2017-18_working'!J40</f>
        <v>7</v>
      </c>
      <c r="K40" s="22">
        <f>'2017-18_working'!K40</f>
        <v>15</v>
      </c>
      <c r="L40" s="22">
        <f>'2017-18_working'!L40</f>
        <v>12</v>
      </c>
      <c r="M40" s="22">
        <f>'2017-18_working'!M40</f>
        <v>2</v>
      </c>
      <c r="N40" s="22">
        <f>'2017-18_working'!N40+'2017-18_working'!O40</f>
        <v>0</v>
      </c>
      <c r="O40" s="22">
        <f>'2017-18_working'!P40</f>
        <v>0</v>
      </c>
      <c r="P40" s="23">
        <f t="shared" ref="P40:P56" si="28">IF(SUM(J40:N40)=0,"-",20*(J40/SUM($J40:$N40))+30*(K40/SUM($J40:$N40))+40.5*(L40/SUM($J40:$N40))+50.5*(M40/SUM($J40:$N40))+56*(N40/SUM($J40:$N40)))</f>
        <v>32.694444444444443</v>
      </c>
      <c r="Q40" s="22"/>
      <c r="R40" s="21">
        <f t="shared" ref="R40:R56" si="29">B40+J40</f>
        <v>8</v>
      </c>
      <c r="S40" s="21">
        <f t="shared" ref="S40:S56" si="30">C40+K40</f>
        <v>24</v>
      </c>
      <c r="T40" s="21">
        <f t="shared" ref="T40:T56" si="31">D40+L40</f>
        <v>14</v>
      </c>
      <c r="U40" s="21">
        <f t="shared" ref="U40:U56" si="32">E40+M40</f>
        <v>3</v>
      </c>
      <c r="V40" s="21">
        <f t="shared" ref="V40:V56" si="33">F40+N40</f>
        <v>0</v>
      </c>
      <c r="W40" s="21">
        <f t="shared" ref="W40:W56" si="34">G40+O40</f>
        <v>0</v>
      </c>
      <c r="X40" s="23">
        <f t="shared" ref="X40:X56" si="35">IF(SUM(R40:V40)=0,"-",20*(R40/SUM($R40:$V40))+30*(S40/SUM($R40:$V40))+40.5*(T40/SUM($R40:$V40))+50.5*(U40/SUM($R40:$V40))+56*(V40/SUM($R40:$V40)))</f>
        <v>32.622448979591837</v>
      </c>
      <c r="Y40" s="22"/>
      <c r="Z40" s="22">
        <f>'2017-18_working'!R40</f>
        <v>0</v>
      </c>
      <c r="AA40" s="22">
        <f>'2017-18_working'!S40</f>
        <v>1</v>
      </c>
      <c r="AB40" s="22">
        <f>'2017-18_working'!T40</f>
        <v>0</v>
      </c>
      <c r="AC40" s="22">
        <f>'2017-18_working'!U40</f>
        <v>0</v>
      </c>
      <c r="AD40" s="22">
        <f>'2017-18_working'!V40+'2017-18_working'!W40</f>
        <v>0</v>
      </c>
      <c r="AE40" s="22">
        <f>'2017-18_working'!X40</f>
        <v>0</v>
      </c>
      <c r="AF40" s="23">
        <f t="shared" ref="AF40:AF56" si="36">IF(SUM(Z40:AD40)=0,"-",20*(Z40/SUM($Z40:$AD40))+30*(AA40/SUM($Z40:$AD40))+40.5*(AB40/SUM($Z40:$AD40))+50.5*(AC40/SUM($Z40:$AD40))+56*(AD40/SUM($Z40:$AD40)))</f>
        <v>30</v>
      </c>
      <c r="AG40" s="22"/>
      <c r="AH40" s="22">
        <f>'2017-18_working'!Z40</f>
        <v>4</v>
      </c>
      <c r="AI40" s="22">
        <f>'2017-18_working'!AA40</f>
        <v>5</v>
      </c>
      <c r="AJ40" s="22">
        <f>'2017-18_working'!AB40</f>
        <v>5</v>
      </c>
      <c r="AK40" s="22">
        <f>'2017-18_working'!AC40</f>
        <v>4</v>
      </c>
      <c r="AL40" s="22">
        <f>'2017-18_working'!AD40+'2017-18_working'!AE40</f>
        <v>1</v>
      </c>
      <c r="AM40" s="22">
        <f>'2017-18_working'!AF40</f>
        <v>0</v>
      </c>
      <c r="AN40" s="23">
        <f t="shared" ref="AN40:AN56" si="37">IF(SUM(AH40:AL40)=0,"-",20*(AH40/SUM($AH40:$AL40))+30*(AI40/SUM($AH40:$AL40))+40.5*(AJ40/SUM($AH40:$AL40))+50.5*(AK40/SUM($AH40:$AL40))+56*(AL40/SUM($AH40:$AL40)))</f>
        <v>36.34210526315789</v>
      </c>
      <c r="AO40" s="22"/>
      <c r="AP40" s="21">
        <f t="shared" ref="AP40:AP56" si="38">AH40+Z40+R40</f>
        <v>12</v>
      </c>
      <c r="AQ40" s="21">
        <f t="shared" ref="AQ40:AQ56" si="39">AI40+AA40+S40</f>
        <v>30</v>
      </c>
      <c r="AR40" s="21">
        <f t="shared" ref="AR40:AR56" si="40">AJ40+AB40+T40</f>
        <v>19</v>
      </c>
      <c r="AS40" s="21">
        <f t="shared" ref="AS40:AS56" si="41">AK40+AC40+U40</f>
        <v>7</v>
      </c>
      <c r="AT40" s="21">
        <f t="shared" ref="AT40:AT56" si="42">AL40+AD40+V40</f>
        <v>1</v>
      </c>
      <c r="AU40" s="21">
        <f t="shared" ref="AU40:AU56" si="43">AM40+AE40+W40</f>
        <v>0</v>
      </c>
      <c r="AV40" s="23">
        <f t="shared" ref="AV40:AV56" si="44">IF(SUM(AP40:AT40)=0,"-",20*(AP40/SUM($AP40:$AT40))+30*(AQ40/SUM($AP40:$AT40))+40.5*(AR40/SUM($AP40:$AT40))+50.5*(AS40/SUM($AP40:$AT40))+56*(AT40/SUM($AP40:$AT40)))</f>
        <v>33.608695652173907</v>
      </c>
      <c r="AW40" s="17"/>
      <c r="AX40" s="19">
        <f t="shared" si="26"/>
        <v>69</v>
      </c>
      <c r="AY40" s="19">
        <v>69</v>
      </c>
      <c r="AZ40" s="18">
        <f t="shared" si="27"/>
        <v>0</v>
      </c>
      <c r="BA40" s="17"/>
      <c r="BB40" s="17"/>
      <c r="BC40" s="17"/>
      <c r="BD40" s="17"/>
      <c r="BE40" s="17"/>
    </row>
    <row r="41" spans="1:57" s="7" customFormat="1" ht="15" customHeight="1" x14ac:dyDescent="0.35">
      <c r="A41" s="2" t="s">
        <v>46</v>
      </c>
      <c r="B41" s="22">
        <f>'2017-18_working'!B41</f>
        <v>0</v>
      </c>
      <c r="C41" s="22">
        <f>'2017-18_working'!C41</f>
        <v>0</v>
      </c>
      <c r="D41" s="22">
        <f>'2017-18_working'!D41</f>
        <v>0</v>
      </c>
      <c r="E41" s="22">
        <f>'2017-18_working'!E41</f>
        <v>0</v>
      </c>
      <c r="F41" s="22">
        <f>'2017-18_working'!F41+'2017-18_working'!G41</f>
        <v>0</v>
      </c>
      <c r="G41" s="22">
        <f>'2017-18_working'!H41</f>
        <v>0</v>
      </c>
      <c r="H41" s="23" t="str">
        <f t="shared" si="22"/>
        <v>-</v>
      </c>
      <c r="I41" s="22"/>
      <c r="J41" s="22">
        <f>'2017-18_working'!J41</f>
        <v>12</v>
      </c>
      <c r="K41" s="22">
        <f>'2017-18_working'!K41</f>
        <v>31</v>
      </c>
      <c r="L41" s="22">
        <f>'2017-18_working'!L41</f>
        <v>23</v>
      </c>
      <c r="M41" s="22">
        <f>'2017-18_working'!M41</f>
        <v>8</v>
      </c>
      <c r="N41" s="22">
        <f>'2017-18_working'!N41+'2017-18_working'!O41</f>
        <v>0</v>
      </c>
      <c r="O41" s="22">
        <f>'2017-18_working'!P41</f>
        <v>0</v>
      </c>
      <c r="P41" s="23">
        <f t="shared" si="28"/>
        <v>33.858108108108105</v>
      </c>
      <c r="Q41" s="22"/>
      <c r="R41" s="21">
        <f t="shared" si="29"/>
        <v>12</v>
      </c>
      <c r="S41" s="21">
        <f t="shared" si="30"/>
        <v>31</v>
      </c>
      <c r="T41" s="21">
        <f t="shared" si="31"/>
        <v>23</v>
      </c>
      <c r="U41" s="21">
        <f t="shared" si="32"/>
        <v>8</v>
      </c>
      <c r="V41" s="21">
        <f t="shared" si="33"/>
        <v>0</v>
      </c>
      <c r="W41" s="21">
        <f t="shared" si="34"/>
        <v>0</v>
      </c>
      <c r="X41" s="23">
        <f t="shared" si="35"/>
        <v>33.858108108108105</v>
      </c>
      <c r="Y41" s="22"/>
      <c r="Z41" s="22">
        <f>'2017-18_working'!R41</f>
        <v>0</v>
      </c>
      <c r="AA41" s="22">
        <f>'2017-18_working'!S41</f>
        <v>0</v>
      </c>
      <c r="AB41" s="22">
        <f>'2017-18_working'!T41</f>
        <v>0</v>
      </c>
      <c r="AC41" s="22">
        <f>'2017-18_working'!U41</f>
        <v>0</v>
      </c>
      <c r="AD41" s="22">
        <f>'2017-18_working'!V41+'2017-18_working'!W41</f>
        <v>0</v>
      </c>
      <c r="AE41" s="22">
        <f>'2017-18_working'!X41</f>
        <v>0</v>
      </c>
      <c r="AF41" s="23" t="str">
        <f t="shared" si="36"/>
        <v>-</v>
      </c>
      <c r="AG41" s="22"/>
      <c r="AH41" s="22">
        <f>'2017-18_working'!Z41</f>
        <v>0</v>
      </c>
      <c r="AI41" s="22">
        <f>'2017-18_working'!AA41</f>
        <v>2</v>
      </c>
      <c r="AJ41" s="22">
        <f>'2017-18_working'!AB41</f>
        <v>0</v>
      </c>
      <c r="AK41" s="22">
        <f>'2017-18_working'!AC41</f>
        <v>1</v>
      </c>
      <c r="AL41" s="22">
        <f>'2017-18_working'!AD41+'2017-18_working'!AE41</f>
        <v>1</v>
      </c>
      <c r="AM41" s="22">
        <f>'2017-18_working'!AF41</f>
        <v>0</v>
      </c>
      <c r="AN41" s="23">
        <f t="shared" si="37"/>
        <v>41.625</v>
      </c>
      <c r="AO41" s="22"/>
      <c r="AP41" s="21">
        <f t="shared" si="38"/>
        <v>12</v>
      </c>
      <c r="AQ41" s="21">
        <f t="shared" si="39"/>
        <v>33</v>
      </c>
      <c r="AR41" s="21">
        <f t="shared" si="40"/>
        <v>23</v>
      </c>
      <c r="AS41" s="21">
        <f t="shared" si="41"/>
        <v>9</v>
      </c>
      <c r="AT41" s="21">
        <f t="shared" si="42"/>
        <v>1</v>
      </c>
      <c r="AU41" s="21">
        <f t="shared" si="43"/>
        <v>0</v>
      </c>
      <c r="AV41" s="23">
        <f t="shared" si="44"/>
        <v>34.256410256410255</v>
      </c>
      <c r="AW41" s="17"/>
      <c r="AX41" s="19">
        <f t="shared" si="26"/>
        <v>78</v>
      </c>
      <c r="AY41" s="19">
        <v>78</v>
      </c>
      <c r="AZ41" s="18">
        <f t="shared" si="27"/>
        <v>0</v>
      </c>
      <c r="BA41" s="17"/>
      <c r="BB41" s="17"/>
      <c r="BC41" s="17"/>
      <c r="BD41" s="17"/>
      <c r="BE41" s="17"/>
    </row>
    <row r="42" spans="1:57" s="7" customFormat="1" ht="15" customHeight="1" x14ac:dyDescent="0.35">
      <c r="A42" s="2" t="s">
        <v>47</v>
      </c>
      <c r="B42" s="22">
        <f>'2017-18_working'!B42</f>
        <v>0</v>
      </c>
      <c r="C42" s="22">
        <f>'2017-18_working'!C42</f>
        <v>1</v>
      </c>
      <c r="D42" s="22">
        <f>'2017-18_working'!D42</f>
        <v>3</v>
      </c>
      <c r="E42" s="22">
        <f>'2017-18_working'!E42</f>
        <v>1</v>
      </c>
      <c r="F42" s="22">
        <f>'2017-18_working'!F42+'2017-18_working'!G42</f>
        <v>0</v>
      </c>
      <c r="G42" s="22">
        <f>'2017-18_working'!H42</f>
        <v>0</v>
      </c>
      <c r="H42" s="23">
        <f t="shared" si="22"/>
        <v>40.400000000000006</v>
      </c>
      <c r="I42" s="22"/>
      <c r="J42" s="22">
        <f>'2017-18_working'!J42</f>
        <v>5</v>
      </c>
      <c r="K42" s="22">
        <f>'2017-18_working'!K42</f>
        <v>12</v>
      </c>
      <c r="L42" s="22">
        <f>'2017-18_working'!L42</f>
        <v>9</v>
      </c>
      <c r="M42" s="22">
        <f>'2017-18_working'!M42</f>
        <v>0</v>
      </c>
      <c r="N42" s="22">
        <f>'2017-18_working'!N42+'2017-18_working'!O42</f>
        <v>0</v>
      </c>
      <c r="O42" s="22">
        <f>'2017-18_working'!P42</f>
        <v>0</v>
      </c>
      <c r="P42" s="23">
        <f t="shared" si="28"/>
        <v>31.71153846153846</v>
      </c>
      <c r="Q42" s="22"/>
      <c r="R42" s="21">
        <f t="shared" si="29"/>
        <v>5</v>
      </c>
      <c r="S42" s="21">
        <f t="shared" si="30"/>
        <v>13</v>
      </c>
      <c r="T42" s="21">
        <f t="shared" si="31"/>
        <v>12</v>
      </c>
      <c r="U42" s="21">
        <f t="shared" si="32"/>
        <v>1</v>
      </c>
      <c r="V42" s="21">
        <f t="shared" si="33"/>
        <v>0</v>
      </c>
      <c r="W42" s="21">
        <f t="shared" si="34"/>
        <v>0</v>
      </c>
      <c r="X42" s="23">
        <f t="shared" si="35"/>
        <v>33.112903225806448</v>
      </c>
      <c r="Y42" s="22"/>
      <c r="Z42" s="22">
        <f>'2017-18_working'!R42</f>
        <v>0</v>
      </c>
      <c r="AA42" s="22">
        <f>'2017-18_working'!S42</f>
        <v>0</v>
      </c>
      <c r="AB42" s="22">
        <f>'2017-18_working'!T42</f>
        <v>1</v>
      </c>
      <c r="AC42" s="22">
        <f>'2017-18_working'!U42</f>
        <v>0</v>
      </c>
      <c r="AD42" s="22">
        <f>'2017-18_working'!V42+'2017-18_working'!W42</f>
        <v>0</v>
      </c>
      <c r="AE42" s="22">
        <f>'2017-18_working'!X42</f>
        <v>0</v>
      </c>
      <c r="AF42" s="23">
        <f t="shared" si="36"/>
        <v>40.5</v>
      </c>
      <c r="AG42" s="22"/>
      <c r="AH42" s="22">
        <f>'2017-18_working'!Z42</f>
        <v>2</v>
      </c>
      <c r="AI42" s="22">
        <f>'2017-18_working'!AA42</f>
        <v>2</v>
      </c>
      <c r="AJ42" s="22">
        <f>'2017-18_working'!AB42</f>
        <v>3</v>
      </c>
      <c r="AK42" s="22">
        <f>'2017-18_working'!AC42</f>
        <v>2</v>
      </c>
      <c r="AL42" s="22">
        <f>'2017-18_working'!AD42+'2017-18_working'!AE42</f>
        <v>0</v>
      </c>
      <c r="AM42" s="22">
        <f>'2017-18_working'!AF42</f>
        <v>0</v>
      </c>
      <c r="AN42" s="23">
        <f t="shared" si="37"/>
        <v>35.833333333333329</v>
      </c>
      <c r="AO42" s="22"/>
      <c r="AP42" s="21">
        <f t="shared" si="38"/>
        <v>7</v>
      </c>
      <c r="AQ42" s="21">
        <f t="shared" si="39"/>
        <v>15</v>
      </c>
      <c r="AR42" s="21">
        <f t="shared" si="40"/>
        <v>16</v>
      </c>
      <c r="AS42" s="21">
        <f t="shared" si="41"/>
        <v>3</v>
      </c>
      <c r="AT42" s="21">
        <f t="shared" si="42"/>
        <v>0</v>
      </c>
      <c r="AU42" s="21">
        <f t="shared" si="43"/>
        <v>0</v>
      </c>
      <c r="AV42" s="23">
        <f t="shared" si="44"/>
        <v>33.890243902439025</v>
      </c>
      <c r="AW42" s="17"/>
      <c r="AX42" s="19">
        <f t="shared" si="26"/>
        <v>41</v>
      </c>
      <c r="AY42" s="19">
        <v>41</v>
      </c>
      <c r="AZ42" s="18">
        <f t="shared" si="27"/>
        <v>0</v>
      </c>
      <c r="BA42" s="17"/>
      <c r="BB42" s="17"/>
      <c r="BC42" s="17"/>
      <c r="BD42" s="17"/>
      <c r="BE42" s="17"/>
    </row>
    <row r="43" spans="1:57" s="7" customFormat="1" ht="15" customHeight="1" x14ac:dyDescent="0.35">
      <c r="A43" s="2" t="s">
        <v>48</v>
      </c>
      <c r="B43" s="22">
        <f>'2017-18_working'!B43</f>
        <v>3</v>
      </c>
      <c r="C43" s="22">
        <f>'2017-18_working'!C43</f>
        <v>4</v>
      </c>
      <c r="D43" s="22">
        <f>'2017-18_working'!D43</f>
        <v>1</v>
      </c>
      <c r="E43" s="22">
        <f>'2017-18_working'!E43</f>
        <v>0</v>
      </c>
      <c r="F43" s="22">
        <f>'2017-18_working'!F43+'2017-18_working'!G43</f>
        <v>0</v>
      </c>
      <c r="G43" s="22">
        <f>'2017-18_working'!H43</f>
        <v>0</v>
      </c>
      <c r="H43" s="23">
        <f t="shared" si="22"/>
        <v>27.5625</v>
      </c>
      <c r="I43" s="22"/>
      <c r="J43" s="22">
        <f>'2017-18_working'!J43</f>
        <v>4</v>
      </c>
      <c r="K43" s="22">
        <f>'2017-18_working'!K43</f>
        <v>10</v>
      </c>
      <c r="L43" s="22">
        <f>'2017-18_working'!L43</f>
        <v>2</v>
      </c>
      <c r="M43" s="22">
        <f>'2017-18_working'!M43</f>
        <v>0</v>
      </c>
      <c r="N43" s="22">
        <f>'2017-18_working'!N43+'2017-18_working'!O43</f>
        <v>0</v>
      </c>
      <c r="O43" s="22">
        <f>'2017-18_working'!P43</f>
        <v>0</v>
      </c>
      <c r="P43" s="23">
        <f t="shared" si="28"/>
        <v>28.8125</v>
      </c>
      <c r="Q43" s="22"/>
      <c r="R43" s="21">
        <f t="shared" si="29"/>
        <v>7</v>
      </c>
      <c r="S43" s="21">
        <f t="shared" si="30"/>
        <v>14</v>
      </c>
      <c r="T43" s="21">
        <f t="shared" si="31"/>
        <v>3</v>
      </c>
      <c r="U43" s="21">
        <f t="shared" si="32"/>
        <v>0</v>
      </c>
      <c r="V43" s="21">
        <f t="shared" si="33"/>
        <v>0</v>
      </c>
      <c r="W43" s="21">
        <f t="shared" si="34"/>
        <v>0</v>
      </c>
      <c r="X43" s="23">
        <f t="shared" si="35"/>
        <v>28.395833333333336</v>
      </c>
      <c r="Y43" s="22"/>
      <c r="Z43" s="22">
        <f>'2017-18_working'!R43</f>
        <v>0</v>
      </c>
      <c r="AA43" s="22">
        <f>'2017-18_working'!S43</f>
        <v>0</v>
      </c>
      <c r="AB43" s="22">
        <f>'2017-18_working'!T43</f>
        <v>0</v>
      </c>
      <c r="AC43" s="22">
        <f>'2017-18_working'!U43</f>
        <v>0</v>
      </c>
      <c r="AD43" s="22">
        <f>'2017-18_working'!V43+'2017-18_working'!W43</f>
        <v>0</v>
      </c>
      <c r="AE43" s="22">
        <f>'2017-18_working'!X43</f>
        <v>0</v>
      </c>
      <c r="AF43" s="23" t="str">
        <f t="shared" si="36"/>
        <v>-</v>
      </c>
      <c r="AG43" s="22"/>
      <c r="AH43" s="22">
        <f>'2017-18_working'!Z43</f>
        <v>1</v>
      </c>
      <c r="AI43" s="22">
        <f>'2017-18_working'!AA43</f>
        <v>3</v>
      </c>
      <c r="AJ43" s="22">
        <f>'2017-18_working'!AB43</f>
        <v>3</v>
      </c>
      <c r="AK43" s="22">
        <f>'2017-18_working'!AC43</f>
        <v>3</v>
      </c>
      <c r="AL43" s="22">
        <f>'2017-18_working'!AD43+'2017-18_working'!AE43</f>
        <v>0</v>
      </c>
      <c r="AM43" s="22">
        <f>'2017-18_working'!AF43</f>
        <v>0</v>
      </c>
      <c r="AN43" s="23">
        <f t="shared" si="37"/>
        <v>38.299999999999997</v>
      </c>
      <c r="AO43" s="22"/>
      <c r="AP43" s="21">
        <f t="shared" si="38"/>
        <v>8</v>
      </c>
      <c r="AQ43" s="21">
        <f t="shared" si="39"/>
        <v>17</v>
      </c>
      <c r="AR43" s="21">
        <f t="shared" si="40"/>
        <v>6</v>
      </c>
      <c r="AS43" s="21">
        <f t="shared" si="41"/>
        <v>3</v>
      </c>
      <c r="AT43" s="21">
        <f t="shared" si="42"/>
        <v>0</v>
      </c>
      <c r="AU43" s="21">
        <f t="shared" si="43"/>
        <v>0</v>
      </c>
      <c r="AV43" s="23">
        <f t="shared" si="44"/>
        <v>31.308823529411768</v>
      </c>
      <c r="AW43" s="17"/>
      <c r="AX43" s="19">
        <f t="shared" si="26"/>
        <v>34</v>
      </c>
      <c r="AY43" s="19">
        <v>34</v>
      </c>
      <c r="AZ43" s="18">
        <f t="shared" si="27"/>
        <v>0</v>
      </c>
      <c r="BA43" s="17"/>
      <c r="BB43" s="17"/>
      <c r="BC43" s="17"/>
      <c r="BD43" s="17"/>
      <c r="BE43" s="17"/>
    </row>
    <row r="44" spans="1:57" s="7" customFormat="1" ht="15" customHeight="1" x14ac:dyDescent="0.35">
      <c r="A44" s="2" t="s">
        <v>49</v>
      </c>
      <c r="B44" s="22">
        <f>'2017-18_working'!B44</f>
        <v>0</v>
      </c>
      <c r="C44" s="22">
        <f>'2017-18_working'!C44</f>
        <v>1</v>
      </c>
      <c r="D44" s="22">
        <f>'2017-18_working'!D44</f>
        <v>1</v>
      </c>
      <c r="E44" s="22">
        <f>'2017-18_working'!E44</f>
        <v>0</v>
      </c>
      <c r="F44" s="22">
        <f>'2017-18_working'!F44+'2017-18_working'!G44</f>
        <v>0</v>
      </c>
      <c r="G44" s="22">
        <f>'2017-18_working'!H44</f>
        <v>0</v>
      </c>
      <c r="H44" s="23">
        <f t="shared" si="22"/>
        <v>35.25</v>
      </c>
      <c r="I44" s="22"/>
      <c r="J44" s="22">
        <f>'2017-18_working'!J44</f>
        <v>10</v>
      </c>
      <c r="K44" s="22">
        <f>'2017-18_working'!K44</f>
        <v>20</v>
      </c>
      <c r="L44" s="22">
        <f>'2017-18_working'!L44</f>
        <v>13</v>
      </c>
      <c r="M44" s="22">
        <f>'2017-18_working'!M44</f>
        <v>6</v>
      </c>
      <c r="N44" s="22">
        <f>'2017-18_working'!N44+'2017-18_working'!O44</f>
        <v>0</v>
      </c>
      <c r="O44" s="22">
        <f>'2017-18_working'!P44</f>
        <v>0</v>
      </c>
      <c r="P44" s="23">
        <f t="shared" si="28"/>
        <v>33.255102040816325</v>
      </c>
      <c r="Q44" s="22"/>
      <c r="R44" s="21">
        <f t="shared" si="29"/>
        <v>10</v>
      </c>
      <c r="S44" s="21">
        <f t="shared" si="30"/>
        <v>21</v>
      </c>
      <c r="T44" s="21">
        <f t="shared" si="31"/>
        <v>14</v>
      </c>
      <c r="U44" s="21">
        <f t="shared" si="32"/>
        <v>6</v>
      </c>
      <c r="V44" s="21">
        <f t="shared" si="33"/>
        <v>0</v>
      </c>
      <c r="W44" s="21">
        <f t="shared" si="34"/>
        <v>0</v>
      </c>
      <c r="X44" s="23">
        <f t="shared" si="35"/>
        <v>33.333333333333329</v>
      </c>
      <c r="Y44" s="22"/>
      <c r="Z44" s="22">
        <f>'2017-18_working'!R44</f>
        <v>0</v>
      </c>
      <c r="AA44" s="22">
        <f>'2017-18_working'!S44</f>
        <v>0</v>
      </c>
      <c r="AB44" s="22">
        <f>'2017-18_working'!T44</f>
        <v>0</v>
      </c>
      <c r="AC44" s="22">
        <f>'2017-18_working'!U44</f>
        <v>0</v>
      </c>
      <c r="AD44" s="22">
        <f>'2017-18_working'!V44+'2017-18_working'!W44</f>
        <v>0</v>
      </c>
      <c r="AE44" s="22">
        <f>'2017-18_working'!X44</f>
        <v>0</v>
      </c>
      <c r="AF44" s="23" t="str">
        <f t="shared" si="36"/>
        <v>-</v>
      </c>
      <c r="AG44" s="22"/>
      <c r="AH44" s="22">
        <f>'2017-18_working'!Z44</f>
        <v>1</v>
      </c>
      <c r="AI44" s="22">
        <f>'2017-18_working'!AA44</f>
        <v>3</v>
      </c>
      <c r="AJ44" s="22">
        <f>'2017-18_working'!AB44</f>
        <v>0</v>
      </c>
      <c r="AK44" s="22">
        <f>'2017-18_working'!AC44</f>
        <v>1</v>
      </c>
      <c r="AL44" s="22">
        <f>'2017-18_working'!AD44+'2017-18_working'!AE44</f>
        <v>1</v>
      </c>
      <c r="AM44" s="22">
        <f>'2017-18_working'!AF44</f>
        <v>0</v>
      </c>
      <c r="AN44" s="23">
        <f t="shared" si="37"/>
        <v>36.083333333333329</v>
      </c>
      <c r="AO44" s="22"/>
      <c r="AP44" s="21">
        <f t="shared" si="38"/>
        <v>11</v>
      </c>
      <c r="AQ44" s="21">
        <f t="shared" si="39"/>
        <v>24</v>
      </c>
      <c r="AR44" s="21">
        <f t="shared" si="40"/>
        <v>14</v>
      </c>
      <c r="AS44" s="21">
        <f t="shared" si="41"/>
        <v>7</v>
      </c>
      <c r="AT44" s="21">
        <f t="shared" si="42"/>
        <v>1</v>
      </c>
      <c r="AU44" s="21">
        <f t="shared" si="43"/>
        <v>0</v>
      </c>
      <c r="AV44" s="23">
        <f t="shared" si="44"/>
        <v>33.622807017543856</v>
      </c>
      <c r="AW44" s="17"/>
      <c r="AX44" s="19">
        <f t="shared" si="26"/>
        <v>57</v>
      </c>
      <c r="AY44" s="19">
        <v>57</v>
      </c>
      <c r="AZ44" s="18">
        <f t="shared" si="27"/>
        <v>0</v>
      </c>
      <c r="BA44" s="17"/>
      <c r="BB44" s="17"/>
      <c r="BC44" s="17"/>
      <c r="BD44" s="17"/>
      <c r="BE44" s="17"/>
    </row>
    <row r="45" spans="1:57" s="7" customFormat="1" ht="15" customHeight="1" x14ac:dyDescent="0.35">
      <c r="A45" s="2" t="s">
        <v>50</v>
      </c>
      <c r="B45" s="22">
        <f>'2017-18_working'!B45</f>
        <v>1</v>
      </c>
      <c r="C45" s="22">
        <f>'2017-18_working'!C45</f>
        <v>2</v>
      </c>
      <c r="D45" s="22">
        <f>'2017-18_working'!D45</f>
        <v>2</v>
      </c>
      <c r="E45" s="22">
        <f>'2017-18_working'!E45</f>
        <v>2</v>
      </c>
      <c r="F45" s="22">
        <f>'2017-18_working'!F45+'2017-18_working'!G45</f>
        <v>1</v>
      </c>
      <c r="G45" s="22">
        <f>'2017-18_working'!H45</f>
        <v>0</v>
      </c>
      <c r="H45" s="23">
        <f t="shared" si="22"/>
        <v>39.75</v>
      </c>
      <c r="I45" s="22"/>
      <c r="J45" s="22">
        <f>'2017-18_working'!J45</f>
        <v>3</v>
      </c>
      <c r="K45" s="22">
        <f>'2017-18_working'!K45</f>
        <v>0</v>
      </c>
      <c r="L45" s="22">
        <f>'2017-18_working'!L45</f>
        <v>2</v>
      </c>
      <c r="M45" s="22">
        <f>'2017-18_working'!M45</f>
        <v>3</v>
      </c>
      <c r="N45" s="22">
        <f>'2017-18_working'!N45+'2017-18_working'!O45</f>
        <v>1</v>
      </c>
      <c r="O45" s="22">
        <f>'2017-18_working'!P45</f>
        <v>0</v>
      </c>
      <c r="P45" s="23">
        <f t="shared" si="28"/>
        <v>38.722222222222221</v>
      </c>
      <c r="Q45" s="22"/>
      <c r="R45" s="21">
        <f t="shared" si="29"/>
        <v>4</v>
      </c>
      <c r="S45" s="21">
        <f t="shared" si="30"/>
        <v>2</v>
      </c>
      <c r="T45" s="21">
        <f t="shared" si="31"/>
        <v>4</v>
      </c>
      <c r="U45" s="21">
        <f t="shared" si="32"/>
        <v>5</v>
      </c>
      <c r="V45" s="21">
        <f t="shared" si="33"/>
        <v>2</v>
      </c>
      <c r="W45" s="21">
        <f t="shared" si="34"/>
        <v>0</v>
      </c>
      <c r="X45" s="23">
        <f t="shared" si="35"/>
        <v>39.205882352941174</v>
      </c>
      <c r="Y45" s="22"/>
      <c r="Z45" s="22">
        <f>'2017-18_working'!R45</f>
        <v>1</v>
      </c>
      <c r="AA45" s="22">
        <f>'2017-18_working'!S45</f>
        <v>2</v>
      </c>
      <c r="AB45" s="22">
        <f>'2017-18_working'!T45</f>
        <v>0</v>
      </c>
      <c r="AC45" s="22">
        <f>'2017-18_working'!U45</f>
        <v>0</v>
      </c>
      <c r="AD45" s="22">
        <f>'2017-18_working'!V45+'2017-18_working'!W45</f>
        <v>0</v>
      </c>
      <c r="AE45" s="22">
        <f>'2017-18_working'!X45</f>
        <v>0</v>
      </c>
      <c r="AF45" s="23">
        <f t="shared" si="36"/>
        <v>26.666666666666664</v>
      </c>
      <c r="AG45" s="22"/>
      <c r="AH45" s="22">
        <f>'2017-18_working'!Z45</f>
        <v>0</v>
      </c>
      <c r="AI45" s="22">
        <f>'2017-18_working'!AA45</f>
        <v>0</v>
      </c>
      <c r="AJ45" s="22">
        <f>'2017-18_working'!AB45</f>
        <v>0</v>
      </c>
      <c r="AK45" s="22">
        <f>'2017-18_working'!AC45</f>
        <v>1</v>
      </c>
      <c r="AL45" s="22">
        <f>'2017-18_working'!AD45+'2017-18_working'!AE45</f>
        <v>0</v>
      </c>
      <c r="AM45" s="22">
        <f>'2017-18_working'!AF45</f>
        <v>0</v>
      </c>
      <c r="AN45" s="23">
        <f t="shared" si="37"/>
        <v>50.5</v>
      </c>
      <c r="AO45" s="22"/>
      <c r="AP45" s="21">
        <f t="shared" si="38"/>
        <v>5</v>
      </c>
      <c r="AQ45" s="21">
        <f t="shared" si="39"/>
        <v>4</v>
      </c>
      <c r="AR45" s="21">
        <f t="shared" si="40"/>
        <v>4</v>
      </c>
      <c r="AS45" s="21">
        <f t="shared" si="41"/>
        <v>6</v>
      </c>
      <c r="AT45" s="21">
        <f t="shared" si="42"/>
        <v>2</v>
      </c>
      <c r="AU45" s="21">
        <f t="shared" si="43"/>
        <v>0</v>
      </c>
      <c r="AV45" s="23">
        <f t="shared" si="44"/>
        <v>37.952380952380956</v>
      </c>
      <c r="AW45" s="17"/>
      <c r="AX45" s="19">
        <f t="shared" si="26"/>
        <v>21</v>
      </c>
      <c r="AY45" s="19">
        <v>21</v>
      </c>
      <c r="AZ45" s="18">
        <f t="shared" si="27"/>
        <v>0</v>
      </c>
      <c r="BA45" s="17"/>
      <c r="BB45" s="17"/>
      <c r="BC45" s="17"/>
      <c r="BD45" s="17"/>
      <c r="BE45" s="17"/>
    </row>
    <row r="46" spans="1:57" s="7" customFormat="1" ht="15" customHeight="1" x14ac:dyDescent="0.35">
      <c r="A46" s="2" t="s">
        <v>51</v>
      </c>
      <c r="B46" s="22">
        <f>'2017-18_working'!B46</f>
        <v>3</v>
      </c>
      <c r="C46" s="22">
        <f>'2017-18_working'!C46</f>
        <v>19</v>
      </c>
      <c r="D46" s="22">
        <f>'2017-18_working'!D46</f>
        <v>5</v>
      </c>
      <c r="E46" s="22">
        <f>'2017-18_working'!E46</f>
        <v>3</v>
      </c>
      <c r="F46" s="22">
        <f>'2017-18_working'!F46+'2017-18_working'!G46</f>
        <v>1</v>
      </c>
      <c r="G46" s="22">
        <f>'2017-18_working'!H46</f>
        <v>0</v>
      </c>
      <c r="H46" s="23">
        <f t="shared" si="22"/>
        <v>33.548387096774192</v>
      </c>
      <c r="I46" s="22"/>
      <c r="J46" s="22">
        <f>'2017-18_working'!J46</f>
        <v>3</v>
      </c>
      <c r="K46" s="22">
        <f>'2017-18_working'!K46</f>
        <v>11</v>
      </c>
      <c r="L46" s="22">
        <f>'2017-18_working'!L46</f>
        <v>2</v>
      </c>
      <c r="M46" s="22">
        <f>'2017-18_working'!M46</f>
        <v>4</v>
      </c>
      <c r="N46" s="22">
        <f>'2017-18_working'!N46+'2017-18_working'!O46</f>
        <v>0</v>
      </c>
      <c r="O46" s="22">
        <f>'2017-18_working'!P46</f>
        <v>0</v>
      </c>
      <c r="P46" s="23">
        <f t="shared" si="28"/>
        <v>33.650000000000006</v>
      </c>
      <c r="Q46" s="22"/>
      <c r="R46" s="21">
        <f t="shared" si="29"/>
        <v>6</v>
      </c>
      <c r="S46" s="21">
        <f t="shared" si="30"/>
        <v>30</v>
      </c>
      <c r="T46" s="21">
        <f t="shared" si="31"/>
        <v>7</v>
      </c>
      <c r="U46" s="21">
        <f t="shared" si="32"/>
        <v>7</v>
      </c>
      <c r="V46" s="21">
        <f t="shared" si="33"/>
        <v>1</v>
      </c>
      <c r="W46" s="21">
        <f t="shared" si="34"/>
        <v>0</v>
      </c>
      <c r="X46" s="23">
        <f t="shared" si="35"/>
        <v>33.588235294117652</v>
      </c>
      <c r="Y46" s="22"/>
      <c r="Z46" s="22">
        <f>'2017-18_working'!R46</f>
        <v>0</v>
      </c>
      <c r="AA46" s="22">
        <f>'2017-18_working'!S46</f>
        <v>2</v>
      </c>
      <c r="AB46" s="22">
        <f>'2017-18_working'!T46</f>
        <v>0</v>
      </c>
      <c r="AC46" s="22">
        <f>'2017-18_working'!U46</f>
        <v>1</v>
      </c>
      <c r="AD46" s="22">
        <f>'2017-18_working'!V46+'2017-18_working'!W46</f>
        <v>0</v>
      </c>
      <c r="AE46" s="22">
        <f>'2017-18_working'!X46</f>
        <v>0</v>
      </c>
      <c r="AF46" s="23">
        <f t="shared" si="36"/>
        <v>36.833333333333329</v>
      </c>
      <c r="AG46" s="22"/>
      <c r="AH46" s="22">
        <f>'2017-18_working'!Z46</f>
        <v>1</v>
      </c>
      <c r="AI46" s="22">
        <f>'2017-18_working'!AA46</f>
        <v>5</v>
      </c>
      <c r="AJ46" s="22">
        <f>'2017-18_working'!AB46</f>
        <v>9</v>
      </c>
      <c r="AK46" s="22">
        <f>'2017-18_working'!AC46</f>
        <v>3</v>
      </c>
      <c r="AL46" s="22">
        <f>'2017-18_working'!AD46+'2017-18_working'!AE46</f>
        <v>2</v>
      </c>
      <c r="AM46" s="22">
        <f>'2017-18_working'!AF46</f>
        <v>0</v>
      </c>
      <c r="AN46" s="23">
        <f t="shared" si="37"/>
        <v>39.9</v>
      </c>
      <c r="AO46" s="22"/>
      <c r="AP46" s="21">
        <f t="shared" si="38"/>
        <v>7</v>
      </c>
      <c r="AQ46" s="21">
        <f t="shared" si="39"/>
        <v>37</v>
      </c>
      <c r="AR46" s="21">
        <f t="shared" si="40"/>
        <v>16</v>
      </c>
      <c r="AS46" s="21">
        <f t="shared" si="41"/>
        <v>11</v>
      </c>
      <c r="AT46" s="21">
        <f t="shared" si="42"/>
        <v>3</v>
      </c>
      <c r="AU46" s="21">
        <f t="shared" si="43"/>
        <v>0</v>
      </c>
      <c r="AV46" s="23">
        <f t="shared" si="44"/>
        <v>35.425675675675677</v>
      </c>
      <c r="AW46" s="17"/>
      <c r="AX46" s="19">
        <f t="shared" si="26"/>
        <v>74</v>
      </c>
      <c r="AY46" s="19">
        <v>74</v>
      </c>
      <c r="AZ46" s="18">
        <f t="shared" si="27"/>
        <v>0</v>
      </c>
      <c r="BA46" s="17"/>
      <c r="BB46" s="17"/>
      <c r="BC46" s="17"/>
      <c r="BD46" s="17"/>
      <c r="BE46" s="17"/>
    </row>
    <row r="47" spans="1:57" s="7" customFormat="1" ht="15" customHeight="1" x14ac:dyDescent="0.35">
      <c r="A47" s="2" t="s">
        <v>52</v>
      </c>
      <c r="B47" s="22">
        <f>'2017-18_working'!B47</f>
        <v>4</v>
      </c>
      <c r="C47" s="22">
        <f>'2017-18_working'!C47</f>
        <v>16</v>
      </c>
      <c r="D47" s="22">
        <f>'2017-18_working'!D47</f>
        <v>4</v>
      </c>
      <c r="E47" s="22">
        <f>'2017-18_working'!E47</f>
        <v>0</v>
      </c>
      <c r="F47" s="22">
        <f>'2017-18_working'!F47+'2017-18_working'!G47</f>
        <v>0</v>
      </c>
      <c r="G47" s="22">
        <f>'2017-18_working'!H47</f>
        <v>0</v>
      </c>
      <c r="H47" s="23">
        <f t="shared" si="22"/>
        <v>30.083333333333332</v>
      </c>
      <c r="I47" s="22"/>
      <c r="J47" s="22">
        <f>'2017-18_working'!J47</f>
        <v>19</v>
      </c>
      <c r="K47" s="22">
        <f>'2017-18_working'!K47</f>
        <v>20</v>
      </c>
      <c r="L47" s="22">
        <f>'2017-18_working'!L47</f>
        <v>5</v>
      </c>
      <c r="M47" s="22">
        <f>'2017-18_working'!M47</f>
        <v>1</v>
      </c>
      <c r="N47" s="22">
        <f>'2017-18_working'!N47+'2017-18_working'!O47</f>
        <v>0</v>
      </c>
      <c r="O47" s="22">
        <f>'2017-18_working'!P47</f>
        <v>2</v>
      </c>
      <c r="P47" s="23">
        <f t="shared" si="28"/>
        <v>27.400000000000002</v>
      </c>
      <c r="Q47" s="22"/>
      <c r="R47" s="21">
        <f t="shared" si="29"/>
        <v>23</v>
      </c>
      <c r="S47" s="21">
        <f t="shared" si="30"/>
        <v>36</v>
      </c>
      <c r="T47" s="21">
        <f t="shared" si="31"/>
        <v>9</v>
      </c>
      <c r="U47" s="21">
        <f t="shared" si="32"/>
        <v>1</v>
      </c>
      <c r="V47" s="21">
        <f t="shared" si="33"/>
        <v>0</v>
      </c>
      <c r="W47" s="21">
        <f t="shared" si="34"/>
        <v>2</v>
      </c>
      <c r="X47" s="23">
        <f t="shared" si="35"/>
        <v>28.333333333333336</v>
      </c>
      <c r="Y47" s="22"/>
      <c r="Z47" s="22">
        <f>'2017-18_working'!R47</f>
        <v>0</v>
      </c>
      <c r="AA47" s="22">
        <f>'2017-18_working'!S47</f>
        <v>0</v>
      </c>
      <c r="AB47" s="22">
        <f>'2017-18_working'!T47</f>
        <v>0</v>
      </c>
      <c r="AC47" s="22">
        <f>'2017-18_working'!U47</f>
        <v>0</v>
      </c>
      <c r="AD47" s="22">
        <f>'2017-18_working'!V47+'2017-18_working'!W47</f>
        <v>0</v>
      </c>
      <c r="AE47" s="22">
        <f>'2017-18_working'!X47</f>
        <v>0</v>
      </c>
      <c r="AF47" s="23" t="str">
        <f t="shared" si="36"/>
        <v>-</v>
      </c>
      <c r="AG47" s="22"/>
      <c r="AH47" s="22">
        <f>'2017-18_working'!Z47</f>
        <v>1</v>
      </c>
      <c r="AI47" s="22">
        <f>'2017-18_working'!AA47</f>
        <v>1</v>
      </c>
      <c r="AJ47" s="22">
        <f>'2017-18_working'!AB47</f>
        <v>2</v>
      </c>
      <c r="AK47" s="22">
        <f>'2017-18_working'!AC47</f>
        <v>2</v>
      </c>
      <c r="AL47" s="22">
        <f>'2017-18_working'!AD47+'2017-18_working'!AE47</f>
        <v>4</v>
      </c>
      <c r="AM47" s="22">
        <f>'2017-18_working'!AF47</f>
        <v>0</v>
      </c>
      <c r="AN47" s="23">
        <f t="shared" si="37"/>
        <v>45.600000000000009</v>
      </c>
      <c r="AO47" s="22"/>
      <c r="AP47" s="21">
        <f t="shared" si="38"/>
        <v>24</v>
      </c>
      <c r="AQ47" s="21">
        <f t="shared" si="39"/>
        <v>37</v>
      </c>
      <c r="AR47" s="21">
        <f t="shared" si="40"/>
        <v>11</v>
      </c>
      <c r="AS47" s="21">
        <f t="shared" si="41"/>
        <v>3</v>
      </c>
      <c r="AT47" s="21">
        <f t="shared" si="42"/>
        <v>4</v>
      </c>
      <c r="AU47" s="21">
        <f t="shared" si="43"/>
        <v>2</v>
      </c>
      <c r="AV47" s="23">
        <f t="shared" si="44"/>
        <v>30.518987341772153</v>
      </c>
      <c r="AW47" s="17"/>
      <c r="AX47" s="19">
        <f t="shared" si="26"/>
        <v>81</v>
      </c>
      <c r="AY47" s="19">
        <v>81</v>
      </c>
      <c r="AZ47" s="18">
        <f t="shared" si="27"/>
        <v>0</v>
      </c>
      <c r="BA47" s="17"/>
      <c r="BB47" s="17"/>
      <c r="BC47" s="17"/>
      <c r="BD47" s="17"/>
      <c r="BE47" s="17"/>
    </row>
    <row r="48" spans="1:57" s="7" customFormat="1" ht="15" customHeight="1" x14ac:dyDescent="0.35">
      <c r="A48" s="2" t="s">
        <v>53</v>
      </c>
      <c r="B48" s="22">
        <f>'2017-18_working'!B48</f>
        <v>0</v>
      </c>
      <c r="C48" s="22">
        <f>'2017-18_working'!C48</f>
        <v>0</v>
      </c>
      <c r="D48" s="22">
        <f>'2017-18_working'!D48</f>
        <v>0</v>
      </c>
      <c r="E48" s="22">
        <f>'2017-18_working'!E48</f>
        <v>0</v>
      </c>
      <c r="F48" s="22">
        <f>'2017-18_working'!F48+'2017-18_working'!G48</f>
        <v>0</v>
      </c>
      <c r="G48" s="22">
        <f>'2017-18_working'!H48</f>
        <v>0</v>
      </c>
      <c r="H48" s="23" t="str">
        <f t="shared" si="22"/>
        <v>-</v>
      </c>
      <c r="I48" s="22"/>
      <c r="J48" s="22">
        <f>'2017-18_working'!J48</f>
        <v>0</v>
      </c>
      <c r="K48" s="22">
        <f>'2017-18_working'!K48</f>
        <v>1</v>
      </c>
      <c r="L48" s="22">
        <f>'2017-18_working'!L48</f>
        <v>1</v>
      </c>
      <c r="M48" s="22">
        <f>'2017-18_working'!M48</f>
        <v>0</v>
      </c>
      <c r="N48" s="22">
        <f>'2017-18_working'!N48+'2017-18_working'!O48</f>
        <v>0</v>
      </c>
      <c r="O48" s="22">
        <f>'2017-18_working'!P48</f>
        <v>0</v>
      </c>
      <c r="P48" s="23">
        <f t="shared" si="28"/>
        <v>35.25</v>
      </c>
      <c r="Q48" s="22"/>
      <c r="R48" s="21">
        <f t="shared" si="29"/>
        <v>0</v>
      </c>
      <c r="S48" s="21">
        <f t="shared" si="30"/>
        <v>1</v>
      </c>
      <c r="T48" s="21">
        <f t="shared" si="31"/>
        <v>1</v>
      </c>
      <c r="U48" s="21">
        <f t="shared" si="32"/>
        <v>0</v>
      </c>
      <c r="V48" s="21">
        <f t="shared" si="33"/>
        <v>0</v>
      </c>
      <c r="W48" s="21">
        <f t="shared" si="34"/>
        <v>0</v>
      </c>
      <c r="X48" s="23">
        <f t="shared" si="35"/>
        <v>35.25</v>
      </c>
      <c r="Y48" s="22"/>
      <c r="Z48" s="22">
        <f>'2017-18_working'!R48</f>
        <v>0</v>
      </c>
      <c r="AA48" s="22">
        <f>'2017-18_working'!S48</f>
        <v>0</v>
      </c>
      <c r="AB48" s="22">
        <f>'2017-18_working'!T48</f>
        <v>0</v>
      </c>
      <c r="AC48" s="22">
        <f>'2017-18_working'!U48</f>
        <v>0</v>
      </c>
      <c r="AD48" s="22">
        <f>'2017-18_working'!V48+'2017-18_working'!W48</f>
        <v>0</v>
      </c>
      <c r="AE48" s="22">
        <f>'2017-18_working'!X48</f>
        <v>0</v>
      </c>
      <c r="AF48" s="23" t="str">
        <f t="shared" si="36"/>
        <v>-</v>
      </c>
      <c r="AG48" s="22"/>
      <c r="AH48" s="22">
        <f>'2017-18_working'!Z48</f>
        <v>0</v>
      </c>
      <c r="AI48" s="22">
        <f>'2017-18_working'!AA48</f>
        <v>0</v>
      </c>
      <c r="AJ48" s="22">
        <f>'2017-18_working'!AB48</f>
        <v>0</v>
      </c>
      <c r="AK48" s="22">
        <f>'2017-18_working'!AC48</f>
        <v>0</v>
      </c>
      <c r="AL48" s="22">
        <f>'2017-18_working'!AD48+'2017-18_working'!AE48</f>
        <v>0</v>
      </c>
      <c r="AM48" s="22">
        <f>'2017-18_working'!AF48</f>
        <v>0</v>
      </c>
      <c r="AN48" s="23" t="str">
        <f t="shared" si="37"/>
        <v>-</v>
      </c>
      <c r="AO48" s="22"/>
      <c r="AP48" s="21">
        <f t="shared" si="38"/>
        <v>0</v>
      </c>
      <c r="AQ48" s="21">
        <f t="shared" si="39"/>
        <v>1</v>
      </c>
      <c r="AR48" s="21">
        <f t="shared" si="40"/>
        <v>1</v>
      </c>
      <c r="AS48" s="21">
        <f t="shared" si="41"/>
        <v>0</v>
      </c>
      <c r="AT48" s="21">
        <f t="shared" si="42"/>
        <v>0</v>
      </c>
      <c r="AU48" s="21">
        <f t="shared" si="43"/>
        <v>0</v>
      </c>
      <c r="AV48" s="23">
        <f t="shared" si="44"/>
        <v>35.25</v>
      </c>
      <c r="AW48" s="17"/>
      <c r="AX48" s="19">
        <f t="shared" si="26"/>
        <v>2</v>
      </c>
      <c r="AY48" s="19">
        <v>2</v>
      </c>
      <c r="AZ48" s="18">
        <f t="shared" si="27"/>
        <v>0</v>
      </c>
      <c r="BA48" s="17"/>
      <c r="BB48" s="17"/>
      <c r="BC48" s="17"/>
      <c r="BD48" s="17"/>
      <c r="BE48" s="17"/>
    </row>
    <row r="49" spans="1:57" s="7" customFormat="1" ht="15" customHeight="1" x14ac:dyDescent="0.35">
      <c r="A49" s="20" t="s">
        <v>54</v>
      </c>
      <c r="B49" s="21">
        <f>SUM(B50:B56)</f>
        <v>99</v>
      </c>
      <c r="C49" s="21">
        <f t="shared" ref="C49:G49" si="45">SUM(C50:C56)</f>
        <v>273</v>
      </c>
      <c r="D49" s="21">
        <f t="shared" si="45"/>
        <v>57</v>
      </c>
      <c r="E49" s="21">
        <f t="shared" si="45"/>
        <v>10</v>
      </c>
      <c r="F49" s="21">
        <f t="shared" si="45"/>
        <v>1</v>
      </c>
      <c r="G49" s="21">
        <f t="shared" si="45"/>
        <v>0</v>
      </c>
      <c r="H49" s="23">
        <f t="shared" si="22"/>
        <v>29.635227272727274</v>
      </c>
      <c r="I49" s="21"/>
      <c r="J49" s="21">
        <f>SUM(J50:J56)</f>
        <v>10</v>
      </c>
      <c r="K49" s="21">
        <f t="shared" ref="K49:O49" si="46">SUM(K50:K56)</f>
        <v>27</v>
      </c>
      <c r="L49" s="21">
        <f t="shared" si="46"/>
        <v>11</v>
      </c>
      <c r="M49" s="21">
        <f t="shared" si="46"/>
        <v>7</v>
      </c>
      <c r="N49" s="21">
        <f t="shared" si="46"/>
        <v>0</v>
      </c>
      <c r="O49" s="21">
        <f t="shared" si="46"/>
        <v>0</v>
      </c>
      <c r="P49" s="23">
        <f t="shared" si="28"/>
        <v>32.890909090909091</v>
      </c>
      <c r="Q49" s="21"/>
      <c r="R49" s="21">
        <f t="shared" si="29"/>
        <v>109</v>
      </c>
      <c r="S49" s="21">
        <f t="shared" si="30"/>
        <v>300</v>
      </c>
      <c r="T49" s="21">
        <f t="shared" si="31"/>
        <v>68</v>
      </c>
      <c r="U49" s="21">
        <f t="shared" si="32"/>
        <v>17</v>
      </c>
      <c r="V49" s="21">
        <f t="shared" si="33"/>
        <v>1</v>
      </c>
      <c r="W49" s="21">
        <f t="shared" si="34"/>
        <v>0</v>
      </c>
      <c r="X49" s="23">
        <f t="shared" si="35"/>
        <v>29.996969696969696</v>
      </c>
      <c r="Y49" s="21"/>
      <c r="Z49" s="21">
        <f>SUM(Z50:Z56)</f>
        <v>5</v>
      </c>
      <c r="AA49" s="21">
        <f t="shared" ref="AA49:AE49" si="47">SUM(AA50:AA56)</f>
        <v>17</v>
      </c>
      <c r="AB49" s="21">
        <f t="shared" si="47"/>
        <v>8</v>
      </c>
      <c r="AC49" s="21">
        <f t="shared" si="47"/>
        <v>3</v>
      </c>
      <c r="AD49" s="21">
        <f t="shared" si="47"/>
        <v>0</v>
      </c>
      <c r="AE49" s="21">
        <f t="shared" si="47"/>
        <v>0</v>
      </c>
      <c r="AF49" s="23">
        <f t="shared" si="36"/>
        <v>32.893939393939398</v>
      </c>
      <c r="AG49" s="21"/>
      <c r="AH49" s="21">
        <f>SUM(AH50:AH56)</f>
        <v>53</v>
      </c>
      <c r="AI49" s="21">
        <f t="shared" ref="AI49:AM49" si="48">SUM(AI50:AI56)</f>
        <v>100</v>
      </c>
      <c r="AJ49" s="21">
        <f t="shared" si="48"/>
        <v>66</v>
      </c>
      <c r="AK49" s="21">
        <f t="shared" si="48"/>
        <v>60</v>
      </c>
      <c r="AL49" s="21">
        <f t="shared" si="48"/>
        <v>23</v>
      </c>
      <c r="AM49" s="21">
        <f t="shared" si="48"/>
        <v>0</v>
      </c>
      <c r="AN49" s="23">
        <f t="shared" si="37"/>
        <v>36.592715231788077</v>
      </c>
      <c r="AO49" s="21"/>
      <c r="AP49" s="21">
        <f t="shared" si="38"/>
        <v>167</v>
      </c>
      <c r="AQ49" s="21">
        <f t="shared" si="39"/>
        <v>417</v>
      </c>
      <c r="AR49" s="21">
        <f t="shared" si="40"/>
        <v>142</v>
      </c>
      <c r="AS49" s="21">
        <f t="shared" si="41"/>
        <v>80</v>
      </c>
      <c r="AT49" s="21">
        <f t="shared" si="42"/>
        <v>24</v>
      </c>
      <c r="AU49" s="21">
        <f t="shared" si="43"/>
        <v>0</v>
      </c>
      <c r="AV49" s="23">
        <f t="shared" si="44"/>
        <v>32.512048192771083</v>
      </c>
      <c r="AW49" s="17"/>
      <c r="AX49" s="19">
        <f t="shared" si="26"/>
        <v>830</v>
      </c>
      <c r="AY49" s="19">
        <v>830</v>
      </c>
      <c r="AZ49" s="18">
        <f t="shared" si="27"/>
        <v>0</v>
      </c>
      <c r="BA49" s="17"/>
      <c r="BB49" s="17"/>
      <c r="BC49" s="17"/>
      <c r="BD49" s="17"/>
      <c r="BE49" s="17"/>
    </row>
    <row r="50" spans="1:57" s="7" customFormat="1" ht="15" customHeight="1" x14ac:dyDescent="0.35">
      <c r="A50" s="2" t="s">
        <v>55</v>
      </c>
      <c r="B50" s="22">
        <f>'2017-18_working'!B50</f>
        <v>11</v>
      </c>
      <c r="C50" s="22">
        <f>'2017-18_working'!C50</f>
        <v>35</v>
      </c>
      <c r="D50" s="22">
        <f>'2017-18_working'!D50</f>
        <v>9</v>
      </c>
      <c r="E50" s="22">
        <f>'2017-18_working'!E50</f>
        <v>0</v>
      </c>
      <c r="F50" s="22">
        <f>'2017-18_working'!F50+'2017-18_working'!G50</f>
        <v>0</v>
      </c>
      <c r="G50" s="22">
        <f>'2017-18_working'!H50</f>
        <v>0</v>
      </c>
      <c r="H50" s="23">
        <f t="shared" si="22"/>
        <v>29.718181818181819</v>
      </c>
      <c r="I50" s="22"/>
      <c r="J50" s="22">
        <f>'2017-18_working'!J50</f>
        <v>0</v>
      </c>
      <c r="K50" s="22">
        <f>'2017-18_working'!K50</f>
        <v>0</v>
      </c>
      <c r="L50" s="22">
        <f>'2017-18_working'!L50</f>
        <v>0</v>
      </c>
      <c r="M50" s="22">
        <f>'2017-18_working'!M50</f>
        <v>0</v>
      </c>
      <c r="N50" s="22">
        <f>'2017-18_working'!N50+'2017-18_working'!O50</f>
        <v>0</v>
      </c>
      <c r="O50" s="22">
        <f>'2017-18_working'!P50</f>
        <v>0</v>
      </c>
      <c r="P50" s="23" t="str">
        <f t="shared" si="28"/>
        <v>-</v>
      </c>
      <c r="Q50" s="22"/>
      <c r="R50" s="21">
        <f t="shared" si="29"/>
        <v>11</v>
      </c>
      <c r="S50" s="21">
        <f t="shared" si="30"/>
        <v>35</v>
      </c>
      <c r="T50" s="21">
        <f t="shared" si="31"/>
        <v>9</v>
      </c>
      <c r="U50" s="21">
        <f t="shared" si="32"/>
        <v>0</v>
      </c>
      <c r="V50" s="21">
        <f t="shared" si="33"/>
        <v>0</v>
      </c>
      <c r="W50" s="21">
        <f t="shared" si="34"/>
        <v>0</v>
      </c>
      <c r="X50" s="23">
        <f t="shared" si="35"/>
        <v>29.718181818181819</v>
      </c>
      <c r="Y50" s="22"/>
      <c r="Z50" s="22">
        <f>'2017-18_working'!R50</f>
        <v>0</v>
      </c>
      <c r="AA50" s="22">
        <f>'2017-18_working'!S50</f>
        <v>0</v>
      </c>
      <c r="AB50" s="22">
        <f>'2017-18_working'!T50</f>
        <v>0</v>
      </c>
      <c r="AC50" s="22">
        <f>'2017-18_working'!U50</f>
        <v>0</v>
      </c>
      <c r="AD50" s="22">
        <f>'2017-18_working'!V50+'2017-18_working'!W50</f>
        <v>0</v>
      </c>
      <c r="AE50" s="22">
        <f>'2017-18_working'!X50</f>
        <v>0</v>
      </c>
      <c r="AF50" s="23" t="str">
        <f t="shared" si="36"/>
        <v>-</v>
      </c>
      <c r="AG50" s="22"/>
      <c r="AH50" s="22">
        <f>'2017-18_working'!Z50</f>
        <v>16</v>
      </c>
      <c r="AI50" s="22">
        <f>'2017-18_working'!AA50</f>
        <v>27</v>
      </c>
      <c r="AJ50" s="22">
        <f>'2017-18_working'!AB50</f>
        <v>16</v>
      </c>
      <c r="AK50" s="22">
        <f>'2017-18_working'!AC50</f>
        <v>17</v>
      </c>
      <c r="AL50" s="22">
        <f>'2017-18_working'!AD50+'2017-18_working'!AE50</f>
        <v>4</v>
      </c>
      <c r="AM50" s="22">
        <f>'2017-18_working'!AF50</f>
        <v>0</v>
      </c>
      <c r="AN50" s="23">
        <f t="shared" si="37"/>
        <v>35.756249999999994</v>
      </c>
      <c r="AO50" s="22"/>
      <c r="AP50" s="21">
        <f t="shared" si="38"/>
        <v>27</v>
      </c>
      <c r="AQ50" s="21">
        <f t="shared" si="39"/>
        <v>62</v>
      </c>
      <c r="AR50" s="21">
        <f t="shared" si="40"/>
        <v>25</v>
      </c>
      <c r="AS50" s="21">
        <f t="shared" si="41"/>
        <v>17</v>
      </c>
      <c r="AT50" s="21">
        <f t="shared" si="42"/>
        <v>4</v>
      </c>
      <c r="AU50" s="21">
        <f t="shared" si="43"/>
        <v>0</v>
      </c>
      <c r="AV50" s="23">
        <f t="shared" si="44"/>
        <v>33.296296296296298</v>
      </c>
      <c r="AW50" s="17"/>
      <c r="AX50" s="19">
        <f t="shared" si="26"/>
        <v>135</v>
      </c>
      <c r="AY50" s="19">
        <v>135</v>
      </c>
      <c r="AZ50" s="18">
        <f t="shared" si="27"/>
        <v>0</v>
      </c>
      <c r="BA50" s="17"/>
      <c r="BB50" s="17"/>
      <c r="BC50" s="17"/>
      <c r="BD50" s="17"/>
      <c r="BE50" s="17"/>
    </row>
    <row r="51" spans="1:57" s="7" customFormat="1" ht="15" customHeight="1" x14ac:dyDescent="0.35">
      <c r="A51" s="2" t="s">
        <v>56</v>
      </c>
      <c r="B51" s="22">
        <f>'2017-18_working'!B51</f>
        <v>7</v>
      </c>
      <c r="C51" s="22">
        <f>'2017-18_working'!C51</f>
        <v>21</v>
      </c>
      <c r="D51" s="22">
        <f>'2017-18_working'!D51</f>
        <v>4</v>
      </c>
      <c r="E51" s="22">
        <f>'2017-18_working'!E51</f>
        <v>0</v>
      </c>
      <c r="F51" s="22">
        <f>'2017-18_working'!F51+'2017-18_working'!G51</f>
        <v>0</v>
      </c>
      <c r="G51" s="22">
        <f>'2017-18_working'!H51</f>
        <v>0</v>
      </c>
      <c r="H51" s="23">
        <f t="shared" si="22"/>
        <v>29.125</v>
      </c>
      <c r="I51" s="22"/>
      <c r="J51" s="22">
        <f>'2017-18_working'!J51</f>
        <v>4</v>
      </c>
      <c r="K51" s="22">
        <f>'2017-18_working'!K51</f>
        <v>11</v>
      </c>
      <c r="L51" s="22">
        <f>'2017-18_working'!L51</f>
        <v>1</v>
      </c>
      <c r="M51" s="22">
        <f>'2017-18_working'!M51</f>
        <v>0</v>
      </c>
      <c r="N51" s="22">
        <f>'2017-18_working'!N51+'2017-18_working'!O51</f>
        <v>0</v>
      </c>
      <c r="O51" s="22">
        <f>'2017-18_working'!P51</f>
        <v>0</v>
      </c>
      <c r="P51" s="23">
        <f t="shared" si="28"/>
        <v>28.15625</v>
      </c>
      <c r="Q51" s="22"/>
      <c r="R51" s="21">
        <f t="shared" si="29"/>
        <v>11</v>
      </c>
      <c r="S51" s="21">
        <f t="shared" si="30"/>
        <v>32</v>
      </c>
      <c r="T51" s="21">
        <f t="shared" si="31"/>
        <v>5</v>
      </c>
      <c r="U51" s="21">
        <f t="shared" si="32"/>
        <v>0</v>
      </c>
      <c r="V51" s="21">
        <f t="shared" si="33"/>
        <v>0</v>
      </c>
      <c r="W51" s="21">
        <f t="shared" si="34"/>
        <v>0</v>
      </c>
      <c r="X51" s="23">
        <f t="shared" si="35"/>
        <v>28.802083333333332</v>
      </c>
      <c r="Y51" s="22"/>
      <c r="Z51" s="22">
        <f>'2017-18_working'!R51</f>
        <v>1</v>
      </c>
      <c r="AA51" s="22">
        <f>'2017-18_working'!S51</f>
        <v>4</v>
      </c>
      <c r="AB51" s="22">
        <f>'2017-18_working'!T51</f>
        <v>2</v>
      </c>
      <c r="AC51" s="22">
        <f>'2017-18_working'!U51</f>
        <v>0</v>
      </c>
      <c r="AD51" s="22">
        <f>'2017-18_working'!V51+'2017-18_working'!W51</f>
        <v>0</v>
      </c>
      <c r="AE51" s="22">
        <f>'2017-18_working'!X51</f>
        <v>0</v>
      </c>
      <c r="AF51" s="23">
        <f t="shared" si="36"/>
        <v>31.571428571428569</v>
      </c>
      <c r="AG51" s="22"/>
      <c r="AH51" s="22">
        <f>'2017-18_working'!Z51</f>
        <v>12</v>
      </c>
      <c r="AI51" s="22">
        <f>'2017-18_working'!AA51</f>
        <v>1</v>
      </c>
      <c r="AJ51" s="22">
        <f>'2017-18_working'!AB51</f>
        <v>1</v>
      </c>
      <c r="AK51" s="22">
        <f>'2017-18_working'!AC51</f>
        <v>2</v>
      </c>
      <c r="AL51" s="22">
        <f>'2017-18_working'!AD51+'2017-18_working'!AE51</f>
        <v>1</v>
      </c>
      <c r="AM51" s="22">
        <f>'2017-18_working'!AF51</f>
        <v>0</v>
      </c>
      <c r="AN51" s="23">
        <f t="shared" si="37"/>
        <v>27.5</v>
      </c>
      <c r="AO51" s="22"/>
      <c r="AP51" s="21">
        <f t="shared" si="38"/>
        <v>24</v>
      </c>
      <c r="AQ51" s="21">
        <f t="shared" si="39"/>
        <v>37</v>
      </c>
      <c r="AR51" s="21">
        <f t="shared" si="40"/>
        <v>8</v>
      </c>
      <c r="AS51" s="21">
        <f t="shared" si="41"/>
        <v>2</v>
      </c>
      <c r="AT51" s="21">
        <f t="shared" si="42"/>
        <v>1</v>
      </c>
      <c r="AU51" s="21">
        <f t="shared" si="43"/>
        <v>0</v>
      </c>
      <c r="AV51" s="23">
        <f t="shared" si="44"/>
        <v>28.763888888888886</v>
      </c>
      <c r="AW51" s="17"/>
      <c r="AX51" s="19">
        <f t="shared" si="26"/>
        <v>72</v>
      </c>
      <c r="AY51" s="19">
        <v>72</v>
      </c>
      <c r="AZ51" s="18">
        <f t="shared" si="27"/>
        <v>0</v>
      </c>
      <c r="BA51" s="17"/>
      <c r="BB51" s="17"/>
      <c r="BC51" s="17"/>
      <c r="BD51" s="17"/>
      <c r="BE51" s="17"/>
    </row>
    <row r="52" spans="1:57" s="7" customFormat="1" ht="15" customHeight="1" x14ac:dyDescent="0.35">
      <c r="A52" s="2" t="s">
        <v>57</v>
      </c>
      <c r="B52" s="22">
        <f>'2017-18_working'!B52</f>
        <v>0</v>
      </c>
      <c r="C52" s="22">
        <f>'2017-18_working'!C52</f>
        <v>17</v>
      </c>
      <c r="D52" s="22">
        <f>'2017-18_working'!D52</f>
        <v>11</v>
      </c>
      <c r="E52" s="22">
        <f>'2017-18_working'!E52</f>
        <v>4</v>
      </c>
      <c r="F52" s="22">
        <f>'2017-18_working'!F52+'2017-18_working'!G52</f>
        <v>0</v>
      </c>
      <c r="G52" s="22">
        <f>'2017-18_working'!H52</f>
        <v>0</v>
      </c>
      <c r="H52" s="23">
        <f t="shared" si="22"/>
        <v>36.171875</v>
      </c>
      <c r="I52" s="22"/>
      <c r="J52" s="22">
        <f>'2017-18_working'!J52</f>
        <v>2</v>
      </c>
      <c r="K52" s="22">
        <f>'2017-18_working'!K52</f>
        <v>9</v>
      </c>
      <c r="L52" s="22">
        <f>'2017-18_working'!L52</f>
        <v>9</v>
      </c>
      <c r="M52" s="22">
        <f>'2017-18_working'!M52</f>
        <v>6</v>
      </c>
      <c r="N52" s="22">
        <f>'2017-18_working'!N52+'2017-18_working'!O52</f>
        <v>0</v>
      </c>
      <c r="O52" s="22">
        <f>'2017-18_working'!P52</f>
        <v>0</v>
      </c>
      <c r="P52" s="23">
        <f t="shared" si="28"/>
        <v>37.596153846153847</v>
      </c>
      <c r="Q52" s="22"/>
      <c r="R52" s="21">
        <f t="shared" si="29"/>
        <v>2</v>
      </c>
      <c r="S52" s="21">
        <f t="shared" si="30"/>
        <v>26</v>
      </c>
      <c r="T52" s="21">
        <f t="shared" si="31"/>
        <v>20</v>
      </c>
      <c r="U52" s="21">
        <f t="shared" si="32"/>
        <v>10</v>
      </c>
      <c r="V52" s="21">
        <f t="shared" si="33"/>
        <v>0</v>
      </c>
      <c r="W52" s="21">
        <f t="shared" si="34"/>
        <v>0</v>
      </c>
      <c r="X52" s="23">
        <f t="shared" si="35"/>
        <v>36.810344827586206</v>
      </c>
      <c r="Y52" s="22"/>
      <c r="Z52" s="22">
        <f>'2017-18_working'!R52</f>
        <v>2</v>
      </c>
      <c r="AA52" s="22">
        <f>'2017-18_working'!S52</f>
        <v>1</v>
      </c>
      <c r="AB52" s="22">
        <f>'2017-18_working'!T52</f>
        <v>0</v>
      </c>
      <c r="AC52" s="22">
        <f>'2017-18_working'!U52</f>
        <v>0</v>
      </c>
      <c r="AD52" s="22">
        <f>'2017-18_working'!V52+'2017-18_working'!W52</f>
        <v>0</v>
      </c>
      <c r="AE52" s="22">
        <f>'2017-18_working'!X52</f>
        <v>0</v>
      </c>
      <c r="AF52" s="23">
        <f t="shared" si="36"/>
        <v>23.333333333333332</v>
      </c>
      <c r="AG52" s="22"/>
      <c r="AH52" s="22">
        <f>'2017-18_working'!Z52</f>
        <v>12</v>
      </c>
      <c r="AI52" s="22">
        <f>'2017-18_working'!AA52</f>
        <v>11</v>
      </c>
      <c r="AJ52" s="22">
        <f>'2017-18_working'!AB52</f>
        <v>6</v>
      </c>
      <c r="AK52" s="22">
        <f>'2017-18_working'!AC52</f>
        <v>6</v>
      </c>
      <c r="AL52" s="22">
        <f>'2017-18_working'!AD52+'2017-18_working'!AE52</f>
        <v>2</v>
      </c>
      <c r="AM52" s="22">
        <f>'2017-18_working'!AF52</f>
        <v>0</v>
      </c>
      <c r="AN52" s="23">
        <f t="shared" si="37"/>
        <v>33.189189189189193</v>
      </c>
      <c r="AO52" s="22"/>
      <c r="AP52" s="21">
        <f t="shared" si="38"/>
        <v>16</v>
      </c>
      <c r="AQ52" s="21">
        <f t="shared" si="39"/>
        <v>38</v>
      </c>
      <c r="AR52" s="21">
        <f t="shared" si="40"/>
        <v>26</v>
      </c>
      <c r="AS52" s="21">
        <f t="shared" si="41"/>
        <v>16</v>
      </c>
      <c r="AT52" s="21">
        <f t="shared" si="42"/>
        <v>2</v>
      </c>
      <c r="AU52" s="21">
        <f t="shared" si="43"/>
        <v>0</v>
      </c>
      <c r="AV52" s="23">
        <f t="shared" si="44"/>
        <v>35.030612244897966</v>
      </c>
      <c r="AW52" s="17"/>
      <c r="AX52" s="19">
        <f t="shared" si="26"/>
        <v>98</v>
      </c>
      <c r="AY52" s="19">
        <v>98</v>
      </c>
      <c r="AZ52" s="18">
        <f t="shared" si="27"/>
        <v>0</v>
      </c>
      <c r="BA52" s="17"/>
      <c r="BB52" s="17"/>
      <c r="BC52" s="17"/>
      <c r="BD52" s="17"/>
      <c r="BE52" s="17"/>
    </row>
    <row r="53" spans="1:57" s="7" customFormat="1" ht="15" customHeight="1" x14ac:dyDescent="0.35">
      <c r="A53" s="2" t="s">
        <v>58</v>
      </c>
      <c r="B53" s="22">
        <f>'2017-18_working'!B53</f>
        <v>0</v>
      </c>
      <c r="C53" s="22">
        <f>'2017-18_working'!C53</f>
        <v>3</v>
      </c>
      <c r="D53" s="22">
        <f>'2017-18_working'!D53</f>
        <v>2</v>
      </c>
      <c r="E53" s="22">
        <f>'2017-18_working'!E53</f>
        <v>0</v>
      </c>
      <c r="F53" s="22">
        <f>'2017-18_working'!F53+'2017-18_working'!G53</f>
        <v>1</v>
      </c>
      <c r="G53" s="22">
        <f>'2017-18_working'!H53</f>
        <v>0</v>
      </c>
      <c r="H53" s="23">
        <f t="shared" si="22"/>
        <v>37.833333333333329</v>
      </c>
      <c r="I53" s="22"/>
      <c r="J53" s="22">
        <f>'2017-18_working'!J53</f>
        <v>3</v>
      </c>
      <c r="K53" s="22">
        <f>'2017-18_working'!K53</f>
        <v>3</v>
      </c>
      <c r="L53" s="22">
        <f>'2017-18_working'!L53</f>
        <v>0</v>
      </c>
      <c r="M53" s="22">
        <f>'2017-18_working'!M53</f>
        <v>0</v>
      </c>
      <c r="N53" s="22">
        <f>'2017-18_working'!N53+'2017-18_working'!O53</f>
        <v>0</v>
      </c>
      <c r="O53" s="22">
        <f>'2017-18_working'!P53</f>
        <v>0</v>
      </c>
      <c r="P53" s="23">
        <f t="shared" si="28"/>
        <v>25</v>
      </c>
      <c r="Q53" s="22"/>
      <c r="R53" s="21">
        <f t="shared" si="29"/>
        <v>3</v>
      </c>
      <c r="S53" s="21">
        <f t="shared" si="30"/>
        <v>6</v>
      </c>
      <c r="T53" s="21">
        <f t="shared" si="31"/>
        <v>2</v>
      </c>
      <c r="U53" s="21">
        <f t="shared" si="32"/>
        <v>0</v>
      </c>
      <c r="V53" s="21">
        <f t="shared" si="33"/>
        <v>1</v>
      </c>
      <c r="W53" s="21">
        <f t="shared" si="34"/>
        <v>0</v>
      </c>
      <c r="X53" s="23">
        <f t="shared" si="35"/>
        <v>31.416666666666664</v>
      </c>
      <c r="Y53" s="22"/>
      <c r="Z53" s="22">
        <f>'2017-18_working'!R53</f>
        <v>0</v>
      </c>
      <c r="AA53" s="22">
        <f>'2017-18_working'!S53</f>
        <v>0</v>
      </c>
      <c r="AB53" s="22">
        <f>'2017-18_working'!T53</f>
        <v>1</v>
      </c>
      <c r="AC53" s="22">
        <f>'2017-18_working'!U53</f>
        <v>0</v>
      </c>
      <c r="AD53" s="22">
        <f>'2017-18_working'!V53+'2017-18_working'!W53</f>
        <v>0</v>
      </c>
      <c r="AE53" s="22">
        <f>'2017-18_working'!X53</f>
        <v>0</v>
      </c>
      <c r="AF53" s="23">
        <f t="shared" si="36"/>
        <v>40.5</v>
      </c>
      <c r="AG53" s="22"/>
      <c r="AH53" s="22">
        <f>'2017-18_working'!Z53</f>
        <v>1</v>
      </c>
      <c r="AI53" s="22">
        <f>'2017-18_working'!AA53</f>
        <v>9</v>
      </c>
      <c r="AJ53" s="22">
        <f>'2017-18_working'!AB53</f>
        <v>8</v>
      </c>
      <c r="AK53" s="22">
        <f>'2017-18_working'!AC53</f>
        <v>3</v>
      </c>
      <c r="AL53" s="22">
        <f>'2017-18_working'!AD53+'2017-18_working'!AE53</f>
        <v>4</v>
      </c>
      <c r="AM53" s="22">
        <f>'2017-18_working'!AF53</f>
        <v>0</v>
      </c>
      <c r="AN53" s="23">
        <f t="shared" si="37"/>
        <v>39.58</v>
      </c>
      <c r="AO53" s="22"/>
      <c r="AP53" s="21">
        <f t="shared" si="38"/>
        <v>4</v>
      </c>
      <c r="AQ53" s="21">
        <f t="shared" si="39"/>
        <v>15</v>
      </c>
      <c r="AR53" s="21">
        <f t="shared" si="40"/>
        <v>11</v>
      </c>
      <c r="AS53" s="21">
        <f t="shared" si="41"/>
        <v>3</v>
      </c>
      <c r="AT53" s="21">
        <f t="shared" si="42"/>
        <v>5</v>
      </c>
      <c r="AU53" s="21">
        <f t="shared" si="43"/>
        <v>0</v>
      </c>
      <c r="AV53" s="23">
        <f t="shared" si="44"/>
        <v>37.026315789473685</v>
      </c>
      <c r="AW53" s="17"/>
      <c r="AX53" s="19">
        <f t="shared" si="26"/>
        <v>38</v>
      </c>
      <c r="AY53" s="19">
        <v>38</v>
      </c>
      <c r="AZ53" s="18">
        <f t="shared" si="27"/>
        <v>0</v>
      </c>
      <c r="BA53" s="17"/>
      <c r="BB53" s="17"/>
      <c r="BC53" s="17"/>
      <c r="BD53" s="17"/>
      <c r="BE53" s="17"/>
    </row>
    <row r="54" spans="1:57" s="7" customFormat="1" ht="15" customHeight="1" x14ac:dyDescent="0.35">
      <c r="A54" s="2" t="s">
        <v>59</v>
      </c>
      <c r="B54" s="22">
        <f>'2017-18_working'!B54</f>
        <v>29</v>
      </c>
      <c r="C54" s="22">
        <f>'2017-18_working'!C54</f>
        <v>40</v>
      </c>
      <c r="D54" s="22">
        <f>'2017-18_working'!D54</f>
        <v>4</v>
      </c>
      <c r="E54" s="22">
        <f>'2017-18_working'!E54</f>
        <v>0</v>
      </c>
      <c r="F54" s="22">
        <f>'2017-18_working'!F54+'2017-18_working'!G54</f>
        <v>0</v>
      </c>
      <c r="G54" s="22">
        <f>'2017-18_working'!H54</f>
        <v>0</v>
      </c>
      <c r="H54" s="23">
        <f t="shared" si="22"/>
        <v>26.602739726027394</v>
      </c>
      <c r="I54" s="22"/>
      <c r="J54" s="22">
        <f>'2017-18_working'!J54</f>
        <v>0</v>
      </c>
      <c r="K54" s="22">
        <f>'2017-18_working'!K54</f>
        <v>0</v>
      </c>
      <c r="L54" s="22">
        <f>'2017-18_working'!L54</f>
        <v>0</v>
      </c>
      <c r="M54" s="22">
        <f>'2017-18_working'!M54</f>
        <v>0</v>
      </c>
      <c r="N54" s="22">
        <f>'2017-18_working'!N54+'2017-18_working'!O54</f>
        <v>0</v>
      </c>
      <c r="O54" s="22">
        <f>'2017-18_working'!P54</f>
        <v>0</v>
      </c>
      <c r="P54" s="23" t="str">
        <f t="shared" si="28"/>
        <v>-</v>
      </c>
      <c r="Q54" s="22"/>
      <c r="R54" s="21">
        <f t="shared" si="29"/>
        <v>29</v>
      </c>
      <c r="S54" s="21">
        <f t="shared" si="30"/>
        <v>40</v>
      </c>
      <c r="T54" s="21">
        <f t="shared" si="31"/>
        <v>4</v>
      </c>
      <c r="U54" s="21">
        <f t="shared" si="32"/>
        <v>0</v>
      </c>
      <c r="V54" s="21">
        <f t="shared" si="33"/>
        <v>0</v>
      </c>
      <c r="W54" s="21">
        <f t="shared" si="34"/>
        <v>0</v>
      </c>
      <c r="X54" s="23">
        <f t="shared" si="35"/>
        <v>26.602739726027394</v>
      </c>
      <c r="Y54" s="22"/>
      <c r="Z54" s="22">
        <f>'2017-18_working'!R54</f>
        <v>0</v>
      </c>
      <c r="AA54" s="22">
        <f>'2017-18_working'!S54</f>
        <v>1</v>
      </c>
      <c r="AB54" s="22">
        <f>'2017-18_working'!T54</f>
        <v>1</v>
      </c>
      <c r="AC54" s="22">
        <f>'2017-18_working'!U54</f>
        <v>0</v>
      </c>
      <c r="AD54" s="22">
        <f>'2017-18_working'!V54+'2017-18_working'!W54</f>
        <v>0</v>
      </c>
      <c r="AE54" s="22">
        <f>'2017-18_working'!X54</f>
        <v>0</v>
      </c>
      <c r="AF54" s="23">
        <f t="shared" si="36"/>
        <v>35.25</v>
      </c>
      <c r="AG54" s="22"/>
      <c r="AH54" s="22">
        <f>'2017-18_working'!Z54</f>
        <v>3</v>
      </c>
      <c r="AI54" s="22">
        <f>'2017-18_working'!AA54</f>
        <v>5</v>
      </c>
      <c r="AJ54" s="22">
        <f>'2017-18_working'!AB54</f>
        <v>5</v>
      </c>
      <c r="AK54" s="22">
        <f>'2017-18_working'!AC54</f>
        <v>6</v>
      </c>
      <c r="AL54" s="22">
        <f>'2017-18_working'!AD54+'2017-18_working'!AE54</f>
        <v>0</v>
      </c>
      <c r="AM54" s="22">
        <f>'2017-18_working'!AF54</f>
        <v>0</v>
      </c>
      <c r="AN54" s="23">
        <f t="shared" si="37"/>
        <v>37.657894736842103</v>
      </c>
      <c r="AO54" s="22"/>
      <c r="AP54" s="21">
        <f t="shared" si="38"/>
        <v>32</v>
      </c>
      <c r="AQ54" s="21">
        <f t="shared" si="39"/>
        <v>46</v>
      </c>
      <c r="AR54" s="21">
        <f t="shared" si="40"/>
        <v>10</v>
      </c>
      <c r="AS54" s="21">
        <f t="shared" si="41"/>
        <v>6</v>
      </c>
      <c r="AT54" s="21">
        <f t="shared" si="42"/>
        <v>0</v>
      </c>
      <c r="AU54" s="21">
        <f t="shared" si="43"/>
        <v>0</v>
      </c>
      <c r="AV54" s="23">
        <f t="shared" si="44"/>
        <v>29.021276595744681</v>
      </c>
      <c r="AW54" s="17"/>
      <c r="AX54" s="19">
        <f t="shared" si="26"/>
        <v>94</v>
      </c>
      <c r="AY54" s="19">
        <v>94</v>
      </c>
      <c r="AZ54" s="18">
        <f t="shared" si="27"/>
        <v>0</v>
      </c>
      <c r="BA54" s="17"/>
      <c r="BB54" s="17"/>
      <c r="BC54" s="17"/>
      <c r="BD54" s="17"/>
      <c r="BE54" s="17"/>
    </row>
    <row r="55" spans="1:57" s="7" customFormat="1" ht="15" customHeight="1" x14ac:dyDescent="0.35">
      <c r="A55" s="2" t="s">
        <v>60</v>
      </c>
      <c r="B55" s="22">
        <f>'2017-18_working'!B55</f>
        <v>6</v>
      </c>
      <c r="C55" s="22">
        <f>'2017-18_working'!C55</f>
        <v>24</v>
      </c>
      <c r="D55" s="22">
        <f>'2017-18_working'!D55</f>
        <v>5</v>
      </c>
      <c r="E55" s="22">
        <f>'2017-18_working'!E55</f>
        <v>1</v>
      </c>
      <c r="F55" s="22">
        <f>'2017-18_working'!F55+'2017-18_working'!G55</f>
        <v>0</v>
      </c>
      <c r="G55" s="22">
        <f>'2017-18_working'!H55</f>
        <v>0</v>
      </c>
      <c r="H55" s="23">
        <f t="shared" si="22"/>
        <v>30.361111111111111</v>
      </c>
      <c r="I55" s="22"/>
      <c r="J55" s="22">
        <f>'2017-18_working'!J55</f>
        <v>1</v>
      </c>
      <c r="K55" s="22">
        <f>'2017-18_working'!K55</f>
        <v>4</v>
      </c>
      <c r="L55" s="22">
        <f>'2017-18_working'!L55</f>
        <v>1</v>
      </c>
      <c r="M55" s="22">
        <f>'2017-18_working'!M55</f>
        <v>1</v>
      </c>
      <c r="N55" s="22">
        <f>'2017-18_working'!N55+'2017-18_working'!O55</f>
        <v>0</v>
      </c>
      <c r="O55" s="22">
        <f>'2017-18_working'!P55</f>
        <v>0</v>
      </c>
      <c r="P55" s="23">
        <f t="shared" si="28"/>
        <v>33</v>
      </c>
      <c r="Q55" s="22"/>
      <c r="R55" s="21">
        <f t="shared" si="29"/>
        <v>7</v>
      </c>
      <c r="S55" s="21">
        <f t="shared" si="30"/>
        <v>28</v>
      </c>
      <c r="T55" s="21">
        <f t="shared" si="31"/>
        <v>6</v>
      </c>
      <c r="U55" s="21">
        <f t="shared" si="32"/>
        <v>2</v>
      </c>
      <c r="V55" s="21">
        <f t="shared" si="33"/>
        <v>0</v>
      </c>
      <c r="W55" s="21">
        <f t="shared" si="34"/>
        <v>0</v>
      </c>
      <c r="X55" s="23">
        <f t="shared" si="35"/>
        <v>30.79069767441861</v>
      </c>
      <c r="Y55" s="22"/>
      <c r="Z55" s="22">
        <f>'2017-18_working'!R55</f>
        <v>0</v>
      </c>
      <c r="AA55" s="22">
        <f>'2017-18_working'!S55</f>
        <v>0</v>
      </c>
      <c r="AB55" s="22">
        <f>'2017-18_working'!T55</f>
        <v>0</v>
      </c>
      <c r="AC55" s="22">
        <f>'2017-18_working'!U55</f>
        <v>0</v>
      </c>
      <c r="AD55" s="22">
        <f>'2017-18_working'!V55+'2017-18_working'!W55</f>
        <v>0</v>
      </c>
      <c r="AE55" s="22">
        <f>'2017-18_working'!X55</f>
        <v>0</v>
      </c>
      <c r="AF55" s="23" t="str">
        <f t="shared" si="36"/>
        <v>-</v>
      </c>
      <c r="AG55" s="22"/>
      <c r="AH55" s="22">
        <f>'2017-18_working'!Z55</f>
        <v>4</v>
      </c>
      <c r="AI55" s="22">
        <f>'2017-18_working'!AA55</f>
        <v>13</v>
      </c>
      <c r="AJ55" s="22">
        <f>'2017-18_working'!AB55</f>
        <v>15</v>
      </c>
      <c r="AK55" s="22">
        <f>'2017-18_working'!AC55</f>
        <v>12</v>
      </c>
      <c r="AL55" s="22">
        <f>'2017-18_working'!AD55+'2017-18_working'!AE55</f>
        <v>6</v>
      </c>
      <c r="AM55" s="22">
        <f>'2017-18_working'!AF55</f>
        <v>0</v>
      </c>
      <c r="AN55" s="23">
        <f t="shared" si="37"/>
        <v>40.39</v>
      </c>
      <c r="AO55" s="22"/>
      <c r="AP55" s="21">
        <f t="shared" si="38"/>
        <v>11</v>
      </c>
      <c r="AQ55" s="21">
        <f t="shared" si="39"/>
        <v>41</v>
      </c>
      <c r="AR55" s="21">
        <f t="shared" si="40"/>
        <v>21</v>
      </c>
      <c r="AS55" s="21">
        <f t="shared" si="41"/>
        <v>14</v>
      </c>
      <c r="AT55" s="21">
        <f t="shared" si="42"/>
        <v>6</v>
      </c>
      <c r="AU55" s="21">
        <f t="shared" si="43"/>
        <v>0</v>
      </c>
      <c r="AV55" s="23">
        <f t="shared" si="44"/>
        <v>35.951612903225801</v>
      </c>
      <c r="AW55" s="17"/>
      <c r="AX55" s="19">
        <f t="shared" si="26"/>
        <v>93</v>
      </c>
      <c r="AY55" s="19">
        <v>93</v>
      </c>
      <c r="AZ55" s="18">
        <f t="shared" si="27"/>
        <v>0</v>
      </c>
      <c r="BA55" s="17"/>
      <c r="BB55" s="17"/>
      <c r="BC55" s="17"/>
      <c r="BD55" s="17"/>
      <c r="BE55" s="17"/>
    </row>
    <row r="56" spans="1:57" s="7" customFormat="1" ht="15" customHeight="1" thickBot="1" x14ac:dyDescent="0.4">
      <c r="A56" s="25" t="s">
        <v>61</v>
      </c>
      <c r="B56" s="22">
        <f>'2017-18_working'!B56</f>
        <v>46</v>
      </c>
      <c r="C56" s="22">
        <f>'2017-18_working'!C56</f>
        <v>133</v>
      </c>
      <c r="D56" s="22">
        <f>'2017-18_working'!D56</f>
        <v>22</v>
      </c>
      <c r="E56" s="22">
        <f>'2017-18_working'!E56</f>
        <v>5</v>
      </c>
      <c r="F56" s="22">
        <f>'2017-18_working'!F56+'2017-18_working'!G56</f>
        <v>0</v>
      </c>
      <c r="G56" s="22">
        <f>'2017-18_working'!H56</f>
        <v>0</v>
      </c>
      <c r="H56" s="23">
        <f t="shared" si="22"/>
        <v>29.385922330097088</v>
      </c>
      <c r="I56" s="26"/>
      <c r="J56" s="22">
        <f>'2017-18_working'!J56</f>
        <v>0</v>
      </c>
      <c r="K56" s="22">
        <f>'2017-18_working'!K56</f>
        <v>0</v>
      </c>
      <c r="L56" s="22">
        <f>'2017-18_working'!L56</f>
        <v>0</v>
      </c>
      <c r="M56" s="22">
        <f>'2017-18_working'!M56</f>
        <v>0</v>
      </c>
      <c r="N56" s="22">
        <f>'2017-18_working'!N56+'2017-18_working'!O56</f>
        <v>0</v>
      </c>
      <c r="O56" s="22">
        <f>'2017-18_working'!P56</f>
        <v>0</v>
      </c>
      <c r="P56" s="23" t="str">
        <f t="shared" si="28"/>
        <v>-</v>
      </c>
      <c r="Q56" s="26"/>
      <c r="R56" s="21">
        <f t="shared" si="29"/>
        <v>46</v>
      </c>
      <c r="S56" s="21">
        <f t="shared" si="30"/>
        <v>133</v>
      </c>
      <c r="T56" s="21">
        <f t="shared" si="31"/>
        <v>22</v>
      </c>
      <c r="U56" s="21">
        <f t="shared" si="32"/>
        <v>5</v>
      </c>
      <c r="V56" s="21">
        <f t="shared" si="33"/>
        <v>0</v>
      </c>
      <c r="W56" s="21">
        <f t="shared" si="34"/>
        <v>0</v>
      </c>
      <c r="X56" s="23">
        <f t="shared" si="35"/>
        <v>29.385922330097088</v>
      </c>
      <c r="Y56" s="26"/>
      <c r="Z56" s="22">
        <f>'2017-18_working'!R56</f>
        <v>2</v>
      </c>
      <c r="AA56" s="22">
        <f>'2017-18_working'!S56</f>
        <v>11</v>
      </c>
      <c r="AB56" s="22">
        <f>'2017-18_working'!T56</f>
        <v>4</v>
      </c>
      <c r="AC56" s="22">
        <f>'2017-18_working'!U56</f>
        <v>3</v>
      </c>
      <c r="AD56" s="22">
        <f>'2017-18_working'!V56+'2017-18_working'!W56</f>
        <v>0</v>
      </c>
      <c r="AE56" s="22">
        <f>'2017-18_working'!X56</f>
        <v>0</v>
      </c>
      <c r="AF56" s="23">
        <f t="shared" si="36"/>
        <v>34.174999999999997</v>
      </c>
      <c r="AG56" s="26"/>
      <c r="AH56" s="22">
        <f>'2017-18_working'!Z56</f>
        <v>5</v>
      </c>
      <c r="AI56" s="22">
        <f>'2017-18_working'!AA56</f>
        <v>34</v>
      </c>
      <c r="AJ56" s="22">
        <f>'2017-18_working'!AB56</f>
        <v>15</v>
      </c>
      <c r="AK56" s="22">
        <f>'2017-18_working'!AC56</f>
        <v>14</v>
      </c>
      <c r="AL56" s="22">
        <f>'2017-18_working'!AD56+'2017-18_working'!AE56</f>
        <v>6</v>
      </c>
      <c r="AM56" s="22">
        <f>'2017-18_working'!AF56</f>
        <v>0</v>
      </c>
      <c r="AN56" s="23">
        <f t="shared" si="37"/>
        <v>37.439189189189193</v>
      </c>
      <c r="AO56" s="26"/>
      <c r="AP56" s="21">
        <f t="shared" si="38"/>
        <v>53</v>
      </c>
      <c r="AQ56" s="21">
        <f t="shared" si="39"/>
        <v>178</v>
      </c>
      <c r="AR56" s="21">
        <f t="shared" si="40"/>
        <v>41</v>
      </c>
      <c r="AS56" s="21">
        <f t="shared" si="41"/>
        <v>22</v>
      </c>
      <c r="AT56" s="21">
        <f t="shared" si="42"/>
        <v>6</v>
      </c>
      <c r="AU56" s="21">
        <f t="shared" si="43"/>
        <v>0</v>
      </c>
      <c r="AV56" s="23">
        <f t="shared" si="44"/>
        <v>31.69166666666667</v>
      </c>
      <c r="AW56" s="17"/>
      <c r="AX56" s="19">
        <f t="shared" si="26"/>
        <v>300</v>
      </c>
      <c r="AY56" s="19">
        <v>300</v>
      </c>
      <c r="AZ56" s="18">
        <f t="shared" si="27"/>
        <v>0</v>
      </c>
      <c r="BA56" s="17"/>
      <c r="BB56" s="17"/>
      <c r="BC56" s="17"/>
      <c r="BD56" s="17"/>
      <c r="BE56" s="17"/>
    </row>
    <row r="57" spans="1:57" s="7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17"/>
      <c r="AX57" s="17"/>
      <c r="AY57" s="17"/>
      <c r="AZ57" s="17"/>
      <c r="BA57" s="17"/>
      <c r="BB57" s="17"/>
      <c r="BC57" s="17"/>
      <c r="BD57" s="17"/>
      <c r="BE57" s="17"/>
    </row>
  </sheetData>
  <mergeCells count="8">
    <mergeCell ref="A1:AV1"/>
    <mergeCell ref="B5:AV5"/>
    <mergeCell ref="B6:G6"/>
    <mergeCell ref="J6:P6"/>
    <mergeCell ref="R6:W6"/>
    <mergeCell ref="Z6:AE6"/>
    <mergeCell ref="AH6:AM6"/>
    <mergeCell ref="AP6:AV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7"/>
  <sheetViews>
    <sheetView zoomScale="80" zoomScaleNormal="80" workbookViewId="0">
      <selection activeCell="R45" sqref="R7:W45"/>
    </sheetView>
  </sheetViews>
  <sheetFormatPr defaultColWidth="9.1796875" defaultRowHeight="14.5" x14ac:dyDescent="0.35"/>
  <cols>
    <col min="1" max="1" width="50.7265625" style="4" customWidth="1"/>
    <col min="2" max="8" width="8.7265625" style="4" customWidth="1"/>
    <col min="9" max="9" width="2.7265625" style="4" customWidth="1"/>
    <col min="10" max="16" width="8.7265625" style="4" customWidth="1"/>
    <col min="17" max="17" width="2.7265625" style="4" customWidth="1"/>
    <col min="18" max="24" width="8.7265625" style="4" customWidth="1"/>
    <col min="25" max="25" width="2.7265625" style="4" customWidth="1"/>
    <col min="26" max="32" width="8.7265625" style="4" customWidth="1"/>
    <col min="33" max="33" width="2.7265625" style="4" customWidth="1"/>
    <col min="34" max="40" width="8.7265625" style="4" customWidth="1"/>
    <col min="41" max="41" width="2.7265625" style="4" customWidth="1"/>
    <col min="42" max="48" width="8.7265625" style="4" customWidth="1"/>
    <col min="49" max="16384" width="9.1796875" style="4"/>
  </cols>
  <sheetData>
    <row r="1" spans="1:58" s="1" customFormat="1" ht="23.25" customHeight="1" x14ac:dyDescent="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8" s="1" customFormat="1" ht="23.25" customHeight="1" x14ac:dyDescent="0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spans="1:58" s="1" customFormat="1" ht="23.25" customHeight="1" x14ac:dyDescent="0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spans="1:58" s="1" customFormat="1" ht="23.25" customHeight="1" x14ac:dyDescent="0.5">
      <c r="A4" s="65" t="str">
        <f>FIRE1122!A4</f>
        <v>2017-18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spans="1:58" s="3" customFormat="1" x14ac:dyDescent="0.35">
      <c r="A5" s="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</row>
    <row r="6" spans="1:58" s="7" customFormat="1" ht="15.75" customHeight="1" thickBot="1" x14ac:dyDescent="0.4">
      <c r="A6" s="4"/>
      <c r="B6" s="64" t="s">
        <v>0</v>
      </c>
      <c r="C6" s="64"/>
      <c r="D6" s="64"/>
      <c r="E6" s="64"/>
      <c r="F6" s="64"/>
      <c r="G6" s="64"/>
      <c r="H6" s="64"/>
      <c r="I6" s="39"/>
      <c r="J6" s="62" t="s">
        <v>72</v>
      </c>
      <c r="K6" s="62"/>
      <c r="L6" s="62"/>
      <c r="M6" s="62"/>
      <c r="N6" s="62"/>
      <c r="O6" s="62"/>
      <c r="P6" s="62"/>
      <c r="Q6" s="39"/>
      <c r="R6" s="63" t="s">
        <v>1</v>
      </c>
      <c r="S6" s="63"/>
      <c r="T6" s="63"/>
      <c r="U6" s="63"/>
      <c r="V6" s="63"/>
      <c r="W6" s="63"/>
      <c r="X6" s="63"/>
      <c r="Y6" s="39"/>
      <c r="Z6" s="62" t="s">
        <v>2</v>
      </c>
      <c r="AA6" s="62"/>
      <c r="AB6" s="62"/>
      <c r="AC6" s="62"/>
      <c r="AD6" s="62"/>
      <c r="AE6" s="62"/>
      <c r="AF6" s="62"/>
      <c r="AG6" s="39"/>
      <c r="AH6" s="62" t="s">
        <v>3</v>
      </c>
      <c r="AI6" s="62"/>
      <c r="AJ6" s="62"/>
      <c r="AK6" s="62"/>
      <c r="AL6" s="62"/>
      <c r="AM6" s="62"/>
      <c r="AN6" s="62"/>
      <c r="AO6" s="39"/>
      <c r="AP6" s="63" t="s">
        <v>4</v>
      </c>
      <c r="AQ6" s="63"/>
      <c r="AR6" s="63"/>
      <c r="AS6" s="63"/>
      <c r="AT6" s="63"/>
      <c r="AU6" s="63"/>
      <c r="AV6" s="63"/>
    </row>
    <row r="7" spans="1:58" s="12" customFormat="1" ht="58.5" thickBot="1" x14ac:dyDescent="0.4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40"/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12</v>
      </c>
      <c r="Q7" s="40"/>
      <c r="R7" s="9" t="s">
        <v>6</v>
      </c>
      <c r="S7" s="9" t="s">
        <v>7</v>
      </c>
      <c r="T7" s="9" t="s">
        <v>8</v>
      </c>
      <c r="U7" s="9" t="s">
        <v>9</v>
      </c>
      <c r="V7" s="9" t="s">
        <v>10</v>
      </c>
      <c r="W7" s="9" t="s">
        <v>11</v>
      </c>
      <c r="X7" s="10" t="s">
        <v>12</v>
      </c>
      <c r="Y7" s="40"/>
      <c r="Z7" s="9" t="s">
        <v>6</v>
      </c>
      <c r="AA7" s="9" t="s">
        <v>7</v>
      </c>
      <c r="AB7" s="9" t="s">
        <v>8</v>
      </c>
      <c r="AC7" s="9" t="s">
        <v>9</v>
      </c>
      <c r="AD7" s="9" t="s">
        <v>10</v>
      </c>
      <c r="AE7" s="9" t="s">
        <v>11</v>
      </c>
      <c r="AF7" s="10" t="s">
        <v>12</v>
      </c>
      <c r="AG7" s="40"/>
      <c r="AH7" s="9" t="s">
        <v>6</v>
      </c>
      <c r="AI7" s="9" t="s">
        <v>7</v>
      </c>
      <c r="AJ7" s="9" t="s">
        <v>8</v>
      </c>
      <c r="AK7" s="9" t="s">
        <v>9</v>
      </c>
      <c r="AL7" s="9" t="s">
        <v>10</v>
      </c>
      <c r="AM7" s="9" t="s">
        <v>11</v>
      </c>
      <c r="AN7" s="10" t="s">
        <v>12</v>
      </c>
      <c r="AO7" s="40"/>
      <c r="AP7" s="44" t="s">
        <v>87</v>
      </c>
      <c r="AQ7" s="44" t="s">
        <v>77</v>
      </c>
      <c r="AR7" s="44" t="s">
        <v>78</v>
      </c>
      <c r="AS7" s="44" t="s">
        <v>79</v>
      </c>
      <c r="AT7" s="44" t="s">
        <v>88</v>
      </c>
      <c r="AU7" s="44" t="s">
        <v>89</v>
      </c>
      <c r="AV7" s="10" t="s">
        <v>12</v>
      </c>
    </row>
    <row r="8" spans="1:58" s="7" customFormat="1" ht="15" customHeight="1" x14ac:dyDescent="0.35">
      <c r="A8" s="13" t="s">
        <v>13</v>
      </c>
      <c r="B8" s="21">
        <f ca="1">B9+B49</f>
        <v>195</v>
      </c>
      <c r="C8" s="21">
        <f t="shared" ref="C8:G8" ca="1" si="0">C9+C49</f>
        <v>680</v>
      </c>
      <c r="D8" s="21">
        <f t="shared" ca="1" si="0"/>
        <v>172</v>
      </c>
      <c r="E8" s="21">
        <f t="shared" ca="1" si="0"/>
        <v>49</v>
      </c>
      <c r="F8" s="21">
        <f t="shared" ca="1" si="0"/>
        <v>9</v>
      </c>
      <c r="G8" s="21">
        <f t="shared" ca="1" si="0"/>
        <v>1</v>
      </c>
      <c r="H8" s="23">
        <f ca="1">IF(SUM(B8:F8)=0,"-",20*(B8/SUM($B8:$F8))+30*(C8/SUM($B8:$F8))+40.5*(D8/SUM($B8:$F8))+50.5*(E8/SUM($B8:$F8))+56*(F8/SUM($B8:$F8)))</f>
        <v>30.990497737556563</v>
      </c>
      <c r="I8" s="14"/>
      <c r="J8" s="21">
        <f ca="1">J9+J49</f>
        <v>354</v>
      </c>
      <c r="K8" s="21">
        <f ca="1">K9+K49</f>
        <v>699</v>
      </c>
      <c r="L8" s="21">
        <f t="shared" ref="L8:O8" ca="1" si="1">L9+L49</f>
        <v>330</v>
      </c>
      <c r="M8" s="21">
        <f t="shared" ca="1" si="1"/>
        <v>111</v>
      </c>
      <c r="N8" s="21">
        <f t="shared" ca="1" si="1"/>
        <v>12</v>
      </c>
      <c r="O8" s="21">
        <f t="shared" ca="1" si="1"/>
        <v>2</v>
      </c>
      <c r="P8" s="23">
        <f ca="1">IF(SUM(J8:N8)=0,"-",20*(J8/SUM($J8:$N8))+30*(K8/SUM($J8:$N8))+40.5*(L8/SUM($J8:$N8))+50.5*(M8/SUM($J8:$N8))+56*(N8/SUM($J8:$N8)))</f>
        <v>31.66832669322709</v>
      </c>
      <c r="Q8" s="14"/>
      <c r="R8" s="14">
        <f t="shared" ref="R8:W8" ca="1" si="2">B8+J8</f>
        <v>549</v>
      </c>
      <c r="S8" s="14">
        <f t="shared" ca="1" si="2"/>
        <v>1379</v>
      </c>
      <c r="T8" s="14">
        <f t="shared" ca="1" si="2"/>
        <v>502</v>
      </c>
      <c r="U8" s="14">
        <f t="shared" ca="1" si="2"/>
        <v>160</v>
      </c>
      <c r="V8" s="14">
        <f t="shared" ca="1" si="2"/>
        <v>21</v>
      </c>
      <c r="W8" s="14">
        <f t="shared" ca="1" si="2"/>
        <v>3</v>
      </c>
      <c r="X8" s="23">
        <f t="shared" ref="X8:X39" ca="1" si="3">IF(SUM(R8:V8)=0,"-",20*(R8/SUM($R8:$V8))+30*(S8/SUM($R8:$V8))+40.5*(T8/SUM($R8:$V8))+50.5*(U8/SUM($R8:$V8))+56*(V8/SUM($R8:$V8)))</f>
        <v>31.381463040980464</v>
      </c>
      <c r="Y8" s="14"/>
      <c r="Z8" s="21">
        <f ca="1">Z9+Z49</f>
        <v>29</v>
      </c>
      <c r="AA8" s="21">
        <f t="shared" ref="AA8:AE8" ca="1" si="4">AA9+AA49</f>
        <v>55</v>
      </c>
      <c r="AB8" s="21">
        <f t="shared" ca="1" si="4"/>
        <v>27</v>
      </c>
      <c r="AC8" s="21">
        <f t="shared" ca="1" si="4"/>
        <v>10</v>
      </c>
      <c r="AD8" s="21">
        <f t="shared" ca="1" si="4"/>
        <v>2</v>
      </c>
      <c r="AE8" s="21">
        <f t="shared" ca="1" si="4"/>
        <v>0</v>
      </c>
      <c r="AF8" s="23">
        <f t="shared" ref="AF8:AF39" ca="1" si="5">IF(SUM(Z8:AD8)=0,"-",20*(Z8/SUM($Z8:$AD8))+30*(AA8/SUM($Z8:$AD8))+40.5*(AB8/SUM($Z8:$AD8))+50.5*(AC8/SUM($Z8:$AD8))+56*(AD8/SUM($Z8:$AD8)))</f>
        <v>32.036585365853661</v>
      </c>
      <c r="AG8" s="14"/>
      <c r="AH8" s="21">
        <f ca="1">AH9+AH49</f>
        <v>167</v>
      </c>
      <c r="AI8" s="21">
        <f t="shared" ref="AI8:AM8" ca="1" si="6">AI9+AI49</f>
        <v>303</v>
      </c>
      <c r="AJ8" s="21">
        <f t="shared" ca="1" si="6"/>
        <v>237</v>
      </c>
      <c r="AK8" s="21">
        <f t="shared" ca="1" si="6"/>
        <v>213</v>
      </c>
      <c r="AL8" s="21">
        <f t="shared" ca="1" si="6"/>
        <v>109</v>
      </c>
      <c r="AM8" s="21">
        <f t="shared" ca="1" si="6"/>
        <v>0</v>
      </c>
      <c r="AN8" s="23">
        <f t="shared" ref="AN8:AN39" ca="1" si="7">IF(SUM(AH8:AL8)=0,"-",20*(AH8/SUM($AH8:$AL8))+30*(AI8/SUM($AH8:$AL8))+40.5*(AJ8/SUM($AH8:$AL8))+50.5*(AK8/SUM($AH8:$AL8))+56*(AL8/SUM($AH8:$AL8)))</f>
        <v>37.793002915451893</v>
      </c>
      <c r="AO8" s="14"/>
      <c r="AP8" s="14">
        <f t="shared" ref="AP8:AP39" ca="1" si="8">AH8+Z8+R8</f>
        <v>745</v>
      </c>
      <c r="AQ8" s="14">
        <f t="shared" ref="AQ8:AQ39" ca="1" si="9">AI8+AA8+S8</f>
        <v>1737</v>
      </c>
      <c r="AR8" s="14">
        <f t="shared" ref="AR8:AR39" ca="1" si="10">AJ8+AB8+T8</f>
        <v>766</v>
      </c>
      <c r="AS8" s="14">
        <f t="shared" ref="AS8:AS39" ca="1" si="11">AK8+AC8+U8</f>
        <v>383</v>
      </c>
      <c r="AT8" s="14">
        <f t="shared" ref="AT8:AT39" ca="1" si="12">AL8+AD8+V8</f>
        <v>132</v>
      </c>
      <c r="AU8" s="14">
        <f t="shared" ref="AU8:AU39" ca="1" si="13">AM8+AE8+W8</f>
        <v>3</v>
      </c>
      <c r="AV8" s="23">
        <f t="shared" ref="AV8:AV39" ca="1" si="14">IF(SUM(AP8:AT8)=0,"-",20*(AP8/SUM($AP8:$AT8))+30*(AQ8/SUM($AP8:$AT8))+40.5*(AR8/SUM($AP8:$AT8))+50.5*(AS8/SUM($AP8:$AT8))+56*(AT8/SUM($AP8:$AT8)))</f>
        <v>33.156125431836301</v>
      </c>
      <c r="AW8" s="17"/>
      <c r="AX8" s="17"/>
      <c r="AY8" s="17"/>
      <c r="AZ8" s="17"/>
      <c r="BA8" s="17"/>
      <c r="BB8" s="17"/>
      <c r="BC8" s="17"/>
      <c r="BD8" s="17"/>
      <c r="BE8" s="17"/>
      <c r="BF8" s="19"/>
    </row>
    <row r="9" spans="1:58" s="7" customFormat="1" ht="15" customHeight="1" x14ac:dyDescent="0.35">
      <c r="A9" s="20" t="s">
        <v>14</v>
      </c>
      <c r="B9" s="21">
        <f ca="1">SUM(B10:B48)</f>
        <v>96</v>
      </c>
      <c r="C9" s="21">
        <f t="shared" ref="C9:G9" ca="1" si="15">SUM(C10:C48)</f>
        <v>407</v>
      </c>
      <c r="D9" s="21">
        <f t="shared" ca="1" si="15"/>
        <v>115</v>
      </c>
      <c r="E9" s="21">
        <f t="shared" ca="1" si="15"/>
        <v>39</v>
      </c>
      <c r="F9" s="21">
        <f t="shared" ca="1" si="15"/>
        <v>8</v>
      </c>
      <c r="G9" s="21">
        <f t="shared" ca="1" si="15"/>
        <v>1</v>
      </c>
      <c r="H9" s="23">
        <f t="shared" ref="H9:H56" ca="1" si="16">IF(SUM(B9:F9)=0,"-",20*(B9/SUM($B9:$F9))+30*(C9/SUM($B9:$F9))+40.5*(D9/SUM($B9:$F9))+50.5*(E9/SUM($B9:$F9))+56*(F9/SUM($B9:$F9)))</f>
        <v>31.887218045112778</v>
      </c>
      <c r="I9" s="21"/>
      <c r="J9" s="21">
        <f ca="1">SUM(J10:J48)</f>
        <v>344</v>
      </c>
      <c r="K9" s="21">
        <f ca="1">SUM(K10:K48)</f>
        <v>672</v>
      </c>
      <c r="L9" s="21">
        <f t="shared" ref="L9:O9" ca="1" si="17">SUM(L10:L48)</f>
        <v>319</v>
      </c>
      <c r="M9" s="21">
        <f t="shared" ca="1" si="17"/>
        <v>104</v>
      </c>
      <c r="N9" s="21">
        <f t="shared" ca="1" si="17"/>
        <v>12</v>
      </c>
      <c r="O9" s="21">
        <f t="shared" ca="1" si="17"/>
        <v>2</v>
      </c>
      <c r="P9" s="23">
        <f t="shared" ref="P9:P56" ca="1" si="18">IF(SUM(J9:N9)=0,"-",20*(J9/SUM($J9:$N9))+30*(K9/SUM($J9:$N9))+40.5*(L9/SUM($J9:$N9))+50.5*(M9/SUM($J9:$N9))+56*(N9/SUM($J9:$N9)))</f>
        <v>31.621984838042724</v>
      </c>
      <c r="Q9" s="21"/>
      <c r="R9" s="21">
        <f t="shared" ref="R9:R56" ca="1" si="19">B9+J9</f>
        <v>440</v>
      </c>
      <c r="S9" s="21">
        <f t="shared" ref="S9:S56" ca="1" si="20">C9+K9</f>
        <v>1079</v>
      </c>
      <c r="T9" s="21">
        <f t="shared" ref="T9:T56" ca="1" si="21">D9+L9</f>
        <v>434</v>
      </c>
      <c r="U9" s="21">
        <f t="shared" ref="U9:U56" ca="1" si="22">E9+M9</f>
        <v>143</v>
      </c>
      <c r="V9" s="21">
        <f t="shared" ref="V9:V56" ca="1" si="23">F9+N9</f>
        <v>20</v>
      </c>
      <c r="W9" s="21">
        <f t="shared" ref="W9:W56" ca="1" si="24">G9+O9</f>
        <v>3</v>
      </c>
      <c r="X9" s="23">
        <f t="shared" ca="1" si="3"/>
        <v>31.705340264650285</v>
      </c>
      <c r="Y9" s="21"/>
      <c r="Z9" s="21">
        <f ca="1">SUM(Z10:Z48)</f>
        <v>24</v>
      </c>
      <c r="AA9" s="21">
        <f t="shared" ref="AA9:AE9" ca="1" si="25">SUM(AA10:AA48)</f>
        <v>38</v>
      </c>
      <c r="AB9" s="21">
        <f t="shared" ca="1" si="25"/>
        <v>19</v>
      </c>
      <c r="AC9" s="21">
        <f t="shared" ca="1" si="25"/>
        <v>7</v>
      </c>
      <c r="AD9" s="21">
        <f t="shared" ca="1" si="25"/>
        <v>2</v>
      </c>
      <c r="AE9" s="21">
        <f t="shared" ca="1" si="25"/>
        <v>0</v>
      </c>
      <c r="AF9" s="23">
        <f t="shared" ca="1" si="5"/>
        <v>31.722222222222221</v>
      </c>
      <c r="AG9" s="21"/>
      <c r="AH9" s="21">
        <f ca="1">SUM(AH10:AH48)</f>
        <v>114</v>
      </c>
      <c r="AI9" s="21">
        <f t="shared" ref="AI9:AM9" ca="1" si="26">SUM(AI10:AI48)</f>
        <v>203</v>
      </c>
      <c r="AJ9" s="21">
        <f t="shared" ca="1" si="26"/>
        <v>171</v>
      </c>
      <c r="AK9" s="21">
        <f t="shared" ca="1" si="26"/>
        <v>153</v>
      </c>
      <c r="AL9" s="21">
        <f t="shared" ca="1" si="26"/>
        <v>86</v>
      </c>
      <c r="AM9" s="21">
        <f t="shared" ca="1" si="26"/>
        <v>0</v>
      </c>
      <c r="AN9" s="23">
        <f t="shared" ca="1" si="7"/>
        <v>38.29160935350756</v>
      </c>
      <c r="AO9" s="21"/>
      <c r="AP9" s="21">
        <f t="shared" ca="1" si="8"/>
        <v>578</v>
      </c>
      <c r="AQ9" s="21">
        <f t="shared" ca="1" si="9"/>
        <v>1320</v>
      </c>
      <c r="AR9" s="21">
        <f t="shared" ca="1" si="10"/>
        <v>624</v>
      </c>
      <c r="AS9" s="21">
        <f t="shared" ca="1" si="11"/>
        <v>303</v>
      </c>
      <c r="AT9" s="21">
        <f t="shared" ca="1" si="12"/>
        <v>108</v>
      </c>
      <c r="AU9" s="21">
        <f t="shared" ca="1" si="13"/>
        <v>3</v>
      </c>
      <c r="AV9" s="23">
        <f t="shared" ca="1" si="14"/>
        <v>33.33839072621889</v>
      </c>
      <c r="AW9" s="17"/>
      <c r="AX9" s="17"/>
      <c r="AY9" s="17"/>
      <c r="AZ9" s="17"/>
      <c r="BA9" s="17"/>
      <c r="BB9" s="17"/>
      <c r="BC9" s="17"/>
      <c r="BD9" s="17"/>
      <c r="BE9" s="17"/>
    </row>
    <row r="10" spans="1:58" s="7" customFormat="1" ht="15" customHeight="1" x14ac:dyDescent="0.35">
      <c r="A10" s="2" t="s">
        <v>15</v>
      </c>
      <c r="B10" s="22">
        <f ca="1">INDIRECT("'("&amp;$A$4&amp;")'!b10")</f>
        <v>5</v>
      </c>
      <c r="C10" s="22">
        <f ca="1">INDIRECT("'("&amp;$A$4&amp;")'!c10")</f>
        <v>17</v>
      </c>
      <c r="D10" s="22">
        <f ca="1">INDIRECT("'("&amp;$A$4&amp;")'!d10")</f>
        <v>1</v>
      </c>
      <c r="E10" s="22">
        <f ca="1">INDIRECT("'("&amp;$A$4&amp;")'!e10")</f>
        <v>2</v>
      </c>
      <c r="F10" s="22">
        <f ca="1">INDIRECT("'("&amp;$A$4&amp;")'!f10")</f>
        <v>0</v>
      </c>
      <c r="G10" s="22">
        <f ca="1">INDIRECT("'("&amp;$A$4&amp;")'!g10")</f>
        <v>0</v>
      </c>
      <c r="H10" s="23">
        <f t="shared" ca="1" si="16"/>
        <v>30.060000000000002</v>
      </c>
      <c r="I10" s="22"/>
      <c r="J10" s="22">
        <f ca="1">INDIRECT("'("&amp;$A$4&amp;")'!j10")</f>
        <v>7</v>
      </c>
      <c r="K10" s="22">
        <f ca="1">INDIRECT("'("&amp;$A$4&amp;")'!k10")</f>
        <v>9</v>
      </c>
      <c r="L10" s="22">
        <f ca="1">INDIRECT("'("&amp;$A$4&amp;")'!l10")</f>
        <v>7</v>
      </c>
      <c r="M10" s="22">
        <f ca="1">INDIRECT("'("&amp;$A$4&amp;")'!m10")</f>
        <v>6</v>
      </c>
      <c r="N10" s="22">
        <f ca="1">INDIRECT("'("&amp;$A$4&amp;")'!n10")</f>
        <v>1</v>
      </c>
      <c r="O10" s="22">
        <f ca="1">INDIRECT("'("&amp;$A$4&amp;")'!o10")</f>
        <v>0</v>
      </c>
      <c r="P10" s="23">
        <f t="shared" ca="1" si="18"/>
        <v>35.083333333333336</v>
      </c>
      <c r="Q10" s="22"/>
      <c r="R10" s="21">
        <f t="shared" ca="1" si="19"/>
        <v>12</v>
      </c>
      <c r="S10" s="21">
        <f t="shared" ca="1" si="20"/>
        <v>26</v>
      </c>
      <c r="T10" s="21">
        <f t="shared" ca="1" si="21"/>
        <v>8</v>
      </c>
      <c r="U10" s="21">
        <f t="shared" ca="1" si="22"/>
        <v>8</v>
      </c>
      <c r="V10" s="21">
        <f t="shared" ca="1" si="23"/>
        <v>1</v>
      </c>
      <c r="W10" s="21">
        <f t="shared" ca="1" si="24"/>
        <v>0</v>
      </c>
      <c r="X10" s="23">
        <f t="shared" ca="1" si="3"/>
        <v>32.799999999999997</v>
      </c>
      <c r="Y10" s="22"/>
      <c r="Z10" s="22">
        <f ca="1">INDIRECT("'("&amp;$A$4&amp;")'!z10")</f>
        <v>0</v>
      </c>
      <c r="AA10" s="22">
        <f ca="1">INDIRECT("'("&amp;$A$4&amp;")'!aa10")</f>
        <v>1</v>
      </c>
      <c r="AB10" s="22">
        <f ca="1">INDIRECT("'("&amp;$A$4&amp;")'!ab10")</f>
        <v>1</v>
      </c>
      <c r="AC10" s="22">
        <f ca="1">INDIRECT("'("&amp;$A$4&amp;")'!ac10")</f>
        <v>0</v>
      </c>
      <c r="AD10" s="22">
        <f ca="1">INDIRECT("'("&amp;$A$4&amp;")'!ad10")</f>
        <v>0</v>
      </c>
      <c r="AE10" s="22">
        <f ca="1">INDIRECT("'("&amp;$A$4&amp;")'!ae10")</f>
        <v>0</v>
      </c>
      <c r="AF10" s="23">
        <f t="shared" ca="1" si="5"/>
        <v>35.25</v>
      </c>
      <c r="AG10" s="22"/>
      <c r="AH10" s="22">
        <f ca="1">INDIRECT("'("&amp;$A$4&amp;")'!ah10")</f>
        <v>4</v>
      </c>
      <c r="AI10" s="22">
        <f ca="1">INDIRECT("'("&amp;$A$4&amp;")'!ai10")</f>
        <v>6</v>
      </c>
      <c r="AJ10" s="22">
        <f ca="1">INDIRECT("'("&amp;$A$4&amp;")'!aj10")</f>
        <v>6</v>
      </c>
      <c r="AK10" s="22">
        <f ca="1">INDIRECT("'("&amp;$A$4&amp;")'!ak10")</f>
        <v>2</v>
      </c>
      <c r="AL10" s="22">
        <f ca="1">INDIRECT("'("&amp;$A$4&amp;")'!al10")</f>
        <v>6</v>
      </c>
      <c r="AM10" s="22">
        <f ca="1">INDIRECT("'("&amp;$A$4&amp;")'!am10")</f>
        <v>0</v>
      </c>
      <c r="AN10" s="23">
        <f t="shared" ca="1" si="7"/>
        <v>39.166666666666664</v>
      </c>
      <c r="AO10" s="22"/>
      <c r="AP10" s="21">
        <f t="shared" ca="1" si="8"/>
        <v>16</v>
      </c>
      <c r="AQ10" s="21">
        <f t="shared" ca="1" si="9"/>
        <v>33</v>
      </c>
      <c r="AR10" s="21">
        <f t="shared" ca="1" si="10"/>
        <v>15</v>
      </c>
      <c r="AS10" s="21">
        <f t="shared" ca="1" si="11"/>
        <v>10</v>
      </c>
      <c r="AT10" s="21">
        <f t="shared" ca="1" si="12"/>
        <v>7</v>
      </c>
      <c r="AU10" s="21">
        <f t="shared" ca="1" si="13"/>
        <v>0</v>
      </c>
      <c r="AV10" s="23">
        <f t="shared" ca="1" si="14"/>
        <v>34.746913580246911</v>
      </c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8" s="7" customFormat="1" ht="15" customHeight="1" x14ac:dyDescent="0.35">
      <c r="A11" s="2" t="s">
        <v>16</v>
      </c>
      <c r="B11" s="22">
        <f ca="1">INDIRECT("'("&amp;$A$4&amp;")'!b11")</f>
        <v>1</v>
      </c>
      <c r="C11" s="22">
        <f ca="1">INDIRECT("'("&amp;$A$4&amp;")'!c11")</f>
        <v>18</v>
      </c>
      <c r="D11" s="22">
        <f ca="1">INDIRECT("'("&amp;$A$4&amp;")'!d11")</f>
        <v>6</v>
      </c>
      <c r="E11" s="22">
        <f ca="1">INDIRECT("'("&amp;$A$4&amp;")'!e11")</f>
        <v>0</v>
      </c>
      <c r="F11" s="22">
        <f ca="1">INDIRECT("'("&amp;$A$4&amp;")'!f11")</f>
        <v>0</v>
      </c>
      <c r="G11" s="22">
        <f ca="1">INDIRECT("'("&amp;$A$4&amp;")'!g11")</f>
        <v>0</v>
      </c>
      <c r="H11" s="23">
        <f t="shared" ca="1" si="16"/>
        <v>32.119999999999997</v>
      </c>
      <c r="I11" s="22"/>
      <c r="J11" s="22">
        <f ca="1">INDIRECT("'("&amp;$A$4&amp;")'!j11")</f>
        <v>8</v>
      </c>
      <c r="K11" s="22">
        <f ca="1">INDIRECT("'("&amp;$A$4&amp;")'!k11")</f>
        <v>9</v>
      </c>
      <c r="L11" s="22">
        <f ca="1">INDIRECT("'("&amp;$A$4&amp;")'!l11")</f>
        <v>12</v>
      </c>
      <c r="M11" s="22">
        <f ca="1">INDIRECT("'("&amp;$A$4&amp;")'!m11")</f>
        <v>4</v>
      </c>
      <c r="N11" s="22">
        <f ca="1">INDIRECT("'("&amp;$A$4&amp;")'!n11")</f>
        <v>0</v>
      </c>
      <c r="O11" s="22">
        <f ca="1">INDIRECT("'("&amp;$A$4&amp;")'!o11")</f>
        <v>0</v>
      </c>
      <c r="P11" s="23">
        <f t="shared" ca="1" si="18"/>
        <v>33.878787878787875</v>
      </c>
      <c r="Q11" s="22"/>
      <c r="R11" s="21">
        <f t="shared" ca="1" si="19"/>
        <v>9</v>
      </c>
      <c r="S11" s="21">
        <f t="shared" ca="1" si="20"/>
        <v>27</v>
      </c>
      <c r="T11" s="21">
        <f t="shared" ca="1" si="21"/>
        <v>18</v>
      </c>
      <c r="U11" s="21">
        <f t="shared" ca="1" si="22"/>
        <v>4</v>
      </c>
      <c r="V11" s="21">
        <f t="shared" ca="1" si="23"/>
        <v>0</v>
      </c>
      <c r="W11" s="21">
        <f t="shared" ca="1" si="24"/>
        <v>0</v>
      </c>
      <c r="X11" s="23">
        <f t="shared" ca="1" si="3"/>
        <v>33.120689655172413</v>
      </c>
      <c r="Y11" s="22"/>
      <c r="Z11" s="22">
        <f ca="1">INDIRECT("'("&amp;$A$4&amp;")'!z11")</f>
        <v>0</v>
      </c>
      <c r="AA11" s="22">
        <f ca="1">INDIRECT("'("&amp;$A$4&amp;")'!aa11")</f>
        <v>0</v>
      </c>
      <c r="AB11" s="22">
        <f ca="1">INDIRECT("'("&amp;$A$4&amp;")'!ab11")</f>
        <v>0</v>
      </c>
      <c r="AC11" s="22">
        <f ca="1">INDIRECT("'("&amp;$A$4&amp;")'!ac11")</f>
        <v>0</v>
      </c>
      <c r="AD11" s="22">
        <f ca="1">INDIRECT("'("&amp;$A$4&amp;")'!ad11")</f>
        <v>0</v>
      </c>
      <c r="AE11" s="22">
        <f ca="1">INDIRECT("'("&amp;$A$4&amp;")'!ae11")</f>
        <v>0</v>
      </c>
      <c r="AF11" s="23" t="str">
        <f t="shared" ca="1" si="5"/>
        <v>-</v>
      </c>
      <c r="AG11" s="22"/>
      <c r="AH11" s="22">
        <f ca="1">INDIRECT("'("&amp;$A$4&amp;")'!ah11")</f>
        <v>1</v>
      </c>
      <c r="AI11" s="22">
        <f ca="1">INDIRECT("'("&amp;$A$4&amp;")'!ai11")</f>
        <v>8</v>
      </c>
      <c r="AJ11" s="22">
        <f ca="1">INDIRECT("'("&amp;$A$4&amp;")'!aj11")</f>
        <v>4</v>
      </c>
      <c r="AK11" s="22">
        <f ca="1">INDIRECT("'("&amp;$A$4&amp;")'!ak11")</f>
        <v>8</v>
      </c>
      <c r="AL11" s="22">
        <f ca="1">INDIRECT("'("&amp;$A$4&amp;")'!al11")</f>
        <v>5</v>
      </c>
      <c r="AM11" s="22">
        <f ca="1">INDIRECT("'("&amp;$A$4&amp;")'!am11")</f>
        <v>0</v>
      </c>
      <c r="AN11" s="23">
        <f t="shared" ca="1" si="7"/>
        <v>42.538461538461547</v>
      </c>
      <c r="AO11" s="22"/>
      <c r="AP11" s="21">
        <f t="shared" ca="1" si="8"/>
        <v>10</v>
      </c>
      <c r="AQ11" s="21">
        <f t="shared" ca="1" si="9"/>
        <v>35</v>
      </c>
      <c r="AR11" s="21">
        <f t="shared" ca="1" si="10"/>
        <v>22</v>
      </c>
      <c r="AS11" s="21">
        <f t="shared" ca="1" si="11"/>
        <v>12</v>
      </c>
      <c r="AT11" s="21">
        <f t="shared" ca="1" si="12"/>
        <v>5</v>
      </c>
      <c r="AU11" s="21">
        <f t="shared" ca="1" si="13"/>
        <v>0</v>
      </c>
      <c r="AV11" s="23">
        <f t="shared" ca="1" si="14"/>
        <v>36.035714285714292</v>
      </c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8" s="7" customFormat="1" ht="15" customHeight="1" x14ac:dyDescent="0.35">
      <c r="A12" s="2" t="s">
        <v>17</v>
      </c>
      <c r="B12" s="22">
        <f ca="1">INDIRECT("'("&amp;$A$4&amp;")'!b12")</f>
        <v>1</v>
      </c>
      <c r="C12" s="22">
        <f ca="1">INDIRECT("'("&amp;$A$4&amp;")'!c12")</f>
        <v>15</v>
      </c>
      <c r="D12" s="22">
        <f ca="1">INDIRECT("'("&amp;$A$4&amp;")'!d12")</f>
        <v>4</v>
      </c>
      <c r="E12" s="22">
        <f ca="1">INDIRECT("'("&amp;$A$4&amp;")'!e12")</f>
        <v>1</v>
      </c>
      <c r="F12" s="22">
        <f ca="1">INDIRECT("'("&amp;$A$4&amp;")'!f12")</f>
        <v>0</v>
      </c>
      <c r="G12" s="22">
        <f ca="1">INDIRECT("'("&amp;$A$4&amp;")'!g12")</f>
        <v>0</v>
      </c>
      <c r="H12" s="23">
        <f t="shared" ca="1" si="16"/>
        <v>32.5</v>
      </c>
      <c r="I12" s="22"/>
      <c r="J12" s="22">
        <f ca="1">INDIRECT("'("&amp;$A$4&amp;")'!j12")</f>
        <v>5</v>
      </c>
      <c r="K12" s="22">
        <f ca="1">INDIRECT("'("&amp;$A$4&amp;")'!k12")</f>
        <v>10</v>
      </c>
      <c r="L12" s="22">
        <f ca="1">INDIRECT("'("&amp;$A$4&amp;")'!l12")</f>
        <v>5</v>
      </c>
      <c r="M12" s="22">
        <f ca="1">INDIRECT("'("&amp;$A$4&amp;")'!m12")</f>
        <v>0</v>
      </c>
      <c r="N12" s="22">
        <f ca="1">INDIRECT("'("&amp;$A$4&amp;")'!n12")</f>
        <v>0</v>
      </c>
      <c r="O12" s="22">
        <f ca="1">INDIRECT("'("&amp;$A$4&amp;")'!o12")</f>
        <v>0</v>
      </c>
      <c r="P12" s="23">
        <f t="shared" ca="1" si="18"/>
        <v>30.125</v>
      </c>
      <c r="Q12" s="22"/>
      <c r="R12" s="21">
        <f t="shared" ca="1" si="19"/>
        <v>6</v>
      </c>
      <c r="S12" s="21">
        <f t="shared" ca="1" si="20"/>
        <v>25</v>
      </c>
      <c r="T12" s="21">
        <f t="shared" ca="1" si="21"/>
        <v>9</v>
      </c>
      <c r="U12" s="21">
        <f t="shared" ca="1" si="22"/>
        <v>1</v>
      </c>
      <c r="V12" s="21">
        <f t="shared" ca="1" si="23"/>
        <v>0</v>
      </c>
      <c r="W12" s="21">
        <f t="shared" ca="1" si="24"/>
        <v>0</v>
      </c>
      <c r="X12" s="23">
        <f t="shared" ca="1" si="3"/>
        <v>31.341463414634145</v>
      </c>
      <c r="Y12" s="22"/>
      <c r="Z12" s="22">
        <f ca="1">INDIRECT("'("&amp;$A$4&amp;")'!z12")</f>
        <v>3</v>
      </c>
      <c r="AA12" s="22">
        <f ca="1">INDIRECT("'("&amp;$A$4&amp;")'!aa12")</f>
        <v>2</v>
      </c>
      <c r="AB12" s="22">
        <f ca="1">INDIRECT("'("&amp;$A$4&amp;")'!ab12")</f>
        <v>1</v>
      </c>
      <c r="AC12" s="22">
        <f ca="1">INDIRECT("'("&amp;$A$4&amp;")'!ac12")</f>
        <v>3</v>
      </c>
      <c r="AD12" s="22">
        <f ca="1">INDIRECT("'("&amp;$A$4&amp;")'!ad12")</f>
        <v>0</v>
      </c>
      <c r="AE12" s="22">
        <f ca="1">INDIRECT("'("&amp;$A$4&amp;")'!ae12")</f>
        <v>0</v>
      </c>
      <c r="AF12" s="23">
        <f t="shared" ca="1" si="5"/>
        <v>34.666666666666664</v>
      </c>
      <c r="AG12" s="22"/>
      <c r="AH12" s="22">
        <f ca="1">INDIRECT("'("&amp;$A$4&amp;")'!ah12")</f>
        <v>7</v>
      </c>
      <c r="AI12" s="22">
        <f ca="1">INDIRECT("'("&amp;$A$4&amp;")'!ai12")</f>
        <v>13</v>
      </c>
      <c r="AJ12" s="22">
        <f ca="1">INDIRECT("'("&amp;$A$4&amp;")'!aj12")</f>
        <v>14</v>
      </c>
      <c r="AK12" s="22">
        <f ca="1">INDIRECT("'("&amp;$A$4&amp;")'!ak12")</f>
        <v>7</v>
      </c>
      <c r="AL12" s="22">
        <f ca="1">INDIRECT("'("&amp;$A$4&amp;")'!al12")</f>
        <v>1</v>
      </c>
      <c r="AM12" s="22">
        <f ca="1">INDIRECT("'("&amp;$A$4&amp;")'!am12")</f>
        <v>0</v>
      </c>
      <c r="AN12" s="23">
        <f t="shared" ca="1" si="7"/>
        <v>35.86904761904762</v>
      </c>
      <c r="AO12" s="22"/>
      <c r="AP12" s="21">
        <f t="shared" ca="1" si="8"/>
        <v>16</v>
      </c>
      <c r="AQ12" s="21">
        <f t="shared" ca="1" si="9"/>
        <v>40</v>
      </c>
      <c r="AR12" s="21">
        <f t="shared" ca="1" si="10"/>
        <v>24</v>
      </c>
      <c r="AS12" s="21">
        <f t="shared" ca="1" si="11"/>
        <v>11</v>
      </c>
      <c r="AT12" s="21">
        <f t="shared" ca="1" si="12"/>
        <v>1</v>
      </c>
      <c r="AU12" s="21">
        <f t="shared" ca="1" si="13"/>
        <v>0</v>
      </c>
      <c r="AV12" s="23">
        <f t="shared" ca="1" si="14"/>
        <v>33.733695652173914</v>
      </c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8" s="7" customFormat="1" ht="15" customHeight="1" x14ac:dyDescent="0.35">
      <c r="A13" s="2" t="s">
        <v>18</v>
      </c>
      <c r="B13" s="22">
        <f ca="1">INDIRECT("'("&amp;$A$4&amp;")'!b13")</f>
        <v>2</v>
      </c>
      <c r="C13" s="22">
        <f ca="1">INDIRECT("'("&amp;$A$4&amp;")'!c13")</f>
        <v>7</v>
      </c>
      <c r="D13" s="22">
        <f ca="1">INDIRECT("'("&amp;$A$4&amp;")'!d13")</f>
        <v>2</v>
      </c>
      <c r="E13" s="22">
        <f ca="1">INDIRECT("'("&amp;$A$4&amp;")'!e13")</f>
        <v>0</v>
      </c>
      <c r="F13" s="22">
        <f ca="1">INDIRECT("'("&amp;$A$4&amp;")'!f13")</f>
        <v>0</v>
      </c>
      <c r="G13" s="22">
        <f ca="1">INDIRECT("'("&amp;$A$4&amp;")'!g13")</f>
        <v>0</v>
      </c>
      <c r="H13" s="23">
        <f t="shared" ca="1" si="16"/>
        <v>30.09090909090909</v>
      </c>
      <c r="I13" s="22"/>
      <c r="J13" s="22">
        <f ca="1">INDIRECT("'("&amp;$A$4&amp;")'!j13")</f>
        <v>3</v>
      </c>
      <c r="K13" s="22">
        <f ca="1">INDIRECT("'("&amp;$A$4&amp;")'!k13")</f>
        <v>10</v>
      </c>
      <c r="L13" s="22">
        <f ca="1">INDIRECT("'("&amp;$A$4&amp;")'!l13")</f>
        <v>7</v>
      </c>
      <c r="M13" s="22">
        <f ca="1">INDIRECT("'("&amp;$A$4&amp;")'!m13")</f>
        <v>0</v>
      </c>
      <c r="N13" s="22">
        <f ca="1">INDIRECT("'("&amp;$A$4&amp;")'!n13")</f>
        <v>0</v>
      </c>
      <c r="O13" s="22">
        <f ca="1">INDIRECT("'("&amp;$A$4&amp;")'!o13")</f>
        <v>0</v>
      </c>
      <c r="P13" s="23">
        <f t="shared" ca="1" si="18"/>
        <v>32.174999999999997</v>
      </c>
      <c r="Q13" s="22"/>
      <c r="R13" s="21">
        <f t="shared" ca="1" si="19"/>
        <v>5</v>
      </c>
      <c r="S13" s="21">
        <f t="shared" ca="1" si="20"/>
        <v>17</v>
      </c>
      <c r="T13" s="21">
        <f t="shared" ca="1" si="21"/>
        <v>9</v>
      </c>
      <c r="U13" s="21">
        <f t="shared" ca="1" si="22"/>
        <v>0</v>
      </c>
      <c r="V13" s="21">
        <f t="shared" ca="1" si="23"/>
        <v>0</v>
      </c>
      <c r="W13" s="21">
        <f t="shared" ca="1" si="24"/>
        <v>0</v>
      </c>
      <c r="X13" s="23">
        <f t="shared" ca="1" si="3"/>
        <v>31.435483870967744</v>
      </c>
      <c r="Y13" s="22"/>
      <c r="Z13" s="22">
        <f ca="1">INDIRECT("'("&amp;$A$4&amp;")'!z13")</f>
        <v>0</v>
      </c>
      <c r="AA13" s="22">
        <f ca="1">INDIRECT("'("&amp;$A$4&amp;")'!aa13")</f>
        <v>0</v>
      </c>
      <c r="AB13" s="22">
        <f ca="1">INDIRECT("'("&amp;$A$4&amp;")'!ab13")</f>
        <v>0</v>
      </c>
      <c r="AC13" s="22">
        <f ca="1">INDIRECT("'("&amp;$A$4&amp;")'!ac13")</f>
        <v>0</v>
      </c>
      <c r="AD13" s="22">
        <f ca="1">INDIRECT("'("&amp;$A$4&amp;")'!ad13")</f>
        <v>0</v>
      </c>
      <c r="AE13" s="22">
        <f ca="1">INDIRECT("'("&amp;$A$4&amp;")'!ae13")</f>
        <v>0</v>
      </c>
      <c r="AF13" s="23" t="str">
        <f t="shared" ca="1" si="5"/>
        <v>-</v>
      </c>
      <c r="AG13" s="22"/>
      <c r="AH13" s="22">
        <f ca="1">INDIRECT("'("&amp;$A$4&amp;")'!ah13")</f>
        <v>2</v>
      </c>
      <c r="AI13" s="22">
        <f ca="1">INDIRECT("'("&amp;$A$4&amp;")'!ai13")</f>
        <v>3</v>
      </c>
      <c r="AJ13" s="22">
        <f ca="1">INDIRECT("'("&amp;$A$4&amp;")'!aj13")</f>
        <v>2</v>
      </c>
      <c r="AK13" s="22">
        <f ca="1">INDIRECT("'("&amp;$A$4&amp;")'!ak13")</f>
        <v>4</v>
      </c>
      <c r="AL13" s="22">
        <f ca="1">INDIRECT("'("&amp;$A$4&amp;")'!al13")</f>
        <v>2</v>
      </c>
      <c r="AM13" s="22">
        <f ca="1">INDIRECT("'("&amp;$A$4&amp;")'!am13")</f>
        <v>0</v>
      </c>
      <c r="AN13" s="23">
        <f t="shared" ca="1" si="7"/>
        <v>40.384615384615387</v>
      </c>
      <c r="AO13" s="22"/>
      <c r="AP13" s="21">
        <f t="shared" ca="1" si="8"/>
        <v>7</v>
      </c>
      <c r="AQ13" s="21">
        <f t="shared" ca="1" si="9"/>
        <v>20</v>
      </c>
      <c r="AR13" s="21">
        <f t="shared" ca="1" si="10"/>
        <v>11</v>
      </c>
      <c r="AS13" s="21">
        <f t="shared" ca="1" si="11"/>
        <v>4</v>
      </c>
      <c r="AT13" s="21">
        <f t="shared" ca="1" si="12"/>
        <v>2</v>
      </c>
      <c r="AU13" s="21">
        <f t="shared" ca="1" si="13"/>
        <v>0</v>
      </c>
      <c r="AV13" s="23">
        <f t="shared" ca="1" si="14"/>
        <v>34.079545454545453</v>
      </c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8" s="7" customFormat="1" ht="15" customHeight="1" x14ac:dyDescent="0.35">
      <c r="A14" s="2" t="s">
        <v>19</v>
      </c>
      <c r="B14" s="22">
        <f ca="1">INDIRECT("'("&amp;$A$4&amp;")'!b14")</f>
        <v>2</v>
      </c>
      <c r="C14" s="22">
        <f ca="1">INDIRECT("'("&amp;$A$4&amp;")'!c14")</f>
        <v>4</v>
      </c>
      <c r="D14" s="22">
        <f ca="1">INDIRECT("'("&amp;$A$4&amp;")'!d14")</f>
        <v>1</v>
      </c>
      <c r="E14" s="22">
        <f ca="1">INDIRECT("'("&amp;$A$4&amp;")'!e14")</f>
        <v>0</v>
      </c>
      <c r="F14" s="22">
        <f ca="1">INDIRECT("'("&amp;$A$4&amp;")'!f14")</f>
        <v>0</v>
      </c>
      <c r="G14" s="22">
        <f ca="1">INDIRECT("'("&amp;$A$4&amp;")'!g14")</f>
        <v>0</v>
      </c>
      <c r="H14" s="23">
        <f t="shared" ca="1" si="16"/>
        <v>28.642857142857139</v>
      </c>
      <c r="I14" s="22"/>
      <c r="J14" s="22">
        <f ca="1">INDIRECT("'("&amp;$A$4&amp;")'!j14")</f>
        <v>7</v>
      </c>
      <c r="K14" s="22">
        <f ca="1">INDIRECT("'("&amp;$A$4&amp;")'!k14")</f>
        <v>13</v>
      </c>
      <c r="L14" s="22">
        <f ca="1">INDIRECT("'("&amp;$A$4&amp;")'!l14")</f>
        <v>7</v>
      </c>
      <c r="M14" s="22">
        <f ca="1">INDIRECT("'("&amp;$A$4&amp;")'!m14")</f>
        <v>2</v>
      </c>
      <c r="N14" s="22">
        <f ca="1">INDIRECT("'("&amp;$A$4&amp;")'!n14")</f>
        <v>1</v>
      </c>
      <c r="O14" s="22">
        <f ca="1">INDIRECT("'("&amp;$A$4&amp;")'!o14")</f>
        <v>0</v>
      </c>
      <c r="P14" s="23">
        <f t="shared" ca="1" si="18"/>
        <v>32.35</v>
      </c>
      <c r="Q14" s="22"/>
      <c r="R14" s="21">
        <f t="shared" ca="1" si="19"/>
        <v>9</v>
      </c>
      <c r="S14" s="21">
        <f t="shared" ca="1" si="20"/>
        <v>17</v>
      </c>
      <c r="T14" s="21">
        <f t="shared" ca="1" si="21"/>
        <v>8</v>
      </c>
      <c r="U14" s="21">
        <f t="shared" ca="1" si="22"/>
        <v>2</v>
      </c>
      <c r="V14" s="21">
        <f t="shared" ca="1" si="23"/>
        <v>1</v>
      </c>
      <c r="W14" s="21">
        <f t="shared" ca="1" si="24"/>
        <v>0</v>
      </c>
      <c r="X14" s="23">
        <f t="shared" ca="1" si="3"/>
        <v>31.648648648648649</v>
      </c>
      <c r="Y14" s="22"/>
      <c r="Z14" s="22">
        <f ca="1">INDIRECT("'("&amp;$A$4&amp;")'!z14")</f>
        <v>4</v>
      </c>
      <c r="AA14" s="22">
        <f ca="1">INDIRECT("'("&amp;$A$4&amp;")'!aa14")</f>
        <v>3</v>
      </c>
      <c r="AB14" s="22">
        <f ca="1">INDIRECT("'("&amp;$A$4&amp;")'!ab14")</f>
        <v>2</v>
      </c>
      <c r="AC14" s="22">
        <f ca="1">INDIRECT("'("&amp;$A$4&amp;")'!ac14")</f>
        <v>0</v>
      </c>
      <c r="AD14" s="22">
        <f ca="1">INDIRECT("'("&amp;$A$4&amp;")'!ad14")</f>
        <v>0</v>
      </c>
      <c r="AE14" s="22">
        <f ca="1">INDIRECT("'("&amp;$A$4&amp;")'!ae14")</f>
        <v>0</v>
      </c>
      <c r="AF14" s="23">
        <f t="shared" ca="1" si="5"/>
        <v>27.888888888888889</v>
      </c>
      <c r="AG14" s="22"/>
      <c r="AH14" s="22">
        <f ca="1">INDIRECT("'("&amp;$A$4&amp;")'!ah14")</f>
        <v>11</v>
      </c>
      <c r="AI14" s="22">
        <f ca="1">INDIRECT("'("&amp;$A$4&amp;")'!ai14")</f>
        <v>8</v>
      </c>
      <c r="AJ14" s="22">
        <f ca="1">INDIRECT("'("&amp;$A$4&amp;")'!aj14")</f>
        <v>4</v>
      </c>
      <c r="AK14" s="22">
        <f ca="1">INDIRECT("'("&amp;$A$4&amp;")'!ak14")</f>
        <v>1</v>
      </c>
      <c r="AL14" s="22">
        <f ca="1">INDIRECT("'("&amp;$A$4&amp;")'!al14")</f>
        <v>0</v>
      </c>
      <c r="AM14" s="22">
        <f ca="1">INDIRECT("'("&amp;$A$4&amp;")'!am14")</f>
        <v>0</v>
      </c>
      <c r="AN14" s="23">
        <f t="shared" ca="1" si="7"/>
        <v>28.020833333333332</v>
      </c>
      <c r="AO14" s="22"/>
      <c r="AP14" s="21">
        <f t="shared" ca="1" si="8"/>
        <v>24</v>
      </c>
      <c r="AQ14" s="21">
        <f t="shared" ca="1" si="9"/>
        <v>28</v>
      </c>
      <c r="AR14" s="21">
        <f t="shared" ca="1" si="10"/>
        <v>14</v>
      </c>
      <c r="AS14" s="21">
        <f t="shared" ca="1" si="11"/>
        <v>3</v>
      </c>
      <c r="AT14" s="21">
        <f t="shared" ca="1" si="12"/>
        <v>1</v>
      </c>
      <c r="AU14" s="21">
        <f t="shared" ca="1" si="13"/>
        <v>0</v>
      </c>
      <c r="AV14" s="23">
        <f t="shared" ca="1" si="14"/>
        <v>29.921428571428571</v>
      </c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8" s="7" customFormat="1" ht="15" customHeight="1" x14ac:dyDescent="0.35">
      <c r="A15" s="2" t="s">
        <v>20</v>
      </c>
      <c r="B15" s="22">
        <f ca="1">INDIRECT("'("&amp;$A$4&amp;")'!b15")</f>
        <v>7</v>
      </c>
      <c r="C15" s="22">
        <f ca="1">INDIRECT("'("&amp;$A$4&amp;")'!c15")</f>
        <v>8</v>
      </c>
      <c r="D15" s="22">
        <f ca="1">INDIRECT("'("&amp;$A$4&amp;")'!d15")</f>
        <v>3</v>
      </c>
      <c r="E15" s="22">
        <f ca="1">INDIRECT("'("&amp;$A$4&amp;")'!e15")</f>
        <v>1</v>
      </c>
      <c r="F15" s="22">
        <f ca="1">INDIRECT("'("&amp;$A$4&amp;")'!f15")</f>
        <v>0</v>
      </c>
      <c r="G15" s="22">
        <f ca="1">INDIRECT("'("&amp;$A$4&amp;")'!g15")</f>
        <v>0</v>
      </c>
      <c r="H15" s="23">
        <f t="shared" ca="1" si="16"/>
        <v>29.05263157894737</v>
      </c>
      <c r="I15" s="22"/>
      <c r="J15" s="22">
        <f ca="1">INDIRECT("'("&amp;$A$4&amp;")'!j15")</f>
        <v>4</v>
      </c>
      <c r="K15" s="22">
        <f ca="1">INDIRECT("'("&amp;$A$4&amp;")'!k15")</f>
        <v>12</v>
      </c>
      <c r="L15" s="22">
        <f ca="1">INDIRECT("'("&amp;$A$4&amp;")'!l15")</f>
        <v>4</v>
      </c>
      <c r="M15" s="22">
        <f ca="1">INDIRECT("'("&amp;$A$4&amp;")'!m15")</f>
        <v>1</v>
      </c>
      <c r="N15" s="22">
        <f ca="1">INDIRECT("'("&amp;$A$4&amp;")'!n15")</f>
        <v>0</v>
      </c>
      <c r="O15" s="22">
        <f ca="1">INDIRECT("'("&amp;$A$4&amp;")'!o15")</f>
        <v>0</v>
      </c>
      <c r="P15" s="23">
        <f t="shared" ca="1" si="18"/>
        <v>31.071428571428569</v>
      </c>
      <c r="Q15" s="22"/>
      <c r="R15" s="21">
        <f t="shared" ca="1" si="19"/>
        <v>11</v>
      </c>
      <c r="S15" s="21">
        <f t="shared" ca="1" si="20"/>
        <v>20</v>
      </c>
      <c r="T15" s="21">
        <f t="shared" ca="1" si="21"/>
        <v>7</v>
      </c>
      <c r="U15" s="21">
        <f t="shared" ca="1" si="22"/>
        <v>2</v>
      </c>
      <c r="V15" s="21">
        <f t="shared" ca="1" si="23"/>
        <v>0</v>
      </c>
      <c r="W15" s="21">
        <f t="shared" ca="1" si="24"/>
        <v>0</v>
      </c>
      <c r="X15" s="23">
        <f t="shared" ca="1" si="3"/>
        <v>30.112499999999997</v>
      </c>
      <c r="Y15" s="22"/>
      <c r="Z15" s="22">
        <f ca="1">INDIRECT("'("&amp;$A$4&amp;")'!z15")</f>
        <v>0</v>
      </c>
      <c r="AA15" s="22">
        <f ca="1">INDIRECT("'("&amp;$A$4&amp;")'!aa15")</f>
        <v>0</v>
      </c>
      <c r="AB15" s="22">
        <f ca="1">INDIRECT("'("&amp;$A$4&amp;")'!ab15")</f>
        <v>0</v>
      </c>
      <c r="AC15" s="22">
        <f ca="1">INDIRECT("'("&amp;$A$4&amp;")'!ac15")</f>
        <v>0</v>
      </c>
      <c r="AD15" s="22">
        <f ca="1">INDIRECT("'("&amp;$A$4&amp;")'!ad15")</f>
        <v>0</v>
      </c>
      <c r="AE15" s="22">
        <f ca="1">INDIRECT("'("&amp;$A$4&amp;")'!ae15")</f>
        <v>0</v>
      </c>
      <c r="AF15" s="23" t="str">
        <f t="shared" ca="1" si="5"/>
        <v>-</v>
      </c>
      <c r="AG15" s="22"/>
      <c r="AH15" s="22">
        <f ca="1">INDIRECT("'("&amp;$A$4&amp;")'!ah15")</f>
        <v>11</v>
      </c>
      <c r="AI15" s="22">
        <f ca="1">INDIRECT("'("&amp;$A$4&amp;")'!ai15")</f>
        <v>11</v>
      </c>
      <c r="AJ15" s="22">
        <f ca="1">INDIRECT("'("&amp;$A$4&amp;")'!aj15")</f>
        <v>8</v>
      </c>
      <c r="AK15" s="22">
        <f ca="1">INDIRECT("'("&amp;$A$4&amp;")'!ak15")</f>
        <v>3</v>
      </c>
      <c r="AL15" s="22">
        <f ca="1">INDIRECT("'("&amp;$A$4&amp;")'!al15")</f>
        <v>5</v>
      </c>
      <c r="AM15" s="22">
        <f ca="1">INDIRECT("'("&amp;$A$4&amp;")'!am15")</f>
        <v>0</v>
      </c>
      <c r="AN15" s="23">
        <f t="shared" ca="1" si="7"/>
        <v>34.35526315789474</v>
      </c>
      <c r="AO15" s="22"/>
      <c r="AP15" s="21">
        <f t="shared" ca="1" si="8"/>
        <v>22</v>
      </c>
      <c r="AQ15" s="21">
        <f t="shared" ca="1" si="9"/>
        <v>31</v>
      </c>
      <c r="AR15" s="21">
        <f t="shared" ca="1" si="10"/>
        <v>15</v>
      </c>
      <c r="AS15" s="21">
        <f t="shared" ca="1" si="11"/>
        <v>5</v>
      </c>
      <c r="AT15" s="21">
        <f t="shared" ca="1" si="12"/>
        <v>5</v>
      </c>
      <c r="AU15" s="21">
        <f t="shared" ca="1" si="13"/>
        <v>0</v>
      </c>
      <c r="AV15" s="23">
        <f t="shared" ca="1" si="14"/>
        <v>32.179487179487175</v>
      </c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8" s="7" customFormat="1" ht="15" customHeight="1" x14ac:dyDescent="0.35">
      <c r="A16" s="2" t="s">
        <v>21</v>
      </c>
      <c r="B16" s="22">
        <f ca="1">INDIRECT("'("&amp;$A$4&amp;")'!b16")</f>
        <v>5</v>
      </c>
      <c r="C16" s="22">
        <f ca="1">INDIRECT("'("&amp;$A$4&amp;")'!c16")</f>
        <v>13</v>
      </c>
      <c r="D16" s="22">
        <f ca="1">INDIRECT("'("&amp;$A$4&amp;")'!d16")</f>
        <v>3</v>
      </c>
      <c r="E16" s="22">
        <f ca="1">INDIRECT("'("&amp;$A$4&amp;")'!e16")</f>
        <v>0</v>
      </c>
      <c r="F16" s="22">
        <f ca="1">INDIRECT("'("&amp;$A$4&amp;")'!f16")</f>
        <v>1</v>
      </c>
      <c r="G16" s="22">
        <f ca="1">INDIRECT("'("&amp;$A$4&amp;")'!g16")</f>
        <v>0</v>
      </c>
      <c r="H16" s="23">
        <f t="shared" ca="1" si="16"/>
        <v>30.340909090909093</v>
      </c>
      <c r="I16" s="22"/>
      <c r="J16" s="22">
        <f ca="1">INDIRECT("'("&amp;$A$4&amp;")'!j16")</f>
        <v>2</v>
      </c>
      <c r="K16" s="22">
        <f ca="1">INDIRECT("'("&amp;$A$4&amp;")'!k16")</f>
        <v>7</v>
      </c>
      <c r="L16" s="22">
        <f ca="1">INDIRECT("'("&amp;$A$4&amp;")'!l16")</f>
        <v>2</v>
      </c>
      <c r="M16" s="22">
        <f ca="1">INDIRECT("'("&amp;$A$4&amp;")'!m16")</f>
        <v>0</v>
      </c>
      <c r="N16" s="22">
        <f ca="1">INDIRECT("'("&amp;$A$4&amp;")'!n16")</f>
        <v>0</v>
      </c>
      <c r="O16" s="22">
        <f ca="1">INDIRECT("'("&amp;$A$4&amp;")'!o16")</f>
        <v>0</v>
      </c>
      <c r="P16" s="23">
        <f t="shared" ca="1" si="18"/>
        <v>30.09090909090909</v>
      </c>
      <c r="Q16" s="22"/>
      <c r="R16" s="21">
        <f t="shared" ca="1" si="19"/>
        <v>7</v>
      </c>
      <c r="S16" s="21">
        <f t="shared" ca="1" si="20"/>
        <v>20</v>
      </c>
      <c r="T16" s="21">
        <f t="shared" ca="1" si="21"/>
        <v>5</v>
      </c>
      <c r="U16" s="21">
        <f t="shared" ca="1" si="22"/>
        <v>0</v>
      </c>
      <c r="V16" s="21">
        <f t="shared" ca="1" si="23"/>
        <v>1</v>
      </c>
      <c r="W16" s="21">
        <f t="shared" ca="1" si="24"/>
        <v>0</v>
      </c>
      <c r="X16" s="23">
        <f t="shared" ca="1" si="3"/>
        <v>30.257575757575758</v>
      </c>
      <c r="Y16" s="22"/>
      <c r="Z16" s="22">
        <f ca="1">INDIRECT("'("&amp;$A$4&amp;")'!z16")</f>
        <v>0</v>
      </c>
      <c r="AA16" s="22">
        <f ca="1">INDIRECT("'("&amp;$A$4&amp;")'!aa16")</f>
        <v>0</v>
      </c>
      <c r="AB16" s="22">
        <f ca="1">INDIRECT("'("&amp;$A$4&amp;")'!ab16")</f>
        <v>1</v>
      </c>
      <c r="AC16" s="22">
        <f ca="1">INDIRECT("'("&amp;$A$4&amp;")'!ac16")</f>
        <v>0</v>
      </c>
      <c r="AD16" s="22">
        <f ca="1">INDIRECT("'("&amp;$A$4&amp;")'!ad16")</f>
        <v>0</v>
      </c>
      <c r="AE16" s="22">
        <f ca="1">INDIRECT("'("&amp;$A$4&amp;")'!ae16")</f>
        <v>0</v>
      </c>
      <c r="AF16" s="23">
        <f t="shared" ca="1" si="5"/>
        <v>40.5</v>
      </c>
      <c r="AG16" s="22"/>
      <c r="AH16" s="22">
        <f ca="1">INDIRECT("'("&amp;$A$4&amp;")'!ah16")</f>
        <v>1</v>
      </c>
      <c r="AI16" s="22">
        <f ca="1">INDIRECT("'("&amp;$A$4&amp;")'!ai16")</f>
        <v>6</v>
      </c>
      <c r="AJ16" s="22">
        <f ca="1">INDIRECT("'("&amp;$A$4&amp;")'!aj16")</f>
        <v>3</v>
      </c>
      <c r="AK16" s="22">
        <f ca="1">INDIRECT("'("&amp;$A$4&amp;")'!ak16")</f>
        <v>2</v>
      </c>
      <c r="AL16" s="22">
        <f ca="1">INDIRECT("'("&amp;$A$4&amp;")'!al16")</f>
        <v>1</v>
      </c>
      <c r="AM16" s="22">
        <f ca="1">INDIRECT("'("&amp;$A$4&amp;")'!am16")</f>
        <v>0</v>
      </c>
      <c r="AN16" s="23">
        <f t="shared" ca="1" si="7"/>
        <v>36.807692307692307</v>
      </c>
      <c r="AO16" s="22"/>
      <c r="AP16" s="21">
        <f t="shared" ca="1" si="8"/>
        <v>8</v>
      </c>
      <c r="AQ16" s="21">
        <f t="shared" ca="1" si="9"/>
        <v>26</v>
      </c>
      <c r="AR16" s="21">
        <f t="shared" ca="1" si="10"/>
        <v>9</v>
      </c>
      <c r="AS16" s="21">
        <f t="shared" ca="1" si="11"/>
        <v>2</v>
      </c>
      <c r="AT16" s="21">
        <f t="shared" ca="1" si="12"/>
        <v>2</v>
      </c>
      <c r="AU16" s="21">
        <f t="shared" ca="1" si="13"/>
        <v>0</v>
      </c>
      <c r="AV16" s="23">
        <f t="shared" ca="1" si="14"/>
        <v>32.287234042553195</v>
      </c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7" customFormat="1" ht="15" customHeight="1" x14ac:dyDescent="0.35">
      <c r="A17" s="2" t="s">
        <v>22</v>
      </c>
      <c r="B17" s="22">
        <f ca="1">INDIRECT("'("&amp;$A$4&amp;")'!b17")</f>
        <v>0</v>
      </c>
      <c r="C17" s="22">
        <f ca="1">INDIRECT("'("&amp;$A$4&amp;")'!c17")</f>
        <v>4</v>
      </c>
      <c r="D17" s="22">
        <f ca="1">INDIRECT("'("&amp;$A$4&amp;")'!d17")</f>
        <v>1</v>
      </c>
      <c r="E17" s="22">
        <f ca="1">INDIRECT("'("&amp;$A$4&amp;")'!e17")</f>
        <v>0</v>
      </c>
      <c r="F17" s="22">
        <f ca="1">INDIRECT("'("&amp;$A$4&amp;")'!f17")</f>
        <v>0</v>
      </c>
      <c r="G17" s="22">
        <f ca="1">INDIRECT("'("&amp;$A$4&amp;")'!g17")</f>
        <v>0</v>
      </c>
      <c r="H17" s="23">
        <f t="shared" ca="1" si="16"/>
        <v>32.1</v>
      </c>
      <c r="I17" s="22"/>
      <c r="J17" s="22">
        <f ca="1">INDIRECT("'("&amp;$A$4&amp;")'!j17")</f>
        <v>2</v>
      </c>
      <c r="K17" s="22">
        <f ca="1">INDIRECT("'("&amp;$A$4&amp;")'!k17")</f>
        <v>11</v>
      </c>
      <c r="L17" s="22">
        <f ca="1">INDIRECT("'("&amp;$A$4&amp;")'!l17")</f>
        <v>6</v>
      </c>
      <c r="M17" s="22">
        <f ca="1">INDIRECT("'("&amp;$A$4&amp;")'!m17")</f>
        <v>2</v>
      </c>
      <c r="N17" s="22">
        <f ca="1">INDIRECT("'("&amp;$A$4&amp;")'!n17")</f>
        <v>2</v>
      </c>
      <c r="O17" s="22">
        <f ca="1">INDIRECT("'("&amp;$A$4&amp;")'!o17")</f>
        <v>0</v>
      </c>
      <c r="P17" s="23">
        <f t="shared" ca="1" si="18"/>
        <v>35.913043478260867</v>
      </c>
      <c r="Q17" s="22"/>
      <c r="R17" s="21">
        <f t="shared" ca="1" si="19"/>
        <v>2</v>
      </c>
      <c r="S17" s="21">
        <f t="shared" ca="1" si="20"/>
        <v>15</v>
      </c>
      <c r="T17" s="21">
        <f t="shared" ca="1" si="21"/>
        <v>7</v>
      </c>
      <c r="U17" s="21">
        <f t="shared" ca="1" si="22"/>
        <v>2</v>
      </c>
      <c r="V17" s="21">
        <f t="shared" ca="1" si="23"/>
        <v>2</v>
      </c>
      <c r="W17" s="21">
        <f t="shared" ca="1" si="24"/>
        <v>0</v>
      </c>
      <c r="X17" s="23">
        <f t="shared" ca="1" si="3"/>
        <v>35.232142857142854</v>
      </c>
      <c r="Y17" s="22"/>
      <c r="Z17" s="22">
        <f ca="1">INDIRECT("'("&amp;$A$4&amp;")'!z17")</f>
        <v>1</v>
      </c>
      <c r="AA17" s="22">
        <f ca="1">INDIRECT("'("&amp;$A$4&amp;")'!aa17")</f>
        <v>2</v>
      </c>
      <c r="AB17" s="22">
        <f ca="1">INDIRECT("'("&amp;$A$4&amp;")'!ab17")</f>
        <v>0</v>
      </c>
      <c r="AC17" s="22">
        <f ca="1">INDIRECT("'("&amp;$A$4&amp;")'!ac17")</f>
        <v>0</v>
      </c>
      <c r="AD17" s="22">
        <f ca="1">INDIRECT("'("&amp;$A$4&amp;")'!ad17")</f>
        <v>0</v>
      </c>
      <c r="AE17" s="22">
        <f ca="1">INDIRECT("'("&amp;$A$4&amp;")'!ae17")</f>
        <v>0</v>
      </c>
      <c r="AF17" s="23">
        <f t="shared" ca="1" si="5"/>
        <v>26.666666666666664</v>
      </c>
      <c r="AG17" s="22"/>
      <c r="AH17" s="22">
        <f ca="1">INDIRECT("'("&amp;$A$4&amp;")'!ah17")</f>
        <v>1</v>
      </c>
      <c r="AI17" s="22">
        <f ca="1">INDIRECT("'("&amp;$A$4&amp;")'!ai17")</f>
        <v>3</v>
      </c>
      <c r="AJ17" s="22">
        <f ca="1">INDIRECT("'("&amp;$A$4&amp;")'!aj17")</f>
        <v>2</v>
      </c>
      <c r="AK17" s="22">
        <f ca="1">INDIRECT("'("&amp;$A$4&amp;")'!ak17")</f>
        <v>0</v>
      </c>
      <c r="AL17" s="22">
        <f ca="1">INDIRECT("'("&amp;$A$4&amp;")'!al17")</f>
        <v>1</v>
      </c>
      <c r="AM17" s="22">
        <f ca="1">INDIRECT("'("&amp;$A$4&amp;")'!am17")</f>
        <v>0</v>
      </c>
      <c r="AN17" s="23">
        <f t="shared" ca="1" si="7"/>
        <v>35.285714285714285</v>
      </c>
      <c r="AO17" s="22"/>
      <c r="AP17" s="21">
        <f t="shared" ca="1" si="8"/>
        <v>4</v>
      </c>
      <c r="AQ17" s="21">
        <f t="shared" ca="1" si="9"/>
        <v>20</v>
      </c>
      <c r="AR17" s="21">
        <f t="shared" ca="1" si="10"/>
        <v>9</v>
      </c>
      <c r="AS17" s="21">
        <f t="shared" ca="1" si="11"/>
        <v>2</v>
      </c>
      <c r="AT17" s="21">
        <f t="shared" ca="1" si="12"/>
        <v>3</v>
      </c>
      <c r="AU17" s="21">
        <f t="shared" ca="1" si="13"/>
        <v>0</v>
      </c>
      <c r="AV17" s="23">
        <f t="shared" ca="1" si="14"/>
        <v>34.565789473684212</v>
      </c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7" customFormat="1" ht="15" customHeight="1" x14ac:dyDescent="0.35">
      <c r="A18" s="2" t="s">
        <v>23</v>
      </c>
      <c r="B18" s="22">
        <f ca="1">INDIRECT("'("&amp;$A$4&amp;")'!b18")</f>
        <v>0</v>
      </c>
      <c r="C18" s="22">
        <f ca="1">INDIRECT("'("&amp;$A$4&amp;")'!c18")</f>
        <v>0</v>
      </c>
      <c r="D18" s="22">
        <f ca="1">INDIRECT("'("&amp;$A$4&amp;")'!d18")</f>
        <v>1</v>
      </c>
      <c r="E18" s="22">
        <f ca="1">INDIRECT("'("&amp;$A$4&amp;")'!e18")</f>
        <v>0</v>
      </c>
      <c r="F18" s="22">
        <f ca="1">INDIRECT("'("&amp;$A$4&amp;")'!f18")</f>
        <v>0</v>
      </c>
      <c r="G18" s="22">
        <f ca="1">INDIRECT("'("&amp;$A$4&amp;")'!g18")</f>
        <v>0</v>
      </c>
      <c r="H18" s="23">
        <f t="shared" ca="1" si="16"/>
        <v>40.5</v>
      </c>
      <c r="I18" s="22"/>
      <c r="J18" s="22">
        <f ca="1">INDIRECT("'("&amp;$A$4&amp;")'!j18")</f>
        <v>11</v>
      </c>
      <c r="K18" s="22">
        <f ca="1">INDIRECT("'("&amp;$A$4&amp;")'!k18")</f>
        <v>9</v>
      </c>
      <c r="L18" s="22">
        <f ca="1">INDIRECT("'("&amp;$A$4&amp;")'!l18")</f>
        <v>13</v>
      </c>
      <c r="M18" s="22">
        <f ca="1">INDIRECT("'("&amp;$A$4&amp;")'!m18")</f>
        <v>1</v>
      </c>
      <c r="N18" s="22">
        <f ca="1">INDIRECT("'("&amp;$A$4&amp;")'!n18")</f>
        <v>0</v>
      </c>
      <c r="O18" s="22">
        <f ca="1">INDIRECT("'("&amp;$A$4&amp;")'!o18")</f>
        <v>0</v>
      </c>
      <c r="P18" s="23">
        <f t="shared" ca="1" si="18"/>
        <v>31.382352941176471</v>
      </c>
      <c r="Q18" s="22"/>
      <c r="R18" s="21">
        <f t="shared" ca="1" si="19"/>
        <v>11</v>
      </c>
      <c r="S18" s="21">
        <f t="shared" ca="1" si="20"/>
        <v>9</v>
      </c>
      <c r="T18" s="21">
        <f t="shared" ca="1" si="21"/>
        <v>14</v>
      </c>
      <c r="U18" s="21">
        <f t="shared" ca="1" si="22"/>
        <v>1</v>
      </c>
      <c r="V18" s="21">
        <f t="shared" ca="1" si="23"/>
        <v>0</v>
      </c>
      <c r="W18" s="21">
        <f t="shared" ca="1" si="24"/>
        <v>0</v>
      </c>
      <c r="X18" s="23">
        <f t="shared" ca="1" si="3"/>
        <v>31.642857142857142</v>
      </c>
      <c r="Y18" s="22"/>
      <c r="Z18" s="22">
        <f ca="1">INDIRECT("'("&amp;$A$4&amp;")'!z18")</f>
        <v>0</v>
      </c>
      <c r="AA18" s="22">
        <f ca="1">INDIRECT("'("&amp;$A$4&amp;")'!aa18")</f>
        <v>0</v>
      </c>
      <c r="AB18" s="22">
        <f ca="1">INDIRECT("'("&amp;$A$4&amp;")'!ab18")</f>
        <v>0</v>
      </c>
      <c r="AC18" s="22">
        <f ca="1">INDIRECT("'("&amp;$A$4&amp;")'!ac18")</f>
        <v>0</v>
      </c>
      <c r="AD18" s="22">
        <f ca="1">INDIRECT("'("&amp;$A$4&amp;")'!ad18")</f>
        <v>0</v>
      </c>
      <c r="AE18" s="22">
        <f ca="1">INDIRECT("'("&amp;$A$4&amp;")'!ae18")</f>
        <v>0</v>
      </c>
      <c r="AF18" s="23" t="str">
        <f t="shared" ca="1" si="5"/>
        <v>-</v>
      </c>
      <c r="AG18" s="22"/>
      <c r="AH18" s="22">
        <f ca="1">INDIRECT("'("&amp;$A$4&amp;")'!ah18")</f>
        <v>0</v>
      </c>
      <c r="AI18" s="22">
        <f ca="1">INDIRECT("'("&amp;$A$4&amp;")'!ai18")</f>
        <v>1</v>
      </c>
      <c r="AJ18" s="22">
        <f ca="1">INDIRECT("'("&amp;$A$4&amp;")'!aj18")</f>
        <v>0</v>
      </c>
      <c r="AK18" s="22">
        <f ca="1">INDIRECT("'("&amp;$A$4&amp;")'!ak18")</f>
        <v>0</v>
      </c>
      <c r="AL18" s="22">
        <f ca="1">INDIRECT("'("&amp;$A$4&amp;")'!al18")</f>
        <v>0</v>
      </c>
      <c r="AM18" s="22">
        <f ca="1">INDIRECT("'("&amp;$A$4&amp;")'!am18")</f>
        <v>0</v>
      </c>
      <c r="AN18" s="23">
        <f t="shared" ca="1" si="7"/>
        <v>30</v>
      </c>
      <c r="AO18" s="22"/>
      <c r="AP18" s="21">
        <f t="shared" ca="1" si="8"/>
        <v>11</v>
      </c>
      <c r="AQ18" s="21">
        <f t="shared" ca="1" si="9"/>
        <v>10</v>
      </c>
      <c r="AR18" s="21">
        <f t="shared" ca="1" si="10"/>
        <v>14</v>
      </c>
      <c r="AS18" s="21">
        <f t="shared" ca="1" si="11"/>
        <v>1</v>
      </c>
      <c r="AT18" s="21">
        <f t="shared" ca="1" si="12"/>
        <v>0</v>
      </c>
      <c r="AU18" s="21">
        <f t="shared" ca="1" si="13"/>
        <v>0</v>
      </c>
      <c r="AV18" s="23">
        <f t="shared" ca="1" si="14"/>
        <v>31.597222222222225</v>
      </c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15" customHeight="1" x14ac:dyDescent="0.35">
      <c r="A19" s="24" t="s">
        <v>24</v>
      </c>
      <c r="B19" s="22">
        <f ca="1">INDIRECT("'("&amp;$A$4&amp;")'!b19")</f>
        <v>0</v>
      </c>
      <c r="C19" s="22">
        <f ca="1">INDIRECT("'("&amp;$A$4&amp;")'!c19")</f>
        <v>2</v>
      </c>
      <c r="D19" s="22">
        <f ca="1">INDIRECT("'("&amp;$A$4&amp;")'!d19")</f>
        <v>0</v>
      </c>
      <c r="E19" s="22">
        <f ca="1">INDIRECT("'("&amp;$A$4&amp;")'!e19")</f>
        <v>1</v>
      </c>
      <c r="F19" s="22">
        <f ca="1">INDIRECT("'("&amp;$A$4&amp;")'!f19")</f>
        <v>0</v>
      </c>
      <c r="G19" s="22">
        <f ca="1">INDIRECT("'("&amp;$A$4&amp;")'!g19")</f>
        <v>0</v>
      </c>
      <c r="H19" s="23">
        <f t="shared" ca="1" si="16"/>
        <v>36.833333333333329</v>
      </c>
      <c r="I19" s="22"/>
      <c r="J19" s="22">
        <f ca="1">INDIRECT("'("&amp;$A$4&amp;")'!j19")</f>
        <v>11</v>
      </c>
      <c r="K19" s="22">
        <f ca="1">INDIRECT("'("&amp;$A$4&amp;")'!k19")</f>
        <v>11</v>
      </c>
      <c r="L19" s="22">
        <f ca="1">INDIRECT("'("&amp;$A$4&amp;")'!l19")</f>
        <v>4</v>
      </c>
      <c r="M19" s="22">
        <f ca="1">INDIRECT("'("&amp;$A$4&amp;")'!m19")</f>
        <v>1</v>
      </c>
      <c r="N19" s="22">
        <f ca="1">INDIRECT("'("&amp;$A$4&amp;")'!n19")</f>
        <v>1</v>
      </c>
      <c r="O19" s="22">
        <f ca="1">INDIRECT("'("&amp;$A$4&amp;")'!o19")</f>
        <v>0</v>
      </c>
      <c r="P19" s="23">
        <f t="shared" ca="1" si="18"/>
        <v>29.232142857142854</v>
      </c>
      <c r="Q19" s="22"/>
      <c r="R19" s="21">
        <f t="shared" ca="1" si="19"/>
        <v>11</v>
      </c>
      <c r="S19" s="21">
        <f t="shared" ca="1" si="20"/>
        <v>13</v>
      </c>
      <c r="T19" s="21">
        <f t="shared" ca="1" si="21"/>
        <v>4</v>
      </c>
      <c r="U19" s="21">
        <f t="shared" ca="1" si="22"/>
        <v>2</v>
      </c>
      <c r="V19" s="21">
        <f t="shared" ca="1" si="23"/>
        <v>1</v>
      </c>
      <c r="W19" s="21">
        <f t="shared" ca="1" si="24"/>
        <v>0</v>
      </c>
      <c r="X19" s="23">
        <f t="shared" ca="1" si="3"/>
        <v>29.967741935483872</v>
      </c>
      <c r="Y19" s="22"/>
      <c r="Z19" s="22">
        <f ca="1">INDIRECT("'("&amp;$A$4&amp;")'!z19")</f>
        <v>1</v>
      </c>
      <c r="AA19" s="22">
        <f ca="1">INDIRECT("'("&amp;$A$4&amp;")'!aa19")</f>
        <v>2</v>
      </c>
      <c r="AB19" s="22">
        <f ca="1">INDIRECT("'("&amp;$A$4&amp;")'!ab19")</f>
        <v>1</v>
      </c>
      <c r="AC19" s="22">
        <f ca="1">INDIRECT("'("&amp;$A$4&amp;")'!ac19")</f>
        <v>0</v>
      </c>
      <c r="AD19" s="22">
        <f ca="1">INDIRECT("'("&amp;$A$4&amp;")'!ad19")</f>
        <v>0</v>
      </c>
      <c r="AE19" s="22">
        <f ca="1">INDIRECT("'("&amp;$A$4&amp;")'!ae19")</f>
        <v>0</v>
      </c>
      <c r="AF19" s="23">
        <f t="shared" ca="1" si="5"/>
        <v>30.125</v>
      </c>
      <c r="AG19" s="22"/>
      <c r="AH19" s="22">
        <f ca="1">INDIRECT("'("&amp;$A$4&amp;")'!ah19")</f>
        <v>2</v>
      </c>
      <c r="AI19" s="22">
        <f ca="1">INDIRECT("'("&amp;$A$4&amp;")'!ai19")</f>
        <v>3</v>
      </c>
      <c r="AJ19" s="22">
        <f ca="1">INDIRECT("'("&amp;$A$4&amp;")'!aj19")</f>
        <v>3</v>
      </c>
      <c r="AK19" s="22">
        <f ca="1">INDIRECT("'("&amp;$A$4&amp;")'!ak19")</f>
        <v>5</v>
      </c>
      <c r="AL19" s="22">
        <f ca="1">INDIRECT("'("&amp;$A$4&amp;")'!al19")</f>
        <v>1</v>
      </c>
      <c r="AM19" s="22">
        <f ca="1">INDIRECT("'("&amp;$A$4&amp;")'!am19")</f>
        <v>0</v>
      </c>
      <c r="AN19" s="23">
        <f t="shared" ca="1" si="7"/>
        <v>40</v>
      </c>
      <c r="AO19" s="22"/>
      <c r="AP19" s="21">
        <f t="shared" ca="1" si="8"/>
        <v>14</v>
      </c>
      <c r="AQ19" s="21">
        <f t="shared" ca="1" si="9"/>
        <v>18</v>
      </c>
      <c r="AR19" s="21">
        <f t="shared" ca="1" si="10"/>
        <v>8</v>
      </c>
      <c r="AS19" s="21">
        <f t="shared" ca="1" si="11"/>
        <v>7</v>
      </c>
      <c r="AT19" s="21">
        <f t="shared" ca="1" si="12"/>
        <v>2</v>
      </c>
      <c r="AU19" s="21">
        <f t="shared" ca="1" si="13"/>
        <v>0</v>
      </c>
      <c r="AV19" s="23">
        <f t="shared" ca="1" si="14"/>
        <v>32.846938775510203</v>
      </c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7" customFormat="1" ht="15" customHeight="1" x14ac:dyDescent="0.35">
      <c r="A20" s="24" t="s">
        <v>25</v>
      </c>
      <c r="B20" s="22">
        <f ca="1">INDIRECT("'("&amp;$A$4&amp;")'!b20")</f>
        <v>4</v>
      </c>
      <c r="C20" s="22">
        <f ca="1">INDIRECT("'("&amp;$A$4&amp;")'!c20")</f>
        <v>23</v>
      </c>
      <c r="D20" s="22">
        <f ca="1">INDIRECT("'("&amp;$A$4&amp;")'!d20")</f>
        <v>6</v>
      </c>
      <c r="E20" s="22">
        <f ca="1">INDIRECT("'("&amp;$A$4&amp;")'!e20")</f>
        <v>2</v>
      </c>
      <c r="F20" s="22">
        <f ca="1">INDIRECT("'("&amp;$A$4&amp;")'!f20")</f>
        <v>0</v>
      </c>
      <c r="G20" s="22">
        <f ca="1">INDIRECT("'("&amp;$A$4&amp;")'!g20")</f>
        <v>0</v>
      </c>
      <c r="H20" s="23">
        <f t="shared" ca="1" si="16"/>
        <v>31.828571428571429</v>
      </c>
      <c r="I20" s="22"/>
      <c r="J20" s="22">
        <f ca="1">INDIRECT("'("&amp;$A$4&amp;")'!j20")</f>
        <v>18</v>
      </c>
      <c r="K20" s="22">
        <f ca="1">INDIRECT("'("&amp;$A$4&amp;")'!k20")</f>
        <v>54</v>
      </c>
      <c r="L20" s="22">
        <f ca="1">INDIRECT("'("&amp;$A$4&amp;")'!l20")</f>
        <v>28</v>
      </c>
      <c r="M20" s="22">
        <f ca="1">INDIRECT("'("&amp;$A$4&amp;")'!m20")</f>
        <v>8</v>
      </c>
      <c r="N20" s="22">
        <f ca="1">INDIRECT("'("&amp;$A$4&amp;")'!n20")</f>
        <v>0</v>
      </c>
      <c r="O20" s="22">
        <f ca="1">INDIRECT("'("&amp;$A$4&amp;")'!o20")</f>
        <v>0</v>
      </c>
      <c r="P20" s="23">
        <f t="shared" ca="1" si="18"/>
        <v>32.574074074074076</v>
      </c>
      <c r="Q20" s="22"/>
      <c r="R20" s="21">
        <f t="shared" ca="1" si="19"/>
        <v>22</v>
      </c>
      <c r="S20" s="21">
        <f t="shared" ca="1" si="20"/>
        <v>77</v>
      </c>
      <c r="T20" s="21">
        <f t="shared" ca="1" si="21"/>
        <v>34</v>
      </c>
      <c r="U20" s="21">
        <f t="shared" ca="1" si="22"/>
        <v>10</v>
      </c>
      <c r="V20" s="21">
        <f t="shared" ca="1" si="23"/>
        <v>0</v>
      </c>
      <c r="W20" s="21">
        <f t="shared" ca="1" si="24"/>
        <v>0</v>
      </c>
      <c r="X20" s="23">
        <f t="shared" ca="1" si="3"/>
        <v>32.391608391608393</v>
      </c>
      <c r="Y20" s="22"/>
      <c r="Z20" s="22">
        <f ca="1">INDIRECT("'("&amp;$A$4&amp;")'!z20")</f>
        <v>0</v>
      </c>
      <c r="AA20" s="22">
        <f ca="1">INDIRECT("'("&amp;$A$4&amp;")'!aa20")</f>
        <v>2</v>
      </c>
      <c r="AB20" s="22">
        <f ca="1">INDIRECT("'("&amp;$A$4&amp;")'!ab20")</f>
        <v>0</v>
      </c>
      <c r="AC20" s="22">
        <f ca="1">INDIRECT("'("&amp;$A$4&amp;")'!ac20")</f>
        <v>0</v>
      </c>
      <c r="AD20" s="22">
        <f ca="1">INDIRECT("'("&amp;$A$4&amp;")'!ad20")</f>
        <v>0</v>
      </c>
      <c r="AE20" s="22">
        <f ca="1">INDIRECT("'("&amp;$A$4&amp;")'!ae20")</f>
        <v>0</v>
      </c>
      <c r="AF20" s="23">
        <f t="shared" ca="1" si="5"/>
        <v>30</v>
      </c>
      <c r="AG20" s="22"/>
      <c r="AH20" s="22">
        <f ca="1">INDIRECT("'("&amp;$A$4&amp;")'!ah20")</f>
        <v>1</v>
      </c>
      <c r="AI20" s="22">
        <f ca="1">INDIRECT("'("&amp;$A$4&amp;")'!ai20")</f>
        <v>8</v>
      </c>
      <c r="AJ20" s="22">
        <f ca="1">INDIRECT("'("&amp;$A$4&amp;")'!aj20")</f>
        <v>8</v>
      </c>
      <c r="AK20" s="22">
        <f ca="1">INDIRECT("'("&amp;$A$4&amp;")'!ak20")</f>
        <v>7</v>
      </c>
      <c r="AL20" s="22">
        <f ca="1">INDIRECT("'("&amp;$A$4&amp;")'!al20")</f>
        <v>2</v>
      </c>
      <c r="AM20" s="22">
        <f ca="1">INDIRECT("'("&amp;$A$4&amp;")'!am20")</f>
        <v>0</v>
      </c>
      <c r="AN20" s="23">
        <f t="shared" ca="1" si="7"/>
        <v>40.365384615384613</v>
      </c>
      <c r="AO20" s="22"/>
      <c r="AP20" s="21">
        <f t="shared" ca="1" si="8"/>
        <v>23</v>
      </c>
      <c r="AQ20" s="21">
        <f t="shared" ca="1" si="9"/>
        <v>87</v>
      </c>
      <c r="AR20" s="21">
        <f t="shared" ca="1" si="10"/>
        <v>42</v>
      </c>
      <c r="AS20" s="21">
        <f t="shared" ca="1" si="11"/>
        <v>17</v>
      </c>
      <c r="AT20" s="21">
        <f t="shared" ca="1" si="12"/>
        <v>2</v>
      </c>
      <c r="AU20" s="21">
        <f t="shared" ca="1" si="13"/>
        <v>0</v>
      </c>
      <c r="AV20" s="23">
        <f t="shared" ca="1" si="14"/>
        <v>33.576023391812861</v>
      </c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7" customFormat="1" ht="15" customHeight="1" x14ac:dyDescent="0.35">
      <c r="A21" s="2" t="s">
        <v>26</v>
      </c>
      <c r="B21" s="22">
        <f ca="1">INDIRECT("'("&amp;$A$4&amp;")'!b21")</f>
        <v>0</v>
      </c>
      <c r="C21" s="22">
        <f ca="1">INDIRECT("'("&amp;$A$4&amp;")'!c21")</f>
        <v>13</v>
      </c>
      <c r="D21" s="22">
        <f ca="1">INDIRECT("'("&amp;$A$4&amp;")'!d21")</f>
        <v>6</v>
      </c>
      <c r="E21" s="22">
        <f ca="1">INDIRECT("'("&amp;$A$4&amp;")'!e21")</f>
        <v>1</v>
      </c>
      <c r="F21" s="22">
        <f ca="1">INDIRECT("'("&amp;$A$4&amp;")'!f21")</f>
        <v>1</v>
      </c>
      <c r="G21" s="22">
        <f ca="1">INDIRECT("'("&amp;$A$4&amp;")'!g21")</f>
        <v>0</v>
      </c>
      <c r="H21" s="23">
        <f t="shared" ca="1" si="16"/>
        <v>35.214285714285715</v>
      </c>
      <c r="I21" s="22"/>
      <c r="J21" s="22">
        <f ca="1">INDIRECT("'("&amp;$A$4&amp;")'!j21")</f>
        <v>21</v>
      </c>
      <c r="K21" s="22">
        <f ca="1">INDIRECT("'("&amp;$A$4&amp;")'!k21")</f>
        <v>34</v>
      </c>
      <c r="L21" s="22">
        <f ca="1">INDIRECT("'("&amp;$A$4&amp;")'!l21")</f>
        <v>18</v>
      </c>
      <c r="M21" s="22">
        <f ca="1">INDIRECT("'("&amp;$A$4&amp;")'!m21")</f>
        <v>4</v>
      </c>
      <c r="N21" s="22">
        <f ca="1">INDIRECT("'("&amp;$A$4&amp;")'!n21")</f>
        <v>1</v>
      </c>
      <c r="O21" s="22">
        <f ca="1">INDIRECT("'("&amp;$A$4&amp;")'!o21")</f>
        <v>0</v>
      </c>
      <c r="P21" s="23">
        <f t="shared" ca="1" si="18"/>
        <v>31.115384615384617</v>
      </c>
      <c r="Q21" s="22"/>
      <c r="R21" s="21">
        <f t="shared" ca="1" si="19"/>
        <v>21</v>
      </c>
      <c r="S21" s="21">
        <f t="shared" ca="1" si="20"/>
        <v>47</v>
      </c>
      <c r="T21" s="21">
        <f t="shared" ca="1" si="21"/>
        <v>24</v>
      </c>
      <c r="U21" s="21">
        <f t="shared" ca="1" si="22"/>
        <v>5</v>
      </c>
      <c r="V21" s="21">
        <f t="shared" ca="1" si="23"/>
        <v>2</v>
      </c>
      <c r="W21" s="21">
        <f t="shared" ca="1" si="24"/>
        <v>0</v>
      </c>
      <c r="X21" s="23">
        <f t="shared" ca="1" si="3"/>
        <v>31.984848484848488</v>
      </c>
      <c r="Y21" s="22"/>
      <c r="Z21" s="22">
        <f ca="1">INDIRECT("'("&amp;$A$4&amp;")'!z21")</f>
        <v>3</v>
      </c>
      <c r="AA21" s="22">
        <f ca="1">INDIRECT("'("&amp;$A$4&amp;")'!aa21")</f>
        <v>1</v>
      </c>
      <c r="AB21" s="22">
        <f ca="1">INDIRECT("'("&amp;$A$4&amp;")'!ab21")</f>
        <v>0</v>
      </c>
      <c r="AC21" s="22">
        <f ca="1">INDIRECT("'("&amp;$A$4&amp;")'!ac21")</f>
        <v>0</v>
      </c>
      <c r="AD21" s="22">
        <f ca="1">INDIRECT("'("&amp;$A$4&amp;")'!ad21")</f>
        <v>0</v>
      </c>
      <c r="AE21" s="22">
        <f ca="1">INDIRECT("'("&amp;$A$4&amp;")'!ae21")</f>
        <v>0</v>
      </c>
      <c r="AF21" s="23">
        <f t="shared" ca="1" si="5"/>
        <v>22.5</v>
      </c>
      <c r="AG21" s="22"/>
      <c r="AH21" s="22">
        <f ca="1">INDIRECT("'("&amp;$A$4&amp;")'!ah21")</f>
        <v>3</v>
      </c>
      <c r="AI21" s="22">
        <f ca="1">INDIRECT("'("&amp;$A$4&amp;")'!ai21")</f>
        <v>7</v>
      </c>
      <c r="AJ21" s="22">
        <f ca="1">INDIRECT("'("&amp;$A$4&amp;")'!aj21")</f>
        <v>3</v>
      </c>
      <c r="AK21" s="22">
        <f ca="1">INDIRECT("'("&amp;$A$4&amp;")'!ak21")</f>
        <v>11</v>
      </c>
      <c r="AL21" s="22">
        <f ca="1">INDIRECT("'("&amp;$A$4&amp;")'!al21")</f>
        <v>1</v>
      </c>
      <c r="AM21" s="22">
        <f ca="1">INDIRECT("'("&amp;$A$4&amp;")'!am21")</f>
        <v>0</v>
      </c>
      <c r="AN21" s="23">
        <f t="shared" ca="1" si="7"/>
        <v>40.119999999999997</v>
      </c>
      <c r="AO21" s="22"/>
      <c r="AP21" s="21">
        <f t="shared" ca="1" si="8"/>
        <v>27</v>
      </c>
      <c r="AQ21" s="21">
        <f t="shared" ca="1" si="9"/>
        <v>55</v>
      </c>
      <c r="AR21" s="21">
        <f t="shared" ca="1" si="10"/>
        <v>27</v>
      </c>
      <c r="AS21" s="21">
        <f t="shared" ca="1" si="11"/>
        <v>16</v>
      </c>
      <c r="AT21" s="21">
        <f t="shared" ca="1" si="12"/>
        <v>3</v>
      </c>
      <c r="AU21" s="21">
        <f t="shared" ca="1" si="13"/>
        <v>0</v>
      </c>
      <c r="AV21" s="23">
        <f t="shared" ca="1" si="14"/>
        <v>33.27734375</v>
      </c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15" customHeight="1" x14ac:dyDescent="0.35">
      <c r="A22" s="2" t="s">
        <v>27</v>
      </c>
      <c r="B22" s="22">
        <f ca="1">INDIRECT("'("&amp;$A$4&amp;")'!b22")</f>
        <v>11</v>
      </c>
      <c r="C22" s="22">
        <f ca="1">INDIRECT("'("&amp;$A$4&amp;")'!c22")</f>
        <v>10</v>
      </c>
      <c r="D22" s="22">
        <f ca="1">INDIRECT("'("&amp;$A$4&amp;")'!d22")</f>
        <v>1</v>
      </c>
      <c r="E22" s="22">
        <f ca="1">INDIRECT("'("&amp;$A$4&amp;")'!e22")</f>
        <v>0</v>
      </c>
      <c r="F22" s="22">
        <f ca="1">INDIRECT("'("&amp;$A$4&amp;")'!f22")</f>
        <v>0</v>
      </c>
      <c r="G22" s="22">
        <f ca="1">INDIRECT("'("&amp;$A$4&amp;")'!g22")</f>
        <v>0</v>
      </c>
      <c r="H22" s="23">
        <f t="shared" ca="1" si="16"/>
        <v>25.477272727272727</v>
      </c>
      <c r="I22" s="22"/>
      <c r="J22" s="22">
        <f ca="1">INDIRECT("'("&amp;$A$4&amp;")'!j22")</f>
        <v>7</v>
      </c>
      <c r="K22" s="22">
        <f ca="1">INDIRECT("'("&amp;$A$4&amp;")'!k22")</f>
        <v>17</v>
      </c>
      <c r="L22" s="22">
        <f ca="1">INDIRECT("'("&amp;$A$4&amp;")'!l22")</f>
        <v>3</v>
      </c>
      <c r="M22" s="22">
        <f ca="1">INDIRECT("'("&amp;$A$4&amp;")'!m22")</f>
        <v>0</v>
      </c>
      <c r="N22" s="22">
        <f ca="1">INDIRECT("'("&amp;$A$4&amp;")'!n22")</f>
        <v>0</v>
      </c>
      <c r="O22" s="22">
        <f ca="1">INDIRECT("'("&amp;$A$4&amp;")'!o22")</f>
        <v>0</v>
      </c>
      <c r="P22" s="23">
        <f t="shared" ca="1" si="18"/>
        <v>28.574074074074076</v>
      </c>
      <c r="Q22" s="22"/>
      <c r="R22" s="21">
        <f t="shared" ca="1" si="19"/>
        <v>18</v>
      </c>
      <c r="S22" s="21">
        <f t="shared" ca="1" si="20"/>
        <v>27</v>
      </c>
      <c r="T22" s="21">
        <f t="shared" ca="1" si="21"/>
        <v>4</v>
      </c>
      <c r="U22" s="21">
        <f t="shared" ca="1" si="22"/>
        <v>0</v>
      </c>
      <c r="V22" s="21">
        <f t="shared" ca="1" si="23"/>
        <v>0</v>
      </c>
      <c r="W22" s="21">
        <f t="shared" ca="1" si="24"/>
        <v>0</v>
      </c>
      <c r="X22" s="23">
        <f t="shared" ca="1" si="3"/>
        <v>27.183673469387756</v>
      </c>
      <c r="Y22" s="22"/>
      <c r="Z22" s="22">
        <f ca="1">INDIRECT("'("&amp;$A$4&amp;")'!z22")</f>
        <v>0</v>
      </c>
      <c r="AA22" s="22">
        <f ca="1">INDIRECT("'("&amp;$A$4&amp;")'!aa22")</f>
        <v>0</v>
      </c>
      <c r="AB22" s="22">
        <f ca="1">INDIRECT("'("&amp;$A$4&amp;")'!ab22")</f>
        <v>0</v>
      </c>
      <c r="AC22" s="22">
        <f ca="1">INDIRECT("'("&amp;$A$4&amp;")'!ac22")</f>
        <v>0</v>
      </c>
      <c r="AD22" s="22">
        <f ca="1">INDIRECT("'("&amp;$A$4&amp;")'!ad22")</f>
        <v>0</v>
      </c>
      <c r="AE22" s="22">
        <f ca="1">INDIRECT("'("&amp;$A$4&amp;")'!ae22")</f>
        <v>0</v>
      </c>
      <c r="AF22" s="23" t="str">
        <f t="shared" ca="1" si="5"/>
        <v>-</v>
      </c>
      <c r="AG22" s="22"/>
      <c r="AH22" s="22">
        <f ca="1">INDIRECT("'("&amp;$A$4&amp;")'!ah22")</f>
        <v>4</v>
      </c>
      <c r="AI22" s="22">
        <f ca="1">INDIRECT("'("&amp;$A$4&amp;")'!ai22")</f>
        <v>2</v>
      </c>
      <c r="AJ22" s="22">
        <f ca="1">INDIRECT("'("&amp;$A$4&amp;")'!aj22")</f>
        <v>3</v>
      </c>
      <c r="AK22" s="22">
        <f ca="1">INDIRECT("'("&amp;$A$4&amp;")'!ak22")</f>
        <v>6</v>
      </c>
      <c r="AL22" s="22">
        <f ca="1">INDIRECT("'("&amp;$A$4&amp;")'!al22")</f>
        <v>3</v>
      </c>
      <c r="AM22" s="22">
        <f ca="1">INDIRECT("'("&amp;$A$4&amp;")'!am22")</f>
        <v>0</v>
      </c>
      <c r="AN22" s="23">
        <f t="shared" ca="1" si="7"/>
        <v>40.694444444444443</v>
      </c>
      <c r="AO22" s="22"/>
      <c r="AP22" s="21">
        <f t="shared" ca="1" si="8"/>
        <v>22</v>
      </c>
      <c r="AQ22" s="21">
        <f t="shared" ca="1" si="9"/>
        <v>29</v>
      </c>
      <c r="AR22" s="21">
        <f t="shared" ca="1" si="10"/>
        <v>7</v>
      </c>
      <c r="AS22" s="21">
        <f t="shared" ca="1" si="11"/>
        <v>6</v>
      </c>
      <c r="AT22" s="21">
        <f t="shared" ca="1" si="12"/>
        <v>3</v>
      </c>
      <c r="AU22" s="21">
        <f t="shared" ca="1" si="13"/>
        <v>0</v>
      </c>
      <c r="AV22" s="23">
        <f t="shared" ca="1" si="14"/>
        <v>30.81343283582089</v>
      </c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7" customFormat="1" ht="15" customHeight="1" x14ac:dyDescent="0.35">
      <c r="A23" s="2" t="s">
        <v>28</v>
      </c>
      <c r="B23" s="22">
        <f ca="1">INDIRECT("'("&amp;$A$4&amp;")'!b23")</f>
        <v>1</v>
      </c>
      <c r="C23" s="22">
        <f ca="1">INDIRECT("'("&amp;$A$4&amp;")'!c23")</f>
        <v>4</v>
      </c>
      <c r="D23" s="22">
        <f ca="1">INDIRECT("'("&amp;$A$4&amp;")'!d23")</f>
        <v>2</v>
      </c>
      <c r="E23" s="22">
        <f ca="1">INDIRECT("'("&amp;$A$4&amp;")'!e23")</f>
        <v>0</v>
      </c>
      <c r="F23" s="22">
        <f ca="1">INDIRECT("'("&amp;$A$4&amp;")'!f23")</f>
        <v>0</v>
      </c>
      <c r="G23" s="22">
        <f ca="1">INDIRECT("'("&amp;$A$4&amp;")'!g23")</f>
        <v>1</v>
      </c>
      <c r="H23" s="23">
        <f t="shared" ca="1" si="16"/>
        <v>31.571428571428569</v>
      </c>
      <c r="I23" s="22"/>
      <c r="J23" s="22">
        <f ca="1">INDIRECT("'("&amp;$A$4&amp;")'!j23")</f>
        <v>5</v>
      </c>
      <c r="K23" s="22">
        <f ca="1">INDIRECT("'("&amp;$A$4&amp;")'!k23")</f>
        <v>16</v>
      </c>
      <c r="L23" s="22">
        <f ca="1">INDIRECT("'("&amp;$A$4&amp;")'!l23")</f>
        <v>1</v>
      </c>
      <c r="M23" s="22">
        <f ca="1">INDIRECT("'("&amp;$A$4&amp;")'!m23")</f>
        <v>0</v>
      </c>
      <c r="N23" s="22">
        <f ca="1">INDIRECT("'("&amp;$A$4&amp;")'!n23")</f>
        <v>0</v>
      </c>
      <c r="O23" s="22">
        <f ca="1">INDIRECT("'("&amp;$A$4&amp;")'!o23")</f>
        <v>0</v>
      </c>
      <c r="P23" s="23">
        <f t="shared" ca="1" si="18"/>
        <v>28.204545454545457</v>
      </c>
      <c r="Q23" s="22"/>
      <c r="R23" s="21">
        <f t="shared" ca="1" si="19"/>
        <v>6</v>
      </c>
      <c r="S23" s="21">
        <f t="shared" ca="1" si="20"/>
        <v>20</v>
      </c>
      <c r="T23" s="21">
        <f t="shared" ca="1" si="21"/>
        <v>3</v>
      </c>
      <c r="U23" s="21">
        <f t="shared" ca="1" si="22"/>
        <v>0</v>
      </c>
      <c r="V23" s="21">
        <f t="shared" ca="1" si="23"/>
        <v>0</v>
      </c>
      <c r="W23" s="21">
        <f t="shared" ca="1" si="24"/>
        <v>1</v>
      </c>
      <c r="X23" s="23">
        <f t="shared" ca="1" si="3"/>
        <v>29.017241379310345</v>
      </c>
      <c r="Y23" s="22"/>
      <c r="Z23" s="22">
        <f ca="1">INDIRECT("'("&amp;$A$4&amp;")'!z23")</f>
        <v>2</v>
      </c>
      <c r="AA23" s="22">
        <f ca="1">INDIRECT("'("&amp;$A$4&amp;")'!aa23")</f>
        <v>1</v>
      </c>
      <c r="AB23" s="22">
        <f ca="1">INDIRECT("'("&amp;$A$4&amp;")'!ab23")</f>
        <v>1</v>
      </c>
      <c r="AC23" s="22">
        <f ca="1">INDIRECT("'("&amp;$A$4&amp;")'!ac23")</f>
        <v>0</v>
      </c>
      <c r="AD23" s="22">
        <f ca="1">INDIRECT("'("&amp;$A$4&amp;")'!ad23")</f>
        <v>0</v>
      </c>
      <c r="AE23" s="22">
        <f ca="1">INDIRECT("'("&amp;$A$4&amp;")'!ae23")</f>
        <v>0</v>
      </c>
      <c r="AF23" s="23">
        <f t="shared" ca="1" si="5"/>
        <v>27.625</v>
      </c>
      <c r="AG23" s="22"/>
      <c r="AH23" s="22">
        <f ca="1">INDIRECT("'("&amp;$A$4&amp;")'!ah23")</f>
        <v>2</v>
      </c>
      <c r="AI23" s="22">
        <f ca="1">INDIRECT("'("&amp;$A$4&amp;")'!ai23")</f>
        <v>3</v>
      </c>
      <c r="AJ23" s="22">
        <f ca="1">INDIRECT("'("&amp;$A$4&amp;")'!aj23")</f>
        <v>7</v>
      </c>
      <c r="AK23" s="22">
        <f ca="1">INDIRECT("'("&amp;$A$4&amp;")'!ak23")</f>
        <v>8</v>
      </c>
      <c r="AL23" s="22">
        <f ca="1">INDIRECT("'("&amp;$A$4&amp;")'!al23")</f>
        <v>3</v>
      </c>
      <c r="AM23" s="22">
        <f ca="1">INDIRECT("'("&amp;$A$4&amp;")'!am23")</f>
        <v>0</v>
      </c>
      <c r="AN23" s="23">
        <f t="shared" ca="1" si="7"/>
        <v>42.847826086956516</v>
      </c>
      <c r="AO23" s="22"/>
      <c r="AP23" s="21">
        <f t="shared" ca="1" si="8"/>
        <v>10</v>
      </c>
      <c r="AQ23" s="21">
        <f t="shared" ca="1" si="9"/>
        <v>24</v>
      </c>
      <c r="AR23" s="21">
        <f t="shared" ca="1" si="10"/>
        <v>11</v>
      </c>
      <c r="AS23" s="21">
        <f t="shared" ca="1" si="11"/>
        <v>8</v>
      </c>
      <c r="AT23" s="21">
        <f t="shared" ca="1" si="12"/>
        <v>3</v>
      </c>
      <c r="AU23" s="21">
        <f t="shared" ca="1" si="13"/>
        <v>1</v>
      </c>
      <c r="AV23" s="23">
        <f t="shared" ca="1" si="14"/>
        <v>34.598214285714285</v>
      </c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7" customFormat="1" ht="15" customHeight="1" x14ac:dyDescent="0.35">
      <c r="A24" s="2" t="s">
        <v>29</v>
      </c>
      <c r="B24" s="22">
        <f ca="1">INDIRECT("'("&amp;$A$4&amp;")'!b24")</f>
        <v>1</v>
      </c>
      <c r="C24" s="22">
        <f ca="1">INDIRECT("'("&amp;$A$4&amp;")'!c24")</f>
        <v>16</v>
      </c>
      <c r="D24" s="22">
        <f ca="1">INDIRECT("'("&amp;$A$4&amp;")'!d24")</f>
        <v>4</v>
      </c>
      <c r="E24" s="22">
        <f ca="1">INDIRECT("'("&amp;$A$4&amp;")'!e24")</f>
        <v>1</v>
      </c>
      <c r="F24" s="22">
        <f ca="1">INDIRECT("'("&amp;$A$4&amp;")'!f24")</f>
        <v>0</v>
      </c>
      <c r="G24" s="22">
        <f ca="1">INDIRECT("'("&amp;$A$4&amp;")'!g24")</f>
        <v>0</v>
      </c>
      <c r="H24" s="23">
        <f t="shared" ca="1" si="16"/>
        <v>32.38636363636364</v>
      </c>
      <c r="I24" s="22"/>
      <c r="J24" s="22">
        <f ca="1">INDIRECT("'("&amp;$A$4&amp;")'!j24")</f>
        <v>24</v>
      </c>
      <c r="K24" s="22">
        <f ca="1">INDIRECT("'("&amp;$A$4&amp;")'!k24")</f>
        <v>45</v>
      </c>
      <c r="L24" s="22">
        <f ca="1">INDIRECT("'("&amp;$A$4&amp;")'!l24")</f>
        <v>11</v>
      </c>
      <c r="M24" s="22">
        <f ca="1">INDIRECT("'("&amp;$A$4&amp;")'!m24")</f>
        <v>7</v>
      </c>
      <c r="N24" s="22">
        <f ca="1">INDIRECT("'("&amp;$A$4&amp;")'!n24")</f>
        <v>1</v>
      </c>
      <c r="O24" s="22">
        <f ca="1">INDIRECT("'("&amp;$A$4&amp;")'!o24")</f>
        <v>0</v>
      </c>
      <c r="P24" s="23">
        <f t="shared" ca="1" si="18"/>
        <v>30.511363636363633</v>
      </c>
      <c r="Q24" s="22"/>
      <c r="R24" s="21">
        <f t="shared" ca="1" si="19"/>
        <v>25</v>
      </c>
      <c r="S24" s="21">
        <f t="shared" ca="1" si="20"/>
        <v>61</v>
      </c>
      <c r="T24" s="21">
        <f t="shared" ca="1" si="21"/>
        <v>15</v>
      </c>
      <c r="U24" s="21">
        <f t="shared" ca="1" si="22"/>
        <v>8</v>
      </c>
      <c r="V24" s="21">
        <f t="shared" ca="1" si="23"/>
        <v>1</v>
      </c>
      <c r="W24" s="21">
        <f t="shared" ca="1" si="24"/>
        <v>0</v>
      </c>
      <c r="X24" s="23">
        <f t="shared" ca="1" si="3"/>
        <v>30.886363636363633</v>
      </c>
      <c r="Y24" s="22"/>
      <c r="Z24" s="22">
        <f ca="1">INDIRECT("'("&amp;$A$4&amp;")'!z24")</f>
        <v>1</v>
      </c>
      <c r="AA24" s="22">
        <f ca="1">INDIRECT("'("&amp;$A$4&amp;")'!aa24")</f>
        <v>1</v>
      </c>
      <c r="AB24" s="22">
        <f ca="1">INDIRECT("'("&amp;$A$4&amp;")'!ab24")</f>
        <v>0</v>
      </c>
      <c r="AC24" s="22">
        <f ca="1">INDIRECT("'("&amp;$A$4&amp;")'!ac24")</f>
        <v>0</v>
      </c>
      <c r="AD24" s="22">
        <f ca="1">INDIRECT("'("&amp;$A$4&amp;")'!ad24")</f>
        <v>0</v>
      </c>
      <c r="AE24" s="22">
        <f ca="1">INDIRECT("'("&amp;$A$4&amp;")'!ae24")</f>
        <v>0</v>
      </c>
      <c r="AF24" s="23">
        <f t="shared" ca="1" si="5"/>
        <v>25</v>
      </c>
      <c r="AG24" s="22"/>
      <c r="AH24" s="22">
        <f ca="1">INDIRECT("'("&amp;$A$4&amp;")'!ah24")</f>
        <v>8</v>
      </c>
      <c r="AI24" s="22">
        <f ca="1">INDIRECT("'("&amp;$A$4&amp;")'!ai24")</f>
        <v>15</v>
      </c>
      <c r="AJ24" s="22">
        <f ca="1">INDIRECT("'("&amp;$A$4&amp;")'!aj24")</f>
        <v>13</v>
      </c>
      <c r="AK24" s="22">
        <f ca="1">INDIRECT("'("&amp;$A$4&amp;")'!ak24")</f>
        <v>16</v>
      </c>
      <c r="AL24" s="22">
        <f ca="1">INDIRECT("'("&amp;$A$4&amp;")'!al24")</f>
        <v>9</v>
      </c>
      <c r="AM24" s="22">
        <f ca="1">INDIRECT("'("&amp;$A$4&amp;")'!am24")</f>
        <v>0</v>
      </c>
      <c r="AN24" s="23">
        <f t="shared" ca="1" si="7"/>
        <v>40.139344262295083</v>
      </c>
      <c r="AO24" s="22"/>
      <c r="AP24" s="21">
        <f t="shared" ca="1" si="8"/>
        <v>34</v>
      </c>
      <c r="AQ24" s="21">
        <f t="shared" ca="1" si="9"/>
        <v>77</v>
      </c>
      <c r="AR24" s="21">
        <f t="shared" ca="1" si="10"/>
        <v>28</v>
      </c>
      <c r="AS24" s="21">
        <f t="shared" ca="1" si="11"/>
        <v>24</v>
      </c>
      <c r="AT24" s="21">
        <f t="shared" ca="1" si="12"/>
        <v>10</v>
      </c>
      <c r="AU24" s="21">
        <f t="shared" ca="1" si="13"/>
        <v>0</v>
      </c>
      <c r="AV24" s="23">
        <f t="shared" ca="1" si="14"/>
        <v>34.080924855491325</v>
      </c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15" customHeight="1" x14ac:dyDescent="0.35">
      <c r="A25" s="2" t="s">
        <v>30</v>
      </c>
      <c r="B25" s="22">
        <f ca="1">INDIRECT("'("&amp;$A$4&amp;")'!b25")</f>
        <v>5</v>
      </c>
      <c r="C25" s="22">
        <f ca="1">INDIRECT("'("&amp;$A$4&amp;")'!c25")</f>
        <v>24</v>
      </c>
      <c r="D25" s="22">
        <f ca="1">INDIRECT("'("&amp;$A$4&amp;")'!d25")</f>
        <v>5</v>
      </c>
      <c r="E25" s="22">
        <f ca="1">INDIRECT("'("&amp;$A$4&amp;")'!e25")</f>
        <v>1</v>
      </c>
      <c r="F25" s="22">
        <f ca="1">INDIRECT("'("&amp;$A$4&amp;")'!f25")</f>
        <v>0</v>
      </c>
      <c r="G25" s="22">
        <f ca="1">INDIRECT("'("&amp;$A$4&amp;")'!g25")</f>
        <v>0</v>
      </c>
      <c r="H25" s="23">
        <f t="shared" ca="1" si="16"/>
        <v>30.657142857142858</v>
      </c>
      <c r="I25" s="22"/>
      <c r="J25" s="22">
        <f ca="1">INDIRECT("'("&amp;$A$4&amp;")'!j25")</f>
        <v>9</v>
      </c>
      <c r="K25" s="22">
        <f ca="1">INDIRECT("'("&amp;$A$4&amp;")'!k25")</f>
        <v>20</v>
      </c>
      <c r="L25" s="22">
        <f ca="1">INDIRECT("'("&amp;$A$4&amp;")'!l25")</f>
        <v>8</v>
      </c>
      <c r="M25" s="22">
        <f ca="1">INDIRECT("'("&amp;$A$4&amp;")'!m25")</f>
        <v>1</v>
      </c>
      <c r="N25" s="22">
        <f ca="1">INDIRECT("'("&amp;$A$4&amp;")'!n25")</f>
        <v>0</v>
      </c>
      <c r="O25" s="22">
        <f ca="1">INDIRECT("'("&amp;$A$4&amp;")'!o25")</f>
        <v>0</v>
      </c>
      <c r="P25" s="23">
        <f t="shared" ca="1" si="18"/>
        <v>30.381578947368421</v>
      </c>
      <c r="Q25" s="22"/>
      <c r="R25" s="21">
        <f t="shared" ca="1" si="19"/>
        <v>14</v>
      </c>
      <c r="S25" s="21">
        <f t="shared" ca="1" si="20"/>
        <v>44</v>
      </c>
      <c r="T25" s="21">
        <f t="shared" ca="1" si="21"/>
        <v>13</v>
      </c>
      <c r="U25" s="21">
        <f t="shared" ca="1" si="22"/>
        <v>2</v>
      </c>
      <c r="V25" s="21">
        <f t="shared" ca="1" si="23"/>
        <v>0</v>
      </c>
      <c r="W25" s="21">
        <f t="shared" ca="1" si="24"/>
        <v>0</v>
      </c>
      <c r="X25" s="23">
        <f t="shared" ca="1" si="3"/>
        <v>30.513698630136982</v>
      </c>
      <c r="Y25" s="22"/>
      <c r="Z25" s="22">
        <f ca="1">INDIRECT("'("&amp;$A$4&amp;")'!z25")</f>
        <v>3</v>
      </c>
      <c r="AA25" s="22">
        <f ca="1">INDIRECT("'("&amp;$A$4&amp;")'!aa25")</f>
        <v>1</v>
      </c>
      <c r="AB25" s="22">
        <f ca="1">INDIRECT("'("&amp;$A$4&amp;")'!ab25")</f>
        <v>2</v>
      </c>
      <c r="AC25" s="22">
        <f ca="1">INDIRECT("'("&amp;$A$4&amp;")'!ac25")</f>
        <v>0</v>
      </c>
      <c r="AD25" s="22">
        <f ca="1">INDIRECT("'("&amp;$A$4&amp;")'!ad25")</f>
        <v>0</v>
      </c>
      <c r="AE25" s="22">
        <f ca="1">INDIRECT("'("&amp;$A$4&amp;")'!ae25")</f>
        <v>0</v>
      </c>
      <c r="AF25" s="23">
        <f t="shared" ca="1" si="5"/>
        <v>28.5</v>
      </c>
      <c r="AG25" s="22"/>
      <c r="AH25" s="22">
        <f ca="1">INDIRECT("'("&amp;$A$4&amp;")'!ah25")</f>
        <v>0</v>
      </c>
      <c r="AI25" s="22">
        <f ca="1">INDIRECT("'("&amp;$A$4&amp;")'!ai25")</f>
        <v>5</v>
      </c>
      <c r="AJ25" s="22">
        <f ca="1">INDIRECT("'("&amp;$A$4&amp;")'!aj25")</f>
        <v>2</v>
      </c>
      <c r="AK25" s="22">
        <f ca="1">INDIRECT("'("&amp;$A$4&amp;")'!ak25")</f>
        <v>1</v>
      </c>
      <c r="AL25" s="22">
        <f ca="1">INDIRECT("'("&amp;$A$4&amp;")'!al25")</f>
        <v>1</v>
      </c>
      <c r="AM25" s="22">
        <f ca="1">INDIRECT("'("&amp;$A$4&amp;")'!am25")</f>
        <v>0</v>
      </c>
      <c r="AN25" s="23">
        <f t="shared" ca="1" si="7"/>
        <v>37.5</v>
      </c>
      <c r="AO25" s="22"/>
      <c r="AP25" s="21">
        <f t="shared" ca="1" si="8"/>
        <v>17</v>
      </c>
      <c r="AQ25" s="21">
        <f t="shared" ca="1" si="9"/>
        <v>50</v>
      </c>
      <c r="AR25" s="21">
        <f t="shared" ca="1" si="10"/>
        <v>17</v>
      </c>
      <c r="AS25" s="21">
        <f t="shared" ca="1" si="11"/>
        <v>3</v>
      </c>
      <c r="AT25" s="21">
        <f t="shared" ca="1" si="12"/>
        <v>1</v>
      </c>
      <c r="AU25" s="21">
        <f t="shared" ca="1" si="13"/>
        <v>0</v>
      </c>
      <c r="AV25" s="23">
        <f t="shared" ca="1" si="14"/>
        <v>31.090909090909093</v>
      </c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7" customFormat="1" ht="15" customHeight="1" x14ac:dyDescent="0.35">
      <c r="A26" s="2" t="s">
        <v>31</v>
      </c>
      <c r="B26" s="22">
        <f ca="1">INDIRECT("'("&amp;$A$4&amp;")'!b26")</f>
        <v>7</v>
      </c>
      <c r="C26" s="22">
        <f ca="1">INDIRECT("'("&amp;$A$4&amp;")'!c26")</f>
        <v>33</v>
      </c>
      <c r="D26" s="22">
        <f ca="1">INDIRECT("'("&amp;$A$4&amp;")'!d26")</f>
        <v>8</v>
      </c>
      <c r="E26" s="22">
        <f ca="1">INDIRECT("'("&amp;$A$4&amp;")'!e26")</f>
        <v>6</v>
      </c>
      <c r="F26" s="22">
        <f ca="1">INDIRECT("'("&amp;$A$4&amp;")'!f26")</f>
        <v>2</v>
      </c>
      <c r="G26" s="22">
        <f ca="1">INDIRECT("'("&amp;$A$4&amp;")'!g26")</f>
        <v>0</v>
      </c>
      <c r="H26" s="23">
        <f t="shared" ca="1" si="16"/>
        <v>33.375</v>
      </c>
      <c r="I26" s="22"/>
      <c r="J26" s="22">
        <f ca="1">INDIRECT("'("&amp;$A$4&amp;")'!j26")</f>
        <v>18</v>
      </c>
      <c r="K26" s="22">
        <f ca="1">INDIRECT("'("&amp;$A$4&amp;")'!k26")</f>
        <v>38</v>
      </c>
      <c r="L26" s="22">
        <f ca="1">INDIRECT("'("&amp;$A$4&amp;")'!l26")</f>
        <v>31</v>
      </c>
      <c r="M26" s="22">
        <f ca="1">INDIRECT("'("&amp;$A$4&amp;")'!m26")</f>
        <v>11</v>
      </c>
      <c r="N26" s="22">
        <f ca="1">INDIRECT("'("&amp;$A$4&amp;")'!n26")</f>
        <v>1</v>
      </c>
      <c r="O26" s="22">
        <f ca="1">INDIRECT("'("&amp;$A$4&amp;")'!o26")</f>
        <v>0</v>
      </c>
      <c r="P26" s="23">
        <f t="shared" ca="1" si="18"/>
        <v>34.01010101010101</v>
      </c>
      <c r="Q26" s="22"/>
      <c r="R26" s="21">
        <f t="shared" ca="1" si="19"/>
        <v>25</v>
      </c>
      <c r="S26" s="21">
        <f t="shared" ca="1" si="20"/>
        <v>71</v>
      </c>
      <c r="T26" s="21">
        <f t="shared" ca="1" si="21"/>
        <v>39</v>
      </c>
      <c r="U26" s="21">
        <f t="shared" ca="1" si="22"/>
        <v>17</v>
      </c>
      <c r="V26" s="21">
        <f t="shared" ca="1" si="23"/>
        <v>3</v>
      </c>
      <c r="W26" s="21">
        <f t="shared" ca="1" si="24"/>
        <v>0</v>
      </c>
      <c r="X26" s="23">
        <f t="shared" ca="1" si="3"/>
        <v>33.780645161290323</v>
      </c>
      <c r="Y26" s="22"/>
      <c r="Z26" s="22">
        <f ca="1">INDIRECT("'("&amp;$A$4&amp;")'!z26")</f>
        <v>1</v>
      </c>
      <c r="AA26" s="22">
        <f ca="1">INDIRECT("'("&amp;$A$4&amp;")'!aa26")</f>
        <v>1</v>
      </c>
      <c r="AB26" s="22">
        <f ca="1">INDIRECT("'("&amp;$A$4&amp;")'!ab26")</f>
        <v>0</v>
      </c>
      <c r="AC26" s="22">
        <f ca="1">INDIRECT("'("&amp;$A$4&amp;")'!ac26")</f>
        <v>0</v>
      </c>
      <c r="AD26" s="22">
        <f ca="1">INDIRECT("'("&amp;$A$4&amp;")'!ad26")</f>
        <v>0</v>
      </c>
      <c r="AE26" s="22">
        <f ca="1">INDIRECT("'("&amp;$A$4&amp;")'!ae26")</f>
        <v>0</v>
      </c>
      <c r="AF26" s="23">
        <f t="shared" ca="1" si="5"/>
        <v>25</v>
      </c>
      <c r="AG26" s="22"/>
      <c r="AH26" s="22">
        <f ca="1">INDIRECT("'("&amp;$A$4&amp;")'!ah26")</f>
        <v>8</v>
      </c>
      <c r="AI26" s="22">
        <f ca="1">INDIRECT("'("&amp;$A$4&amp;")'!ai26")</f>
        <v>18</v>
      </c>
      <c r="AJ26" s="22">
        <f ca="1">INDIRECT("'("&amp;$A$4&amp;")'!aj26")</f>
        <v>10</v>
      </c>
      <c r="AK26" s="22">
        <f ca="1">INDIRECT("'("&amp;$A$4&amp;")'!ak26")</f>
        <v>10</v>
      </c>
      <c r="AL26" s="22">
        <f ca="1">INDIRECT("'("&amp;$A$4&amp;")'!al26")</f>
        <v>6</v>
      </c>
      <c r="AM26" s="22">
        <f ca="1">INDIRECT("'("&amp;$A$4&amp;")'!am26")</f>
        <v>0</v>
      </c>
      <c r="AN26" s="23">
        <f t="shared" ca="1" si="7"/>
        <v>37.42307692307692</v>
      </c>
      <c r="AO26" s="22"/>
      <c r="AP26" s="21">
        <f t="shared" ca="1" si="8"/>
        <v>34</v>
      </c>
      <c r="AQ26" s="21">
        <f t="shared" ca="1" si="9"/>
        <v>90</v>
      </c>
      <c r="AR26" s="21">
        <f t="shared" ca="1" si="10"/>
        <v>49</v>
      </c>
      <c r="AS26" s="21">
        <f t="shared" ca="1" si="11"/>
        <v>27</v>
      </c>
      <c r="AT26" s="21">
        <f t="shared" ca="1" si="12"/>
        <v>9</v>
      </c>
      <c r="AU26" s="21">
        <f t="shared" ca="1" si="13"/>
        <v>0</v>
      </c>
      <c r="AV26" s="23">
        <f t="shared" ca="1" si="14"/>
        <v>34.602870813397132</v>
      </c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7" customFormat="1" ht="15" customHeight="1" x14ac:dyDescent="0.35">
      <c r="A27" s="2" t="s">
        <v>32</v>
      </c>
      <c r="B27" s="22">
        <f ca="1">INDIRECT("'("&amp;$A$4&amp;")'!b27")</f>
        <v>2</v>
      </c>
      <c r="C27" s="22">
        <f ca="1">INDIRECT("'("&amp;$A$4&amp;")'!c27")</f>
        <v>9</v>
      </c>
      <c r="D27" s="22">
        <f ca="1">INDIRECT("'("&amp;$A$4&amp;")'!d27")</f>
        <v>8</v>
      </c>
      <c r="E27" s="22">
        <f ca="1">INDIRECT("'("&amp;$A$4&amp;")'!e27")</f>
        <v>1</v>
      </c>
      <c r="F27" s="22">
        <f ca="1">INDIRECT("'("&amp;$A$4&amp;")'!f27")</f>
        <v>1</v>
      </c>
      <c r="G27" s="22">
        <f ca="1">INDIRECT("'("&amp;$A$4&amp;")'!g27")</f>
        <v>0</v>
      </c>
      <c r="H27" s="23">
        <f t="shared" ca="1" si="16"/>
        <v>35.261904761904759</v>
      </c>
      <c r="I27" s="22"/>
      <c r="J27" s="22">
        <f ca="1">INDIRECT("'("&amp;$A$4&amp;")'!j27")</f>
        <v>10</v>
      </c>
      <c r="K27" s="22">
        <f ca="1">INDIRECT("'("&amp;$A$4&amp;")'!k27")</f>
        <v>13</v>
      </c>
      <c r="L27" s="22">
        <f ca="1">INDIRECT("'("&amp;$A$4&amp;")'!l27")</f>
        <v>11</v>
      </c>
      <c r="M27" s="22">
        <f ca="1">INDIRECT("'("&amp;$A$4&amp;")'!m27")</f>
        <v>3</v>
      </c>
      <c r="N27" s="22">
        <f ca="1">INDIRECT("'("&amp;$A$4&amp;")'!n27")</f>
        <v>0</v>
      </c>
      <c r="O27" s="22">
        <f ca="1">INDIRECT("'("&amp;$A$4&amp;")'!o27")</f>
        <v>0</v>
      </c>
      <c r="P27" s="23">
        <f t="shared" ca="1" si="18"/>
        <v>32.081081081081081</v>
      </c>
      <c r="Q27" s="22"/>
      <c r="R27" s="21">
        <f t="shared" ca="1" si="19"/>
        <v>12</v>
      </c>
      <c r="S27" s="21">
        <f t="shared" ca="1" si="20"/>
        <v>22</v>
      </c>
      <c r="T27" s="21">
        <f t="shared" ca="1" si="21"/>
        <v>19</v>
      </c>
      <c r="U27" s="21">
        <f t="shared" ca="1" si="22"/>
        <v>4</v>
      </c>
      <c r="V27" s="21">
        <f t="shared" ca="1" si="23"/>
        <v>1</v>
      </c>
      <c r="W27" s="21">
        <f t="shared" ca="1" si="24"/>
        <v>0</v>
      </c>
      <c r="X27" s="23">
        <f t="shared" ca="1" si="3"/>
        <v>33.232758620689658</v>
      </c>
      <c r="Y27" s="22"/>
      <c r="Z27" s="22">
        <f ca="1">INDIRECT("'("&amp;$A$4&amp;")'!z27")</f>
        <v>0</v>
      </c>
      <c r="AA27" s="22">
        <f ca="1">INDIRECT("'("&amp;$A$4&amp;")'!aa27")</f>
        <v>1</v>
      </c>
      <c r="AB27" s="22">
        <f ca="1">INDIRECT("'("&amp;$A$4&amp;")'!ab27")</f>
        <v>0</v>
      </c>
      <c r="AC27" s="22">
        <f ca="1">INDIRECT("'("&amp;$A$4&amp;")'!ac27")</f>
        <v>0</v>
      </c>
      <c r="AD27" s="22">
        <f ca="1">INDIRECT("'("&amp;$A$4&amp;")'!ad27")</f>
        <v>1</v>
      </c>
      <c r="AE27" s="22">
        <f ca="1">INDIRECT("'("&amp;$A$4&amp;")'!ae27")</f>
        <v>0</v>
      </c>
      <c r="AF27" s="23">
        <f t="shared" ca="1" si="5"/>
        <v>43</v>
      </c>
      <c r="AG27" s="22"/>
      <c r="AH27" s="22">
        <f ca="1">INDIRECT("'("&amp;$A$4&amp;")'!ah27")</f>
        <v>3</v>
      </c>
      <c r="AI27" s="22">
        <f ca="1">INDIRECT("'("&amp;$A$4&amp;")'!ai27")</f>
        <v>2</v>
      </c>
      <c r="AJ27" s="22">
        <f ca="1">INDIRECT("'("&amp;$A$4&amp;")'!aj27")</f>
        <v>3</v>
      </c>
      <c r="AK27" s="22">
        <f ca="1">INDIRECT("'("&amp;$A$4&amp;")'!ak27")</f>
        <v>2</v>
      </c>
      <c r="AL27" s="22">
        <f ca="1">INDIRECT("'("&amp;$A$4&amp;")'!al27")</f>
        <v>4</v>
      </c>
      <c r="AM27" s="22">
        <f ca="1">INDIRECT("'("&amp;$A$4&amp;")'!am27")</f>
        <v>0</v>
      </c>
      <c r="AN27" s="23">
        <f t="shared" ca="1" si="7"/>
        <v>40.464285714285715</v>
      </c>
      <c r="AO27" s="22"/>
      <c r="AP27" s="21">
        <f t="shared" ca="1" si="8"/>
        <v>15</v>
      </c>
      <c r="AQ27" s="21">
        <f t="shared" ca="1" si="9"/>
        <v>25</v>
      </c>
      <c r="AR27" s="21">
        <f t="shared" ca="1" si="10"/>
        <v>22</v>
      </c>
      <c r="AS27" s="21">
        <f t="shared" ca="1" si="11"/>
        <v>6</v>
      </c>
      <c r="AT27" s="21">
        <f t="shared" ca="1" si="12"/>
        <v>6</v>
      </c>
      <c r="AU27" s="21">
        <f t="shared" ca="1" si="13"/>
        <v>0</v>
      </c>
      <c r="AV27" s="23">
        <f t="shared" ca="1" si="14"/>
        <v>34.864864864864863</v>
      </c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15" customHeight="1" x14ac:dyDescent="0.35">
      <c r="A28" s="2" t="s">
        <v>33</v>
      </c>
      <c r="B28" s="22">
        <f ca="1">INDIRECT("'("&amp;$A$4&amp;")'!b28")</f>
        <v>12</v>
      </c>
      <c r="C28" s="22">
        <f ca="1">INDIRECT("'("&amp;$A$4&amp;")'!c28")</f>
        <v>19</v>
      </c>
      <c r="D28" s="22">
        <f ca="1">INDIRECT("'("&amp;$A$4&amp;")'!d28")</f>
        <v>3</v>
      </c>
      <c r="E28" s="22">
        <f ca="1">INDIRECT("'("&amp;$A$4&amp;")'!e28")</f>
        <v>2</v>
      </c>
      <c r="F28" s="22">
        <f ca="1">INDIRECT("'("&amp;$A$4&amp;")'!f28")</f>
        <v>1</v>
      </c>
      <c r="G28" s="22">
        <f ca="1">INDIRECT("'("&amp;$A$4&amp;")'!g28")</f>
        <v>0</v>
      </c>
      <c r="H28" s="23">
        <f t="shared" ca="1" si="16"/>
        <v>29.418918918918916</v>
      </c>
      <c r="I28" s="22"/>
      <c r="J28" s="22">
        <f ca="1">INDIRECT("'("&amp;$A$4&amp;")'!j28")</f>
        <v>8</v>
      </c>
      <c r="K28" s="22">
        <f ca="1">INDIRECT("'("&amp;$A$4&amp;")'!k28")</f>
        <v>12</v>
      </c>
      <c r="L28" s="22">
        <f ca="1">INDIRECT("'("&amp;$A$4&amp;")'!l28")</f>
        <v>10</v>
      </c>
      <c r="M28" s="22">
        <f ca="1">INDIRECT("'("&amp;$A$4&amp;")'!m28")</f>
        <v>4</v>
      </c>
      <c r="N28" s="22">
        <f ca="1">INDIRECT("'("&amp;$A$4&amp;")'!n28")</f>
        <v>1</v>
      </c>
      <c r="O28" s="22">
        <f ca="1">INDIRECT("'("&amp;$A$4&amp;")'!o28")</f>
        <v>0</v>
      </c>
      <c r="P28" s="23">
        <f t="shared" ca="1" si="18"/>
        <v>33.800000000000004</v>
      </c>
      <c r="Q28" s="22"/>
      <c r="R28" s="21">
        <f t="shared" ca="1" si="19"/>
        <v>20</v>
      </c>
      <c r="S28" s="21">
        <f t="shared" ca="1" si="20"/>
        <v>31</v>
      </c>
      <c r="T28" s="21">
        <f t="shared" ca="1" si="21"/>
        <v>13</v>
      </c>
      <c r="U28" s="21">
        <f t="shared" ca="1" si="22"/>
        <v>6</v>
      </c>
      <c r="V28" s="21">
        <f t="shared" ca="1" si="23"/>
        <v>2</v>
      </c>
      <c r="W28" s="21">
        <f t="shared" ca="1" si="24"/>
        <v>0</v>
      </c>
      <c r="X28" s="23">
        <f t="shared" ca="1" si="3"/>
        <v>31.548611111111107</v>
      </c>
      <c r="Y28" s="22"/>
      <c r="Z28" s="22">
        <f ca="1">INDIRECT("'("&amp;$A$4&amp;")'!z28")</f>
        <v>0</v>
      </c>
      <c r="AA28" s="22">
        <f ca="1">INDIRECT("'("&amp;$A$4&amp;")'!aa28")</f>
        <v>0</v>
      </c>
      <c r="AB28" s="22">
        <f ca="1">INDIRECT("'("&amp;$A$4&amp;")'!ab28")</f>
        <v>0</v>
      </c>
      <c r="AC28" s="22">
        <f ca="1">INDIRECT("'("&amp;$A$4&amp;")'!ac28")</f>
        <v>0</v>
      </c>
      <c r="AD28" s="22">
        <f ca="1">INDIRECT("'("&amp;$A$4&amp;")'!ad28")</f>
        <v>0</v>
      </c>
      <c r="AE28" s="22">
        <f ca="1">INDIRECT("'("&amp;$A$4&amp;")'!ae28")</f>
        <v>0</v>
      </c>
      <c r="AF28" s="23" t="str">
        <f t="shared" ca="1" si="5"/>
        <v>-</v>
      </c>
      <c r="AG28" s="22"/>
      <c r="AH28" s="22">
        <f ca="1">INDIRECT("'("&amp;$A$4&amp;")'!ah28")</f>
        <v>3</v>
      </c>
      <c r="AI28" s="22">
        <f ca="1">INDIRECT("'("&amp;$A$4&amp;")'!ai28")</f>
        <v>6</v>
      </c>
      <c r="AJ28" s="22">
        <f ca="1">INDIRECT("'("&amp;$A$4&amp;")'!aj28")</f>
        <v>4</v>
      </c>
      <c r="AK28" s="22">
        <f ca="1">INDIRECT("'("&amp;$A$4&amp;")'!ak28")</f>
        <v>3</v>
      </c>
      <c r="AL28" s="22">
        <f ca="1">INDIRECT("'("&amp;$A$4&amp;")'!al28")</f>
        <v>4</v>
      </c>
      <c r="AM28" s="22">
        <f ca="1">INDIRECT("'("&amp;$A$4&amp;")'!am28")</f>
        <v>0</v>
      </c>
      <c r="AN28" s="23">
        <f t="shared" ca="1" si="7"/>
        <v>38.875</v>
      </c>
      <c r="AO28" s="22"/>
      <c r="AP28" s="21">
        <f t="shared" ca="1" si="8"/>
        <v>23</v>
      </c>
      <c r="AQ28" s="21">
        <f t="shared" ca="1" si="9"/>
        <v>37</v>
      </c>
      <c r="AR28" s="21">
        <f t="shared" ca="1" si="10"/>
        <v>17</v>
      </c>
      <c r="AS28" s="21">
        <f t="shared" ca="1" si="11"/>
        <v>9</v>
      </c>
      <c r="AT28" s="21">
        <f t="shared" ca="1" si="12"/>
        <v>6</v>
      </c>
      <c r="AU28" s="21">
        <f t="shared" ca="1" si="13"/>
        <v>0</v>
      </c>
      <c r="AV28" s="23">
        <f t="shared" ca="1" si="14"/>
        <v>33.141304347826086</v>
      </c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7" customFormat="1" ht="15" customHeight="1" x14ac:dyDescent="0.35">
      <c r="A29" s="2" t="s">
        <v>34</v>
      </c>
      <c r="B29" s="22">
        <f ca="1">INDIRECT("'("&amp;$A$4&amp;")'!b29")</f>
        <v>2</v>
      </c>
      <c r="C29" s="22">
        <f ca="1">INDIRECT("'("&amp;$A$4&amp;")'!c29")</f>
        <v>15</v>
      </c>
      <c r="D29" s="22">
        <f ca="1">INDIRECT("'("&amp;$A$4&amp;")'!d29")</f>
        <v>5</v>
      </c>
      <c r="E29" s="22">
        <f ca="1">INDIRECT("'("&amp;$A$4&amp;")'!e29")</f>
        <v>0</v>
      </c>
      <c r="F29" s="22">
        <f ca="1">INDIRECT("'("&amp;$A$4&amp;")'!f29")</f>
        <v>0</v>
      </c>
      <c r="G29" s="22">
        <f ca="1">INDIRECT("'("&amp;$A$4&amp;")'!g29")</f>
        <v>0</v>
      </c>
      <c r="H29" s="23">
        <f t="shared" ca="1" si="16"/>
        <v>31.477272727272727</v>
      </c>
      <c r="I29" s="22"/>
      <c r="J29" s="22">
        <f ca="1">INDIRECT("'("&amp;$A$4&amp;")'!j29")</f>
        <v>12</v>
      </c>
      <c r="K29" s="22">
        <f ca="1">INDIRECT("'("&amp;$A$4&amp;")'!k29")</f>
        <v>25</v>
      </c>
      <c r="L29" s="22">
        <f ca="1">INDIRECT("'("&amp;$A$4&amp;")'!l29")</f>
        <v>7</v>
      </c>
      <c r="M29" s="22">
        <f ca="1">INDIRECT("'("&amp;$A$4&amp;")'!m29")</f>
        <v>2</v>
      </c>
      <c r="N29" s="22">
        <f ca="1">INDIRECT("'("&amp;$A$4&amp;")'!n29")</f>
        <v>0</v>
      </c>
      <c r="O29" s="22">
        <f ca="1">INDIRECT("'("&amp;$A$4&amp;")'!o29")</f>
        <v>0</v>
      </c>
      <c r="P29" s="23">
        <f t="shared" ca="1" si="18"/>
        <v>29.880434782608695</v>
      </c>
      <c r="Q29" s="22"/>
      <c r="R29" s="21">
        <f t="shared" ca="1" si="19"/>
        <v>14</v>
      </c>
      <c r="S29" s="21">
        <f t="shared" ca="1" si="20"/>
        <v>40</v>
      </c>
      <c r="T29" s="21">
        <f t="shared" ca="1" si="21"/>
        <v>12</v>
      </c>
      <c r="U29" s="21">
        <f t="shared" ca="1" si="22"/>
        <v>2</v>
      </c>
      <c r="V29" s="21">
        <f t="shared" ca="1" si="23"/>
        <v>0</v>
      </c>
      <c r="W29" s="21">
        <f t="shared" ca="1" si="24"/>
        <v>0</v>
      </c>
      <c r="X29" s="23">
        <f t="shared" ca="1" si="3"/>
        <v>30.397058823529413</v>
      </c>
      <c r="Y29" s="22"/>
      <c r="Z29" s="22">
        <f ca="1">INDIRECT("'("&amp;$A$4&amp;")'!z29")</f>
        <v>0</v>
      </c>
      <c r="AA29" s="22">
        <f ca="1">INDIRECT("'("&amp;$A$4&amp;")'!aa29")</f>
        <v>1</v>
      </c>
      <c r="AB29" s="22">
        <f ca="1">INDIRECT("'("&amp;$A$4&amp;")'!ab29")</f>
        <v>1</v>
      </c>
      <c r="AC29" s="22">
        <f ca="1">INDIRECT("'("&amp;$A$4&amp;")'!ac29")</f>
        <v>0</v>
      </c>
      <c r="AD29" s="22">
        <f ca="1">INDIRECT("'("&amp;$A$4&amp;")'!ad29")</f>
        <v>0</v>
      </c>
      <c r="AE29" s="22">
        <f ca="1">INDIRECT("'("&amp;$A$4&amp;")'!ae29")</f>
        <v>0</v>
      </c>
      <c r="AF29" s="23">
        <f t="shared" ca="1" si="5"/>
        <v>35.25</v>
      </c>
      <c r="AG29" s="22"/>
      <c r="AH29" s="22">
        <f ca="1">INDIRECT("'("&amp;$A$4&amp;")'!ah29")</f>
        <v>5</v>
      </c>
      <c r="AI29" s="22">
        <f ca="1">INDIRECT("'("&amp;$A$4&amp;")'!ai29")</f>
        <v>10</v>
      </c>
      <c r="AJ29" s="22">
        <f ca="1">INDIRECT("'("&amp;$A$4&amp;")'!aj29")</f>
        <v>4</v>
      </c>
      <c r="AK29" s="22">
        <f ca="1">INDIRECT("'("&amp;$A$4&amp;")'!ak29")</f>
        <v>9</v>
      </c>
      <c r="AL29" s="22">
        <f ca="1">INDIRECT("'("&amp;$A$4&amp;")'!al29")</f>
        <v>6</v>
      </c>
      <c r="AM29" s="22">
        <f ca="1">INDIRECT("'("&amp;$A$4&amp;")'!am29")</f>
        <v>0</v>
      </c>
      <c r="AN29" s="23">
        <f t="shared" ca="1" si="7"/>
        <v>39.779411764705884</v>
      </c>
      <c r="AO29" s="22"/>
      <c r="AP29" s="21">
        <f t="shared" ca="1" si="8"/>
        <v>19</v>
      </c>
      <c r="AQ29" s="21">
        <f t="shared" ca="1" si="9"/>
        <v>51</v>
      </c>
      <c r="AR29" s="21">
        <f t="shared" ca="1" si="10"/>
        <v>17</v>
      </c>
      <c r="AS29" s="21">
        <f t="shared" ca="1" si="11"/>
        <v>11</v>
      </c>
      <c r="AT29" s="21">
        <f t="shared" ca="1" si="12"/>
        <v>6</v>
      </c>
      <c r="AU29" s="21">
        <f t="shared" ca="1" si="13"/>
        <v>0</v>
      </c>
      <c r="AV29" s="23">
        <f t="shared" ca="1" si="14"/>
        <v>33.557692307692307</v>
      </c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7" customFormat="1" ht="15" customHeight="1" x14ac:dyDescent="0.35">
      <c r="A30" s="2" t="s">
        <v>35</v>
      </c>
      <c r="B30" s="22">
        <f ca="1">INDIRECT("'("&amp;$A$4&amp;")'!b30")</f>
        <v>0</v>
      </c>
      <c r="C30" s="22">
        <f ca="1">INDIRECT("'("&amp;$A$4&amp;")'!c30")</f>
        <v>0</v>
      </c>
      <c r="D30" s="22">
        <f ca="1">INDIRECT("'("&amp;$A$4&amp;")'!d30")</f>
        <v>0</v>
      </c>
      <c r="E30" s="22">
        <f ca="1">INDIRECT("'("&amp;$A$4&amp;")'!e30")</f>
        <v>0</v>
      </c>
      <c r="F30" s="22">
        <f ca="1">INDIRECT("'("&amp;$A$4&amp;")'!f30")</f>
        <v>0</v>
      </c>
      <c r="G30" s="22">
        <f ca="1">INDIRECT("'("&amp;$A$4&amp;")'!g30")</f>
        <v>0</v>
      </c>
      <c r="H30" s="23" t="str">
        <f t="shared" ca="1" si="16"/>
        <v>-</v>
      </c>
      <c r="I30" s="22"/>
      <c r="J30" s="22">
        <f ca="1">INDIRECT("'("&amp;$A$4&amp;")'!j30")</f>
        <v>0</v>
      </c>
      <c r="K30" s="22">
        <f ca="1">INDIRECT("'("&amp;$A$4&amp;")'!k30")</f>
        <v>0</v>
      </c>
      <c r="L30" s="22">
        <f ca="1">INDIRECT("'("&amp;$A$4&amp;")'!l30")</f>
        <v>0</v>
      </c>
      <c r="M30" s="22">
        <f ca="1">INDIRECT("'("&amp;$A$4&amp;")'!m30")</f>
        <v>0</v>
      </c>
      <c r="N30" s="22">
        <f ca="1">INDIRECT("'("&amp;$A$4&amp;")'!n30")</f>
        <v>0</v>
      </c>
      <c r="O30" s="22">
        <f ca="1">INDIRECT("'("&amp;$A$4&amp;")'!o30")</f>
        <v>0</v>
      </c>
      <c r="P30" s="23" t="str">
        <f t="shared" ca="1" si="18"/>
        <v>-</v>
      </c>
      <c r="Q30" s="22"/>
      <c r="R30" s="21">
        <f t="shared" ca="1" si="19"/>
        <v>0</v>
      </c>
      <c r="S30" s="21">
        <f t="shared" ca="1" si="20"/>
        <v>0</v>
      </c>
      <c r="T30" s="21">
        <f t="shared" ca="1" si="21"/>
        <v>0</v>
      </c>
      <c r="U30" s="21">
        <f t="shared" ca="1" si="22"/>
        <v>0</v>
      </c>
      <c r="V30" s="21">
        <f t="shared" ca="1" si="23"/>
        <v>0</v>
      </c>
      <c r="W30" s="21">
        <f t="shared" ca="1" si="24"/>
        <v>0</v>
      </c>
      <c r="X30" s="23" t="str">
        <f t="shared" ca="1" si="3"/>
        <v>-</v>
      </c>
      <c r="Y30" s="22"/>
      <c r="Z30" s="22">
        <f ca="1">INDIRECT("'("&amp;$A$4&amp;")'!z30")</f>
        <v>0</v>
      </c>
      <c r="AA30" s="22">
        <f ca="1">INDIRECT("'("&amp;$A$4&amp;")'!aa30")</f>
        <v>0</v>
      </c>
      <c r="AB30" s="22">
        <f ca="1">INDIRECT("'("&amp;$A$4&amp;")'!ab30")</f>
        <v>0</v>
      </c>
      <c r="AC30" s="22">
        <f ca="1">INDIRECT("'("&amp;$A$4&amp;")'!ac30")</f>
        <v>0</v>
      </c>
      <c r="AD30" s="22">
        <f ca="1">INDIRECT("'("&amp;$A$4&amp;")'!ad30")</f>
        <v>0</v>
      </c>
      <c r="AE30" s="22">
        <f ca="1">INDIRECT("'("&amp;$A$4&amp;")'!ae30")</f>
        <v>0</v>
      </c>
      <c r="AF30" s="23" t="str">
        <f t="shared" ca="1" si="5"/>
        <v>-</v>
      </c>
      <c r="AG30" s="22"/>
      <c r="AH30" s="22">
        <f ca="1">INDIRECT("'("&amp;$A$4&amp;")'!ah30")</f>
        <v>0</v>
      </c>
      <c r="AI30" s="22">
        <f ca="1">INDIRECT("'("&amp;$A$4&amp;")'!ai30")</f>
        <v>0</v>
      </c>
      <c r="AJ30" s="22">
        <f ca="1">INDIRECT("'("&amp;$A$4&amp;")'!aj30")</f>
        <v>0</v>
      </c>
      <c r="AK30" s="22">
        <f ca="1">INDIRECT("'("&amp;$A$4&amp;")'!ak30")</f>
        <v>1</v>
      </c>
      <c r="AL30" s="22">
        <f ca="1">INDIRECT("'("&amp;$A$4&amp;")'!al30")</f>
        <v>1</v>
      </c>
      <c r="AM30" s="22">
        <f ca="1">INDIRECT("'("&amp;$A$4&amp;")'!am30")</f>
        <v>0</v>
      </c>
      <c r="AN30" s="23">
        <f t="shared" ca="1" si="7"/>
        <v>53.25</v>
      </c>
      <c r="AO30" s="22"/>
      <c r="AP30" s="21">
        <f t="shared" ca="1" si="8"/>
        <v>0</v>
      </c>
      <c r="AQ30" s="21">
        <f t="shared" ca="1" si="9"/>
        <v>0</v>
      </c>
      <c r="AR30" s="21">
        <f t="shared" ca="1" si="10"/>
        <v>0</v>
      </c>
      <c r="AS30" s="21">
        <f t="shared" ca="1" si="11"/>
        <v>1</v>
      </c>
      <c r="AT30" s="21">
        <f t="shared" ca="1" si="12"/>
        <v>1</v>
      </c>
      <c r="AU30" s="21">
        <f t="shared" ca="1" si="13"/>
        <v>0</v>
      </c>
      <c r="AV30" s="23">
        <f t="shared" ca="1" si="14"/>
        <v>53.25</v>
      </c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15" customHeight="1" x14ac:dyDescent="0.35">
      <c r="A31" s="3" t="s">
        <v>36</v>
      </c>
      <c r="B31" s="22">
        <f ca="1">INDIRECT("'("&amp;$A$4&amp;")'!b31")</f>
        <v>2</v>
      </c>
      <c r="C31" s="22">
        <f ca="1">INDIRECT("'("&amp;$A$4&amp;")'!c31")</f>
        <v>21</v>
      </c>
      <c r="D31" s="22">
        <f ca="1">INDIRECT("'("&amp;$A$4&amp;")'!d31")</f>
        <v>4</v>
      </c>
      <c r="E31" s="22">
        <f ca="1">INDIRECT("'("&amp;$A$4&amp;")'!e31")</f>
        <v>2</v>
      </c>
      <c r="F31" s="22">
        <f ca="1">INDIRECT("'("&amp;$A$4&amp;")'!f31")</f>
        <v>0</v>
      </c>
      <c r="G31" s="22">
        <f ca="1">INDIRECT("'("&amp;$A$4&amp;")'!g31")</f>
        <v>0</v>
      </c>
      <c r="H31" s="23">
        <f t="shared" ca="1" si="16"/>
        <v>32.172413793103452</v>
      </c>
      <c r="I31" s="22"/>
      <c r="J31" s="22">
        <f ca="1">INDIRECT("'("&amp;$A$4&amp;")'!j31")</f>
        <v>16</v>
      </c>
      <c r="K31" s="22">
        <f ca="1">INDIRECT("'("&amp;$A$4&amp;")'!k31")</f>
        <v>30</v>
      </c>
      <c r="L31" s="22">
        <f ca="1">INDIRECT("'("&amp;$A$4&amp;")'!l31")</f>
        <v>7</v>
      </c>
      <c r="M31" s="22">
        <f ca="1">INDIRECT("'("&amp;$A$4&amp;")'!m31")</f>
        <v>2</v>
      </c>
      <c r="N31" s="22">
        <f ca="1">INDIRECT("'("&amp;$A$4&amp;")'!n31")</f>
        <v>1</v>
      </c>
      <c r="O31" s="22">
        <f ca="1">INDIRECT("'("&amp;$A$4&amp;")'!o31")</f>
        <v>0</v>
      </c>
      <c r="P31" s="23">
        <f t="shared" ca="1" si="18"/>
        <v>29.651785714285712</v>
      </c>
      <c r="Q31" s="22"/>
      <c r="R31" s="21">
        <f t="shared" ca="1" si="19"/>
        <v>18</v>
      </c>
      <c r="S31" s="21">
        <f t="shared" ca="1" si="20"/>
        <v>51</v>
      </c>
      <c r="T31" s="21">
        <f t="shared" ca="1" si="21"/>
        <v>11</v>
      </c>
      <c r="U31" s="21">
        <f t="shared" ca="1" si="22"/>
        <v>4</v>
      </c>
      <c r="V31" s="21">
        <f t="shared" ca="1" si="23"/>
        <v>1</v>
      </c>
      <c r="W31" s="21">
        <f t="shared" ca="1" si="24"/>
        <v>0</v>
      </c>
      <c r="X31" s="23">
        <f t="shared" ca="1" si="3"/>
        <v>30.511764705882353</v>
      </c>
      <c r="Y31" s="22"/>
      <c r="Z31" s="22">
        <f ca="1">INDIRECT("'("&amp;$A$4&amp;")'!z31")</f>
        <v>1</v>
      </c>
      <c r="AA31" s="22">
        <f ca="1">INDIRECT("'("&amp;$A$4&amp;")'!aa31")</f>
        <v>4</v>
      </c>
      <c r="AB31" s="22">
        <f ca="1">INDIRECT("'("&amp;$A$4&amp;")'!ab31")</f>
        <v>2</v>
      </c>
      <c r="AC31" s="22">
        <f ca="1">INDIRECT("'("&amp;$A$4&amp;")'!ac31")</f>
        <v>1</v>
      </c>
      <c r="AD31" s="22">
        <f ca="1">INDIRECT("'("&amp;$A$4&amp;")'!ad31")</f>
        <v>0</v>
      </c>
      <c r="AE31" s="22">
        <f ca="1">INDIRECT("'("&amp;$A$4&amp;")'!ae31")</f>
        <v>0</v>
      </c>
      <c r="AF31" s="23">
        <f t="shared" ca="1" si="5"/>
        <v>33.9375</v>
      </c>
      <c r="AG31" s="22"/>
      <c r="AH31" s="22">
        <f ca="1">INDIRECT("'("&amp;$A$4&amp;")'!ah31")</f>
        <v>12</v>
      </c>
      <c r="AI31" s="22">
        <f ca="1">INDIRECT("'("&amp;$A$4&amp;")'!ai31")</f>
        <v>13</v>
      </c>
      <c r="AJ31" s="22">
        <f ca="1">INDIRECT("'("&amp;$A$4&amp;")'!aj31")</f>
        <v>14</v>
      </c>
      <c r="AK31" s="22">
        <f ca="1">INDIRECT("'("&amp;$A$4&amp;")'!ak31")</f>
        <v>9</v>
      </c>
      <c r="AL31" s="22">
        <f ca="1">INDIRECT("'("&amp;$A$4&amp;")'!al31")</f>
        <v>4</v>
      </c>
      <c r="AM31" s="22">
        <f ca="1">INDIRECT("'("&amp;$A$4&amp;")'!am31")</f>
        <v>0</v>
      </c>
      <c r="AN31" s="23">
        <f t="shared" ca="1" si="7"/>
        <v>36.067307692307693</v>
      </c>
      <c r="AO31" s="22"/>
      <c r="AP31" s="21">
        <f t="shared" ca="1" si="8"/>
        <v>31</v>
      </c>
      <c r="AQ31" s="21">
        <f t="shared" ca="1" si="9"/>
        <v>68</v>
      </c>
      <c r="AR31" s="21">
        <f t="shared" ca="1" si="10"/>
        <v>27</v>
      </c>
      <c r="AS31" s="21">
        <f t="shared" ca="1" si="11"/>
        <v>14</v>
      </c>
      <c r="AT31" s="21">
        <f t="shared" ca="1" si="12"/>
        <v>5</v>
      </c>
      <c r="AU31" s="21">
        <f t="shared" ca="1" si="13"/>
        <v>0</v>
      </c>
      <c r="AV31" s="23">
        <f t="shared" ca="1" si="14"/>
        <v>32.693103448275863</v>
      </c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7" customFormat="1" ht="15" customHeight="1" x14ac:dyDescent="0.35">
      <c r="A32" s="3" t="s">
        <v>37</v>
      </c>
      <c r="B32" s="22">
        <f ca="1">INDIRECT("'("&amp;$A$4&amp;")'!b32")</f>
        <v>4</v>
      </c>
      <c r="C32" s="22">
        <f ca="1">INDIRECT("'("&amp;$A$4&amp;")'!c32")</f>
        <v>37</v>
      </c>
      <c r="D32" s="22">
        <f ca="1">INDIRECT("'("&amp;$A$4&amp;")'!d32")</f>
        <v>9</v>
      </c>
      <c r="E32" s="22">
        <f ca="1">INDIRECT("'("&amp;$A$4&amp;")'!e32")</f>
        <v>6</v>
      </c>
      <c r="F32" s="22">
        <f ca="1">INDIRECT("'("&amp;$A$4&amp;")'!f32")</f>
        <v>0</v>
      </c>
      <c r="G32" s="22">
        <f ca="1">INDIRECT("'("&amp;$A$4&amp;")'!g32")</f>
        <v>0</v>
      </c>
      <c r="H32" s="23">
        <f t="shared" ca="1" si="16"/>
        <v>33.169642857142854</v>
      </c>
      <c r="I32" s="22"/>
      <c r="J32" s="22">
        <f ca="1">INDIRECT("'("&amp;$A$4&amp;")'!j32")</f>
        <v>18</v>
      </c>
      <c r="K32" s="22">
        <f ca="1">INDIRECT("'("&amp;$A$4&amp;")'!k32")</f>
        <v>18</v>
      </c>
      <c r="L32" s="22">
        <f ca="1">INDIRECT("'("&amp;$A$4&amp;")'!l32")</f>
        <v>12</v>
      </c>
      <c r="M32" s="22">
        <f ca="1">INDIRECT("'("&amp;$A$4&amp;")'!m32")</f>
        <v>9</v>
      </c>
      <c r="N32" s="22">
        <f ca="1">INDIRECT("'("&amp;$A$4&amp;")'!n32")</f>
        <v>0</v>
      </c>
      <c r="O32" s="22">
        <f ca="1">INDIRECT("'("&amp;$A$4&amp;")'!o32")</f>
        <v>0</v>
      </c>
      <c r="P32" s="23">
        <f t="shared" ca="1" si="18"/>
        <v>32.28947368421052</v>
      </c>
      <c r="Q32" s="22"/>
      <c r="R32" s="21">
        <f t="shared" ca="1" si="19"/>
        <v>22</v>
      </c>
      <c r="S32" s="21">
        <f t="shared" ca="1" si="20"/>
        <v>55</v>
      </c>
      <c r="T32" s="21">
        <f t="shared" ca="1" si="21"/>
        <v>21</v>
      </c>
      <c r="U32" s="21">
        <f t="shared" ca="1" si="22"/>
        <v>15</v>
      </c>
      <c r="V32" s="21">
        <f t="shared" ca="1" si="23"/>
        <v>0</v>
      </c>
      <c r="W32" s="21">
        <f t="shared" ca="1" si="24"/>
        <v>0</v>
      </c>
      <c r="X32" s="23">
        <f t="shared" ca="1" si="3"/>
        <v>32.725663716814161</v>
      </c>
      <c r="Y32" s="22"/>
      <c r="Z32" s="22">
        <f ca="1">INDIRECT("'("&amp;$A$4&amp;")'!z32")</f>
        <v>0</v>
      </c>
      <c r="AA32" s="22">
        <f ca="1">INDIRECT("'("&amp;$A$4&amp;")'!aa32")</f>
        <v>0</v>
      </c>
      <c r="AB32" s="22">
        <f ca="1">INDIRECT("'("&amp;$A$4&amp;")'!ab32")</f>
        <v>0</v>
      </c>
      <c r="AC32" s="22">
        <f ca="1">INDIRECT("'("&amp;$A$4&amp;")'!ac32")</f>
        <v>0</v>
      </c>
      <c r="AD32" s="22">
        <f ca="1">INDIRECT("'("&amp;$A$4&amp;")'!ad32")</f>
        <v>0</v>
      </c>
      <c r="AE32" s="22">
        <f ca="1">INDIRECT("'("&amp;$A$4&amp;")'!ae32")</f>
        <v>0</v>
      </c>
      <c r="AF32" s="23" t="str">
        <f t="shared" ca="1" si="5"/>
        <v>-</v>
      </c>
      <c r="AG32" s="22"/>
      <c r="AH32" s="22">
        <f ca="1">INDIRECT("'("&amp;$A$4&amp;")'!ah32")</f>
        <v>11</v>
      </c>
      <c r="AI32" s="22">
        <f ca="1">INDIRECT("'("&amp;$A$4&amp;")'!ai32")</f>
        <v>14</v>
      </c>
      <c r="AJ32" s="22">
        <f ca="1">INDIRECT("'("&amp;$A$4&amp;")'!aj32")</f>
        <v>14</v>
      </c>
      <c r="AK32" s="22">
        <f ca="1">INDIRECT("'("&amp;$A$4&amp;")'!ak32")</f>
        <v>1</v>
      </c>
      <c r="AL32" s="22">
        <f ca="1">INDIRECT("'("&amp;$A$4&amp;")'!al32")</f>
        <v>5</v>
      </c>
      <c r="AM32" s="22">
        <f ca="1">INDIRECT("'("&amp;$A$4&amp;")'!am32")</f>
        <v>0</v>
      </c>
      <c r="AN32" s="23">
        <f t="shared" ca="1" si="7"/>
        <v>34.166666666666671</v>
      </c>
      <c r="AO32" s="22"/>
      <c r="AP32" s="21">
        <f t="shared" ca="1" si="8"/>
        <v>33</v>
      </c>
      <c r="AQ32" s="21">
        <f t="shared" ca="1" si="9"/>
        <v>69</v>
      </c>
      <c r="AR32" s="21">
        <f t="shared" ca="1" si="10"/>
        <v>35</v>
      </c>
      <c r="AS32" s="21">
        <f t="shared" ca="1" si="11"/>
        <v>16</v>
      </c>
      <c r="AT32" s="21">
        <f t="shared" ca="1" si="12"/>
        <v>5</v>
      </c>
      <c r="AU32" s="21">
        <f t="shared" ca="1" si="13"/>
        <v>0</v>
      </c>
      <c r="AV32" s="23">
        <f t="shared" ca="1" si="14"/>
        <v>33.13607594936709</v>
      </c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7" customFormat="1" ht="15" customHeight="1" x14ac:dyDescent="0.35">
      <c r="A33" s="2" t="s">
        <v>38</v>
      </c>
      <c r="B33" s="22">
        <f ca="1">INDIRECT("'("&amp;$A$4&amp;")'!b33")</f>
        <v>4</v>
      </c>
      <c r="C33" s="22">
        <f ca="1">INDIRECT("'("&amp;$A$4&amp;")'!c33")</f>
        <v>17</v>
      </c>
      <c r="D33" s="22">
        <f ca="1">INDIRECT("'("&amp;$A$4&amp;")'!d33")</f>
        <v>4</v>
      </c>
      <c r="E33" s="22">
        <f ca="1">INDIRECT("'("&amp;$A$4&amp;")'!e33")</f>
        <v>0</v>
      </c>
      <c r="F33" s="22">
        <f ca="1">INDIRECT("'("&amp;$A$4&amp;")'!f33")</f>
        <v>0</v>
      </c>
      <c r="G33" s="22">
        <f ca="1">INDIRECT("'("&amp;$A$4&amp;")'!g33")</f>
        <v>0</v>
      </c>
      <c r="H33" s="23">
        <f t="shared" ca="1" si="16"/>
        <v>30.080000000000002</v>
      </c>
      <c r="I33" s="22"/>
      <c r="J33" s="22">
        <f ca="1">INDIRECT("'("&amp;$A$4&amp;")'!j33")</f>
        <v>4</v>
      </c>
      <c r="K33" s="22">
        <f ca="1">INDIRECT("'("&amp;$A$4&amp;")'!k33")</f>
        <v>13</v>
      </c>
      <c r="L33" s="22">
        <f ca="1">INDIRECT("'("&amp;$A$4&amp;")'!l33")</f>
        <v>8</v>
      </c>
      <c r="M33" s="22">
        <f ca="1">INDIRECT("'("&amp;$A$4&amp;")'!m33")</f>
        <v>2</v>
      </c>
      <c r="N33" s="22">
        <f ca="1">INDIRECT("'("&amp;$A$4&amp;")'!n33")</f>
        <v>0</v>
      </c>
      <c r="O33" s="22">
        <f ca="1">INDIRECT("'("&amp;$A$4&amp;")'!o33")</f>
        <v>0</v>
      </c>
      <c r="P33" s="23">
        <f t="shared" ca="1" si="18"/>
        <v>33.148148148148145</v>
      </c>
      <c r="Q33" s="22"/>
      <c r="R33" s="21">
        <f t="shared" ca="1" si="19"/>
        <v>8</v>
      </c>
      <c r="S33" s="21">
        <f t="shared" ca="1" si="20"/>
        <v>30</v>
      </c>
      <c r="T33" s="21">
        <f t="shared" ca="1" si="21"/>
        <v>12</v>
      </c>
      <c r="U33" s="21">
        <f t="shared" ca="1" si="22"/>
        <v>2</v>
      </c>
      <c r="V33" s="21">
        <f t="shared" ca="1" si="23"/>
        <v>0</v>
      </c>
      <c r="W33" s="21">
        <f t="shared" ca="1" si="24"/>
        <v>0</v>
      </c>
      <c r="X33" s="23">
        <f t="shared" ca="1" si="3"/>
        <v>31.673076923076923</v>
      </c>
      <c r="Y33" s="22"/>
      <c r="Z33" s="22">
        <f ca="1">INDIRECT("'("&amp;$A$4&amp;")'!z33")</f>
        <v>0</v>
      </c>
      <c r="AA33" s="22">
        <f ca="1">INDIRECT("'("&amp;$A$4&amp;")'!aa33")</f>
        <v>2</v>
      </c>
      <c r="AB33" s="22">
        <f ca="1">INDIRECT("'("&amp;$A$4&amp;")'!ab33")</f>
        <v>0</v>
      </c>
      <c r="AC33" s="22">
        <f ca="1">INDIRECT("'("&amp;$A$4&amp;")'!ac33")</f>
        <v>0</v>
      </c>
      <c r="AD33" s="22">
        <f ca="1">INDIRECT("'("&amp;$A$4&amp;")'!ad33")</f>
        <v>0</v>
      </c>
      <c r="AE33" s="22">
        <f ca="1">INDIRECT("'("&amp;$A$4&amp;")'!ae33")</f>
        <v>0</v>
      </c>
      <c r="AF33" s="23">
        <f t="shared" ca="1" si="5"/>
        <v>30</v>
      </c>
      <c r="AG33" s="22"/>
      <c r="AH33" s="22">
        <f ca="1">INDIRECT("'("&amp;$A$4&amp;")'!ah33")</f>
        <v>1</v>
      </c>
      <c r="AI33" s="22">
        <f ca="1">INDIRECT("'("&amp;$A$4&amp;")'!ai33")</f>
        <v>4</v>
      </c>
      <c r="AJ33" s="22">
        <f ca="1">INDIRECT("'("&amp;$A$4&amp;")'!aj33")</f>
        <v>2</v>
      </c>
      <c r="AK33" s="22">
        <f ca="1">INDIRECT("'("&amp;$A$4&amp;")'!ak33")</f>
        <v>5</v>
      </c>
      <c r="AL33" s="22">
        <f ca="1">INDIRECT("'("&amp;$A$4&amp;")'!al33")</f>
        <v>0</v>
      </c>
      <c r="AM33" s="22">
        <f ca="1">INDIRECT("'("&amp;$A$4&amp;")'!am33")</f>
        <v>0</v>
      </c>
      <c r="AN33" s="23">
        <f t="shared" ca="1" si="7"/>
        <v>39.458333333333329</v>
      </c>
      <c r="AO33" s="22"/>
      <c r="AP33" s="21">
        <f t="shared" ca="1" si="8"/>
        <v>9</v>
      </c>
      <c r="AQ33" s="21">
        <f t="shared" ca="1" si="9"/>
        <v>36</v>
      </c>
      <c r="AR33" s="21">
        <f t="shared" ca="1" si="10"/>
        <v>14</v>
      </c>
      <c r="AS33" s="21">
        <f t="shared" ca="1" si="11"/>
        <v>7</v>
      </c>
      <c r="AT33" s="21">
        <f t="shared" ca="1" si="12"/>
        <v>0</v>
      </c>
      <c r="AU33" s="21">
        <f t="shared" ca="1" si="13"/>
        <v>0</v>
      </c>
      <c r="AV33" s="23">
        <f t="shared" ca="1" si="14"/>
        <v>33.037878787878789</v>
      </c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15" customHeight="1" x14ac:dyDescent="0.35">
      <c r="A34" s="3" t="s">
        <v>39</v>
      </c>
      <c r="B34" s="22">
        <f ca="1">INDIRECT("'("&amp;$A$4&amp;")'!b34")</f>
        <v>0</v>
      </c>
      <c r="C34" s="22">
        <f ca="1">INDIRECT("'("&amp;$A$4&amp;")'!c34")</f>
        <v>4</v>
      </c>
      <c r="D34" s="22">
        <f ca="1">INDIRECT("'("&amp;$A$4&amp;")'!d34")</f>
        <v>3</v>
      </c>
      <c r="E34" s="22">
        <f ca="1">INDIRECT("'("&amp;$A$4&amp;")'!e34")</f>
        <v>3</v>
      </c>
      <c r="F34" s="22">
        <f ca="1">INDIRECT("'("&amp;$A$4&amp;")'!f34")</f>
        <v>0</v>
      </c>
      <c r="G34" s="22">
        <f ca="1">INDIRECT("'("&amp;$A$4&amp;")'!g34")</f>
        <v>0</v>
      </c>
      <c r="H34" s="23">
        <f t="shared" ca="1" si="16"/>
        <v>39.299999999999997</v>
      </c>
      <c r="I34" s="22"/>
      <c r="J34" s="22">
        <f ca="1">INDIRECT("'("&amp;$A$4&amp;")'!j34")</f>
        <v>14</v>
      </c>
      <c r="K34" s="22">
        <f ca="1">INDIRECT("'("&amp;$A$4&amp;")'!k34")</f>
        <v>23</v>
      </c>
      <c r="L34" s="22">
        <f ca="1">INDIRECT("'("&amp;$A$4&amp;")'!l34")</f>
        <v>5</v>
      </c>
      <c r="M34" s="22">
        <f ca="1">INDIRECT("'("&amp;$A$4&amp;")'!m34")</f>
        <v>3</v>
      </c>
      <c r="N34" s="22">
        <f ca="1">INDIRECT("'("&amp;$A$4&amp;")'!n34")</f>
        <v>0</v>
      </c>
      <c r="O34" s="22">
        <f ca="1">INDIRECT("'("&amp;$A$4&amp;")'!o34")</f>
        <v>0</v>
      </c>
      <c r="P34" s="23">
        <f t="shared" ca="1" si="18"/>
        <v>29.422222222222221</v>
      </c>
      <c r="Q34" s="22"/>
      <c r="R34" s="21">
        <f t="shared" ca="1" si="19"/>
        <v>14</v>
      </c>
      <c r="S34" s="21">
        <f t="shared" ca="1" si="20"/>
        <v>27</v>
      </c>
      <c r="T34" s="21">
        <f t="shared" ca="1" si="21"/>
        <v>8</v>
      </c>
      <c r="U34" s="21">
        <f t="shared" ca="1" si="22"/>
        <v>6</v>
      </c>
      <c r="V34" s="21">
        <f t="shared" ca="1" si="23"/>
        <v>0</v>
      </c>
      <c r="W34" s="21">
        <f t="shared" ca="1" si="24"/>
        <v>0</v>
      </c>
      <c r="X34" s="23">
        <f t="shared" ca="1" si="3"/>
        <v>31.218181818181815</v>
      </c>
      <c r="Y34" s="22"/>
      <c r="Z34" s="22">
        <f ca="1">INDIRECT("'("&amp;$A$4&amp;")'!z34")</f>
        <v>2</v>
      </c>
      <c r="AA34" s="22">
        <f ca="1">INDIRECT("'("&amp;$A$4&amp;")'!aa34")</f>
        <v>0</v>
      </c>
      <c r="AB34" s="22">
        <f ca="1">INDIRECT("'("&amp;$A$4&amp;")'!ab34")</f>
        <v>0</v>
      </c>
      <c r="AC34" s="22">
        <f ca="1">INDIRECT("'("&amp;$A$4&amp;")'!ac34")</f>
        <v>0</v>
      </c>
      <c r="AD34" s="22">
        <f ca="1">INDIRECT("'("&amp;$A$4&amp;")'!ad34")</f>
        <v>0</v>
      </c>
      <c r="AE34" s="22">
        <f ca="1">INDIRECT("'("&amp;$A$4&amp;")'!ae34")</f>
        <v>0</v>
      </c>
      <c r="AF34" s="23">
        <f t="shared" ca="1" si="5"/>
        <v>20</v>
      </c>
      <c r="AG34" s="22"/>
      <c r="AH34" s="22">
        <f ca="1">INDIRECT("'("&amp;$A$4&amp;")'!ah34")</f>
        <v>0</v>
      </c>
      <c r="AI34" s="22">
        <f ca="1">INDIRECT("'("&amp;$A$4&amp;")'!ai34")</f>
        <v>3</v>
      </c>
      <c r="AJ34" s="22">
        <f ca="1">INDIRECT("'("&amp;$A$4&amp;")'!aj34")</f>
        <v>0</v>
      </c>
      <c r="AK34" s="22">
        <f ca="1">INDIRECT("'("&amp;$A$4&amp;")'!ak34")</f>
        <v>0</v>
      </c>
      <c r="AL34" s="22">
        <f ca="1">INDIRECT("'("&amp;$A$4&amp;")'!al34")</f>
        <v>0</v>
      </c>
      <c r="AM34" s="22">
        <f ca="1">INDIRECT("'("&amp;$A$4&amp;")'!am34")</f>
        <v>0</v>
      </c>
      <c r="AN34" s="23">
        <f t="shared" ca="1" si="7"/>
        <v>30</v>
      </c>
      <c r="AO34" s="22"/>
      <c r="AP34" s="21">
        <f t="shared" ca="1" si="8"/>
        <v>16</v>
      </c>
      <c r="AQ34" s="21">
        <f t="shared" ca="1" si="9"/>
        <v>30</v>
      </c>
      <c r="AR34" s="21">
        <f t="shared" ca="1" si="10"/>
        <v>8</v>
      </c>
      <c r="AS34" s="21">
        <f t="shared" ca="1" si="11"/>
        <v>6</v>
      </c>
      <c r="AT34" s="21">
        <f t="shared" ca="1" si="12"/>
        <v>0</v>
      </c>
      <c r="AU34" s="21">
        <f t="shared" ca="1" si="13"/>
        <v>0</v>
      </c>
      <c r="AV34" s="23">
        <f t="shared" ca="1" si="14"/>
        <v>30.783333333333335</v>
      </c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7" customFormat="1" ht="15" customHeight="1" x14ac:dyDescent="0.35">
      <c r="A35" s="3" t="s">
        <v>40</v>
      </c>
      <c r="B35" s="22">
        <f ca="1">INDIRECT("'("&amp;$A$4&amp;")'!b35")</f>
        <v>4</v>
      </c>
      <c r="C35" s="22">
        <f ca="1">INDIRECT("'("&amp;$A$4&amp;")'!c35")</f>
        <v>12</v>
      </c>
      <c r="D35" s="22">
        <f ca="1">INDIRECT("'("&amp;$A$4&amp;")'!d35")</f>
        <v>3</v>
      </c>
      <c r="E35" s="22">
        <f ca="1">INDIRECT("'("&amp;$A$4&amp;")'!e35")</f>
        <v>0</v>
      </c>
      <c r="F35" s="22">
        <f ca="1">INDIRECT("'("&amp;$A$4&amp;")'!f35")</f>
        <v>0</v>
      </c>
      <c r="G35" s="22">
        <f ca="1">INDIRECT("'("&amp;$A$4&amp;")'!g35")</f>
        <v>0</v>
      </c>
      <c r="H35" s="23">
        <f t="shared" ca="1" si="16"/>
        <v>29.552631578947366</v>
      </c>
      <c r="I35" s="22"/>
      <c r="J35" s="22">
        <f ca="1">INDIRECT("'("&amp;$A$4&amp;")'!j35")</f>
        <v>15</v>
      </c>
      <c r="K35" s="22">
        <f ca="1">INDIRECT("'("&amp;$A$4&amp;")'!k35")</f>
        <v>29</v>
      </c>
      <c r="L35" s="22">
        <f ca="1">INDIRECT("'("&amp;$A$4&amp;")'!l35")</f>
        <v>8</v>
      </c>
      <c r="M35" s="22">
        <f ca="1">INDIRECT("'("&amp;$A$4&amp;")'!m35")</f>
        <v>3</v>
      </c>
      <c r="N35" s="22">
        <f ca="1">INDIRECT("'("&amp;$A$4&amp;")'!n35")</f>
        <v>1</v>
      </c>
      <c r="O35" s="22">
        <f ca="1">INDIRECT("'("&amp;$A$4&amp;")'!o35")</f>
        <v>0</v>
      </c>
      <c r="P35" s="23">
        <f t="shared" ca="1" si="18"/>
        <v>30.383928571428569</v>
      </c>
      <c r="Q35" s="22"/>
      <c r="R35" s="21">
        <f t="shared" ca="1" si="19"/>
        <v>19</v>
      </c>
      <c r="S35" s="21">
        <f t="shared" ca="1" si="20"/>
        <v>41</v>
      </c>
      <c r="T35" s="21">
        <f t="shared" ca="1" si="21"/>
        <v>11</v>
      </c>
      <c r="U35" s="21">
        <f t="shared" ca="1" si="22"/>
        <v>3</v>
      </c>
      <c r="V35" s="21">
        <f t="shared" ca="1" si="23"/>
        <v>1</v>
      </c>
      <c r="W35" s="21">
        <f t="shared" ca="1" si="24"/>
        <v>0</v>
      </c>
      <c r="X35" s="23">
        <f t="shared" ca="1" si="3"/>
        <v>30.173333333333332</v>
      </c>
      <c r="Y35" s="22"/>
      <c r="Z35" s="22">
        <f ca="1">INDIRECT("'("&amp;$A$4&amp;")'!z35")</f>
        <v>0</v>
      </c>
      <c r="AA35" s="22">
        <f ca="1">INDIRECT("'("&amp;$A$4&amp;")'!aa35")</f>
        <v>2</v>
      </c>
      <c r="AB35" s="22">
        <f ca="1">INDIRECT("'("&amp;$A$4&amp;")'!ab35")</f>
        <v>1</v>
      </c>
      <c r="AC35" s="22">
        <f ca="1">INDIRECT("'("&amp;$A$4&amp;")'!ac35")</f>
        <v>1</v>
      </c>
      <c r="AD35" s="22">
        <f ca="1">INDIRECT("'("&amp;$A$4&amp;")'!ad35")</f>
        <v>0</v>
      </c>
      <c r="AE35" s="22">
        <f ca="1">INDIRECT("'("&amp;$A$4&amp;")'!ae35")</f>
        <v>0</v>
      </c>
      <c r="AF35" s="23">
        <f t="shared" ca="1" si="5"/>
        <v>37.75</v>
      </c>
      <c r="AG35" s="22"/>
      <c r="AH35" s="22">
        <f ca="1">INDIRECT("'("&amp;$A$4&amp;")'!ah35")</f>
        <v>1</v>
      </c>
      <c r="AI35" s="22">
        <f ca="1">INDIRECT("'("&amp;$A$4&amp;")'!ai35")</f>
        <v>2</v>
      </c>
      <c r="AJ35" s="22">
        <f ca="1">INDIRECT("'("&amp;$A$4&amp;")'!aj35")</f>
        <v>4</v>
      </c>
      <c r="AK35" s="22">
        <f ca="1">INDIRECT("'("&amp;$A$4&amp;")'!ak35")</f>
        <v>6</v>
      </c>
      <c r="AL35" s="22">
        <f ca="1">INDIRECT("'("&amp;$A$4&amp;")'!al35")</f>
        <v>3</v>
      </c>
      <c r="AM35" s="22">
        <f ca="1">INDIRECT("'("&amp;$A$4&amp;")'!am35")</f>
        <v>0</v>
      </c>
      <c r="AN35" s="23">
        <f t="shared" ca="1" si="7"/>
        <v>44.5625</v>
      </c>
      <c r="AO35" s="22"/>
      <c r="AP35" s="21">
        <f t="shared" ca="1" si="8"/>
        <v>20</v>
      </c>
      <c r="AQ35" s="21">
        <f t="shared" ca="1" si="9"/>
        <v>45</v>
      </c>
      <c r="AR35" s="21">
        <f t="shared" ca="1" si="10"/>
        <v>16</v>
      </c>
      <c r="AS35" s="21">
        <f t="shared" ca="1" si="11"/>
        <v>10</v>
      </c>
      <c r="AT35" s="21">
        <f t="shared" ca="1" si="12"/>
        <v>4</v>
      </c>
      <c r="AU35" s="21">
        <f t="shared" ca="1" si="13"/>
        <v>0</v>
      </c>
      <c r="AV35" s="23">
        <f t="shared" ca="1" si="14"/>
        <v>32.915789473684207</v>
      </c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7" customFormat="1" ht="15" customHeight="1" x14ac:dyDescent="0.35">
      <c r="A36" s="2" t="s">
        <v>41</v>
      </c>
      <c r="B36" s="22">
        <f ca="1">INDIRECT("'("&amp;$A$4&amp;")'!b36")</f>
        <v>0</v>
      </c>
      <c r="C36" s="22">
        <f ca="1">INDIRECT("'("&amp;$A$4&amp;")'!c36")</f>
        <v>0</v>
      </c>
      <c r="D36" s="22">
        <f ca="1">INDIRECT("'("&amp;$A$4&amp;")'!d36")</f>
        <v>0</v>
      </c>
      <c r="E36" s="22">
        <f ca="1">INDIRECT("'("&amp;$A$4&amp;")'!e36")</f>
        <v>0</v>
      </c>
      <c r="F36" s="22">
        <f ca="1">INDIRECT("'("&amp;$A$4&amp;")'!f36")</f>
        <v>0</v>
      </c>
      <c r="G36" s="22">
        <f ca="1">INDIRECT("'("&amp;$A$4&amp;")'!g36")</f>
        <v>0</v>
      </c>
      <c r="H36" s="23" t="str">
        <f t="shared" ca="1" si="16"/>
        <v>-</v>
      </c>
      <c r="I36" s="22"/>
      <c r="J36" s="22">
        <f ca="1">INDIRECT("'("&amp;$A$4&amp;")'!j36")</f>
        <v>0</v>
      </c>
      <c r="K36" s="22">
        <f ca="1">INDIRECT("'("&amp;$A$4&amp;")'!k36")</f>
        <v>0</v>
      </c>
      <c r="L36" s="22">
        <f ca="1">INDIRECT("'("&amp;$A$4&amp;")'!l36")</f>
        <v>0</v>
      </c>
      <c r="M36" s="22">
        <f ca="1">INDIRECT("'("&amp;$A$4&amp;")'!m36")</f>
        <v>0</v>
      </c>
      <c r="N36" s="22">
        <f ca="1">INDIRECT("'("&amp;$A$4&amp;")'!n36")</f>
        <v>0</v>
      </c>
      <c r="O36" s="22">
        <f ca="1">INDIRECT("'("&amp;$A$4&amp;")'!o36")</f>
        <v>0</v>
      </c>
      <c r="P36" s="23" t="str">
        <f t="shared" ca="1" si="18"/>
        <v>-</v>
      </c>
      <c r="Q36" s="22"/>
      <c r="R36" s="21">
        <f t="shared" ca="1" si="19"/>
        <v>0</v>
      </c>
      <c r="S36" s="21">
        <f t="shared" ca="1" si="20"/>
        <v>0</v>
      </c>
      <c r="T36" s="21">
        <f t="shared" ca="1" si="21"/>
        <v>0</v>
      </c>
      <c r="U36" s="21">
        <f t="shared" ca="1" si="22"/>
        <v>0</v>
      </c>
      <c r="V36" s="21">
        <f t="shared" ca="1" si="23"/>
        <v>0</v>
      </c>
      <c r="W36" s="21">
        <f t="shared" ca="1" si="24"/>
        <v>0</v>
      </c>
      <c r="X36" s="23" t="str">
        <f t="shared" ca="1" si="3"/>
        <v>-</v>
      </c>
      <c r="Y36" s="22"/>
      <c r="Z36" s="22">
        <f ca="1">INDIRECT("'("&amp;$A$4&amp;")'!z36")</f>
        <v>1</v>
      </c>
      <c r="AA36" s="22">
        <f ca="1">INDIRECT("'("&amp;$A$4&amp;")'!aa36")</f>
        <v>4</v>
      </c>
      <c r="AB36" s="22">
        <f ca="1">INDIRECT("'("&amp;$A$4&amp;")'!ab36")</f>
        <v>5</v>
      </c>
      <c r="AC36" s="22">
        <f ca="1">INDIRECT("'("&amp;$A$4&amp;")'!ac36")</f>
        <v>0</v>
      </c>
      <c r="AD36" s="22">
        <f ca="1">INDIRECT("'("&amp;$A$4&amp;")'!ad36")</f>
        <v>0</v>
      </c>
      <c r="AE36" s="22">
        <f ca="1">INDIRECT("'("&amp;$A$4&amp;")'!ae36")</f>
        <v>0</v>
      </c>
      <c r="AF36" s="23">
        <f t="shared" ca="1" si="5"/>
        <v>34.25</v>
      </c>
      <c r="AG36" s="22"/>
      <c r="AH36" s="22">
        <f ca="1">INDIRECT("'("&amp;$A$4&amp;")'!ah36")</f>
        <v>0</v>
      </c>
      <c r="AI36" s="22">
        <f ca="1">INDIRECT("'("&amp;$A$4&amp;")'!ai36")</f>
        <v>0</v>
      </c>
      <c r="AJ36" s="22">
        <f ca="1">INDIRECT("'("&amp;$A$4&amp;")'!aj36")</f>
        <v>0</v>
      </c>
      <c r="AK36" s="22">
        <f ca="1">INDIRECT("'("&amp;$A$4&amp;")'!ak36")</f>
        <v>0</v>
      </c>
      <c r="AL36" s="22">
        <f ca="1">INDIRECT("'("&amp;$A$4&amp;")'!al36")</f>
        <v>0</v>
      </c>
      <c r="AM36" s="22">
        <f ca="1">INDIRECT("'("&amp;$A$4&amp;")'!am36")</f>
        <v>0</v>
      </c>
      <c r="AN36" s="23" t="str">
        <f t="shared" ca="1" si="7"/>
        <v>-</v>
      </c>
      <c r="AO36" s="22"/>
      <c r="AP36" s="21">
        <f t="shared" ca="1" si="8"/>
        <v>1</v>
      </c>
      <c r="AQ36" s="21">
        <f t="shared" ca="1" si="9"/>
        <v>4</v>
      </c>
      <c r="AR36" s="21">
        <f t="shared" ca="1" si="10"/>
        <v>5</v>
      </c>
      <c r="AS36" s="21">
        <f t="shared" ca="1" si="11"/>
        <v>0</v>
      </c>
      <c r="AT36" s="21">
        <f t="shared" ca="1" si="12"/>
        <v>0</v>
      </c>
      <c r="AU36" s="21">
        <f t="shared" ca="1" si="13"/>
        <v>0</v>
      </c>
      <c r="AV36" s="23">
        <f t="shared" ca="1" si="14"/>
        <v>34.25</v>
      </c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15" customHeight="1" x14ac:dyDescent="0.35">
      <c r="A37" s="3" t="s">
        <v>42</v>
      </c>
      <c r="B37" s="22">
        <f ca="1">INDIRECT("'("&amp;$A$4&amp;")'!b37")</f>
        <v>0</v>
      </c>
      <c r="C37" s="22">
        <f ca="1">INDIRECT("'("&amp;$A$4&amp;")'!c37")</f>
        <v>1</v>
      </c>
      <c r="D37" s="22">
        <f ca="1">INDIRECT("'("&amp;$A$4&amp;")'!d37")</f>
        <v>1</v>
      </c>
      <c r="E37" s="22">
        <f ca="1">INDIRECT("'("&amp;$A$4&amp;")'!e37")</f>
        <v>2</v>
      </c>
      <c r="F37" s="22">
        <f ca="1">INDIRECT("'("&amp;$A$4&amp;")'!f37")</f>
        <v>0</v>
      </c>
      <c r="G37" s="22">
        <f ca="1">INDIRECT("'("&amp;$A$4&amp;")'!g37")</f>
        <v>0</v>
      </c>
      <c r="H37" s="23">
        <f t="shared" ca="1" si="16"/>
        <v>42.875</v>
      </c>
      <c r="I37" s="22"/>
      <c r="J37" s="22">
        <f ca="1">INDIRECT("'("&amp;$A$4&amp;")'!j37")</f>
        <v>12</v>
      </c>
      <c r="K37" s="22">
        <f ca="1">INDIRECT("'("&amp;$A$4&amp;")'!k37")</f>
        <v>31</v>
      </c>
      <c r="L37" s="22">
        <f ca="1">INDIRECT("'("&amp;$A$4&amp;")'!l37")</f>
        <v>9</v>
      </c>
      <c r="M37" s="22">
        <f ca="1">INDIRECT("'("&amp;$A$4&amp;")'!m37")</f>
        <v>1</v>
      </c>
      <c r="N37" s="22">
        <f ca="1">INDIRECT("'("&amp;$A$4&amp;")'!n37")</f>
        <v>0</v>
      </c>
      <c r="O37" s="22">
        <f ca="1">INDIRECT("'("&amp;$A$4&amp;")'!o37")</f>
        <v>0</v>
      </c>
      <c r="P37" s="23">
        <f t="shared" ca="1" si="18"/>
        <v>29.90566037735849</v>
      </c>
      <c r="Q37" s="22"/>
      <c r="R37" s="21">
        <f t="shared" ca="1" si="19"/>
        <v>12</v>
      </c>
      <c r="S37" s="21">
        <f t="shared" ca="1" si="20"/>
        <v>32</v>
      </c>
      <c r="T37" s="21">
        <f t="shared" ca="1" si="21"/>
        <v>10</v>
      </c>
      <c r="U37" s="21">
        <f t="shared" ca="1" si="22"/>
        <v>3</v>
      </c>
      <c r="V37" s="21">
        <f t="shared" ca="1" si="23"/>
        <v>0</v>
      </c>
      <c r="W37" s="21">
        <f t="shared" ca="1" si="24"/>
        <v>0</v>
      </c>
      <c r="X37" s="23">
        <f t="shared" ca="1" si="3"/>
        <v>30.815789473684209</v>
      </c>
      <c r="Y37" s="22"/>
      <c r="Z37" s="22">
        <f ca="1">INDIRECT("'("&amp;$A$4&amp;")'!z37")</f>
        <v>0</v>
      </c>
      <c r="AA37" s="22">
        <f ca="1">INDIRECT("'("&amp;$A$4&amp;")'!aa37")</f>
        <v>2</v>
      </c>
      <c r="AB37" s="22">
        <f ca="1">INDIRECT("'("&amp;$A$4&amp;")'!ab37")</f>
        <v>0</v>
      </c>
      <c r="AC37" s="22">
        <f ca="1">INDIRECT("'("&amp;$A$4&amp;")'!ac37")</f>
        <v>0</v>
      </c>
      <c r="AD37" s="22">
        <f ca="1">INDIRECT("'("&amp;$A$4&amp;")'!ad37")</f>
        <v>1</v>
      </c>
      <c r="AE37" s="22">
        <f ca="1">INDIRECT("'("&amp;$A$4&amp;")'!ae37")</f>
        <v>0</v>
      </c>
      <c r="AF37" s="23">
        <f t="shared" ca="1" si="5"/>
        <v>38.666666666666664</v>
      </c>
      <c r="AG37" s="22"/>
      <c r="AH37" s="22">
        <f ca="1">INDIRECT("'("&amp;$A$4&amp;")'!ah37")</f>
        <v>0</v>
      </c>
      <c r="AI37" s="22">
        <f ca="1">INDIRECT("'("&amp;$A$4&amp;")'!ai37")</f>
        <v>6</v>
      </c>
      <c r="AJ37" s="22">
        <f ca="1">INDIRECT("'("&amp;$A$4&amp;")'!aj37")</f>
        <v>8</v>
      </c>
      <c r="AK37" s="22">
        <f ca="1">INDIRECT("'("&amp;$A$4&amp;")'!ak37")</f>
        <v>5</v>
      </c>
      <c r="AL37" s="22">
        <f ca="1">INDIRECT("'("&amp;$A$4&amp;")'!al37")</f>
        <v>1</v>
      </c>
      <c r="AM37" s="22">
        <f ca="1">INDIRECT("'("&amp;$A$4&amp;")'!am37")</f>
        <v>0</v>
      </c>
      <c r="AN37" s="23">
        <f t="shared" ca="1" si="7"/>
        <v>40.625</v>
      </c>
      <c r="AO37" s="22"/>
      <c r="AP37" s="21">
        <f t="shared" ca="1" si="8"/>
        <v>12</v>
      </c>
      <c r="AQ37" s="21">
        <f t="shared" ca="1" si="9"/>
        <v>40</v>
      </c>
      <c r="AR37" s="21">
        <f t="shared" ca="1" si="10"/>
        <v>18</v>
      </c>
      <c r="AS37" s="21">
        <f t="shared" ca="1" si="11"/>
        <v>8</v>
      </c>
      <c r="AT37" s="21">
        <f t="shared" ca="1" si="12"/>
        <v>2</v>
      </c>
      <c r="AU37" s="21">
        <f t="shared" ca="1" si="13"/>
        <v>0</v>
      </c>
      <c r="AV37" s="23">
        <f t="shared" ca="1" si="14"/>
        <v>33.5625</v>
      </c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7" customFormat="1" ht="15" customHeight="1" x14ac:dyDescent="0.35">
      <c r="A38" s="3" t="s">
        <v>43</v>
      </c>
      <c r="B38" s="22">
        <f ca="1">INDIRECT("'("&amp;$A$4&amp;")'!b38")</f>
        <v>2</v>
      </c>
      <c r="C38" s="22">
        <f ca="1">INDIRECT("'("&amp;$A$4&amp;")'!c38")</f>
        <v>8</v>
      </c>
      <c r="D38" s="22">
        <f ca="1">INDIRECT("'("&amp;$A$4&amp;")'!d38")</f>
        <v>3</v>
      </c>
      <c r="E38" s="22">
        <f ca="1">INDIRECT("'("&amp;$A$4&amp;")'!e38")</f>
        <v>0</v>
      </c>
      <c r="F38" s="22">
        <f ca="1">INDIRECT("'("&amp;$A$4&amp;")'!f38")</f>
        <v>0</v>
      </c>
      <c r="G38" s="22">
        <f ca="1">INDIRECT("'("&amp;$A$4&amp;")'!g38")</f>
        <v>0</v>
      </c>
      <c r="H38" s="23">
        <f t="shared" ca="1" si="16"/>
        <v>30.884615384615387</v>
      </c>
      <c r="I38" s="22"/>
      <c r="J38" s="22">
        <f ca="1">INDIRECT("'("&amp;$A$4&amp;")'!j38")</f>
        <v>5</v>
      </c>
      <c r="K38" s="22">
        <f ca="1">INDIRECT("'("&amp;$A$4&amp;")'!k38")</f>
        <v>23</v>
      </c>
      <c r="L38" s="22">
        <f ca="1">INDIRECT("'("&amp;$A$4&amp;")'!l38")</f>
        <v>5</v>
      </c>
      <c r="M38" s="22">
        <f ca="1">INDIRECT("'("&amp;$A$4&amp;")'!m38")</f>
        <v>1</v>
      </c>
      <c r="N38" s="22">
        <f ca="1">INDIRECT("'("&amp;$A$4&amp;")'!n38")</f>
        <v>0</v>
      </c>
      <c r="O38" s="22">
        <f ca="1">INDIRECT("'("&amp;$A$4&amp;")'!o38")</f>
        <v>0</v>
      </c>
      <c r="P38" s="23">
        <f t="shared" ca="1" si="18"/>
        <v>30.676470588235297</v>
      </c>
      <c r="Q38" s="22"/>
      <c r="R38" s="21">
        <f t="shared" ca="1" si="19"/>
        <v>7</v>
      </c>
      <c r="S38" s="21">
        <f t="shared" ca="1" si="20"/>
        <v>31</v>
      </c>
      <c r="T38" s="21">
        <f t="shared" ca="1" si="21"/>
        <v>8</v>
      </c>
      <c r="U38" s="21">
        <f t="shared" ca="1" si="22"/>
        <v>1</v>
      </c>
      <c r="V38" s="21">
        <f t="shared" ca="1" si="23"/>
        <v>0</v>
      </c>
      <c r="W38" s="21">
        <f t="shared" ca="1" si="24"/>
        <v>0</v>
      </c>
      <c r="X38" s="23">
        <f t="shared" ca="1" si="3"/>
        <v>30.734042553191486</v>
      </c>
      <c r="Y38" s="22"/>
      <c r="Z38" s="22">
        <f ca="1">INDIRECT("'("&amp;$A$4&amp;")'!z38")</f>
        <v>0</v>
      </c>
      <c r="AA38" s="22">
        <f ca="1">INDIRECT("'("&amp;$A$4&amp;")'!aa38")</f>
        <v>0</v>
      </c>
      <c r="AB38" s="22">
        <f ca="1">INDIRECT("'("&amp;$A$4&amp;")'!ab38")</f>
        <v>0</v>
      </c>
      <c r="AC38" s="22">
        <f ca="1">INDIRECT("'("&amp;$A$4&amp;")'!ac38")</f>
        <v>0</v>
      </c>
      <c r="AD38" s="22">
        <f ca="1">INDIRECT("'("&amp;$A$4&amp;")'!ad38")</f>
        <v>0</v>
      </c>
      <c r="AE38" s="22">
        <f ca="1">INDIRECT("'("&amp;$A$4&amp;")'!ae38")</f>
        <v>0</v>
      </c>
      <c r="AF38" s="23" t="str">
        <f t="shared" ca="1" si="5"/>
        <v>-</v>
      </c>
      <c r="AG38" s="22"/>
      <c r="AH38" s="22">
        <f ca="1">INDIRECT("'("&amp;$A$4&amp;")'!ah38")</f>
        <v>2</v>
      </c>
      <c r="AI38" s="22">
        <f ca="1">INDIRECT("'("&amp;$A$4&amp;")'!ai38")</f>
        <v>1</v>
      </c>
      <c r="AJ38" s="22">
        <f ca="1">INDIRECT("'("&amp;$A$4&amp;")'!aj38")</f>
        <v>2</v>
      </c>
      <c r="AK38" s="22">
        <f ca="1">INDIRECT("'("&amp;$A$4&amp;")'!ak38")</f>
        <v>3</v>
      </c>
      <c r="AL38" s="22">
        <f ca="1">INDIRECT("'("&amp;$A$4&amp;")'!al38")</f>
        <v>2</v>
      </c>
      <c r="AM38" s="22">
        <f ca="1">INDIRECT("'("&amp;$A$4&amp;")'!am38")</f>
        <v>0</v>
      </c>
      <c r="AN38" s="23">
        <f t="shared" ca="1" si="7"/>
        <v>41.45</v>
      </c>
      <c r="AO38" s="22"/>
      <c r="AP38" s="21">
        <f t="shared" ca="1" si="8"/>
        <v>9</v>
      </c>
      <c r="AQ38" s="21">
        <f t="shared" ca="1" si="9"/>
        <v>32</v>
      </c>
      <c r="AR38" s="21">
        <f t="shared" ca="1" si="10"/>
        <v>10</v>
      </c>
      <c r="AS38" s="21">
        <f t="shared" ca="1" si="11"/>
        <v>4</v>
      </c>
      <c r="AT38" s="21">
        <f t="shared" ca="1" si="12"/>
        <v>2</v>
      </c>
      <c r="AU38" s="21">
        <f t="shared" ca="1" si="13"/>
        <v>0</v>
      </c>
      <c r="AV38" s="23">
        <f t="shared" ca="1" si="14"/>
        <v>32.614035087719301</v>
      </c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7" customFormat="1" ht="15" customHeight="1" x14ac:dyDescent="0.35">
      <c r="A39" s="3" t="s">
        <v>44</v>
      </c>
      <c r="B39" s="22">
        <f ca="1">INDIRECT("'("&amp;$A$4&amp;")'!b39")</f>
        <v>0</v>
      </c>
      <c r="C39" s="22">
        <f ca="1">INDIRECT("'("&amp;$A$4&amp;")'!c39")</f>
        <v>1</v>
      </c>
      <c r="D39" s="22">
        <f ca="1">INDIRECT("'("&amp;$A$4&amp;")'!d39")</f>
        <v>0</v>
      </c>
      <c r="E39" s="22">
        <f ca="1">INDIRECT("'("&amp;$A$4&amp;")'!e39")</f>
        <v>0</v>
      </c>
      <c r="F39" s="22">
        <f ca="1">INDIRECT("'("&amp;$A$4&amp;")'!f39")</f>
        <v>0</v>
      </c>
      <c r="G39" s="22">
        <f ca="1">INDIRECT("'("&amp;$A$4&amp;")'!g39")</f>
        <v>0</v>
      </c>
      <c r="H39" s="23">
        <f t="shared" ca="1" si="16"/>
        <v>30</v>
      </c>
      <c r="I39" s="22"/>
      <c r="J39" s="22">
        <f ca="1">INDIRECT("'("&amp;$A$4&amp;")'!j39")</f>
        <v>5</v>
      </c>
      <c r="K39" s="22">
        <f ca="1">INDIRECT("'("&amp;$A$4&amp;")'!k39")</f>
        <v>10</v>
      </c>
      <c r="L39" s="22">
        <f ca="1">INDIRECT("'("&amp;$A$4&amp;")'!l39")</f>
        <v>1</v>
      </c>
      <c r="M39" s="22">
        <f ca="1">INDIRECT("'("&amp;$A$4&amp;")'!m39")</f>
        <v>2</v>
      </c>
      <c r="N39" s="22">
        <f ca="1">INDIRECT("'("&amp;$A$4&amp;")'!n39")</f>
        <v>0</v>
      </c>
      <c r="O39" s="22">
        <f ca="1">INDIRECT("'("&amp;$A$4&amp;")'!o39")</f>
        <v>0</v>
      </c>
      <c r="P39" s="23">
        <f t="shared" ca="1" si="18"/>
        <v>30.083333333333332</v>
      </c>
      <c r="Q39" s="22"/>
      <c r="R39" s="21">
        <f t="shared" ca="1" si="19"/>
        <v>5</v>
      </c>
      <c r="S39" s="21">
        <f t="shared" ca="1" si="20"/>
        <v>11</v>
      </c>
      <c r="T39" s="21">
        <f t="shared" ca="1" si="21"/>
        <v>1</v>
      </c>
      <c r="U39" s="21">
        <f t="shared" ca="1" si="22"/>
        <v>2</v>
      </c>
      <c r="V39" s="21">
        <f t="shared" ca="1" si="23"/>
        <v>0</v>
      </c>
      <c r="W39" s="21">
        <f t="shared" ca="1" si="24"/>
        <v>0</v>
      </c>
      <c r="X39" s="23">
        <f t="shared" ca="1" si="3"/>
        <v>30.078947368421055</v>
      </c>
      <c r="Y39" s="22"/>
      <c r="Z39" s="22">
        <f ca="1">INDIRECT("'("&amp;$A$4&amp;")'!z39")</f>
        <v>0</v>
      </c>
      <c r="AA39" s="22">
        <f ca="1">INDIRECT("'("&amp;$A$4&amp;")'!aa39")</f>
        <v>0</v>
      </c>
      <c r="AB39" s="22">
        <f ca="1">INDIRECT("'("&amp;$A$4&amp;")'!ab39")</f>
        <v>0</v>
      </c>
      <c r="AC39" s="22">
        <f ca="1">INDIRECT("'("&amp;$A$4&amp;")'!ac39")</f>
        <v>1</v>
      </c>
      <c r="AD39" s="22">
        <f ca="1">INDIRECT("'("&amp;$A$4&amp;")'!ad39")</f>
        <v>0</v>
      </c>
      <c r="AE39" s="22">
        <f ca="1">INDIRECT("'("&amp;$A$4&amp;")'!ae39")</f>
        <v>0</v>
      </c>
      <c r="AF39" s="23">
        <f t="shared" ca="1" si="5"/>
        <v>50.5</v>
      </c>
      <c r="AG39" s="22"/>
      <c r="AH39" s="22">
        <f ca="1">INDIRECT("'("&amp;$A$4&amp;")'!ah39")</f>
        <v>0</v>
      </c>
      <c r="AI39" s="22">
        <f ca="1">INDIRECT("'("&amp;$A$4&amp;")'!ai39")</f>
        <v>1</v>
      </c>
      <c r="AJ39" s="22">
        <f ca="1">INDIRECT("'("&amp;$A$4&amp;")'!aj39")</f>
        <v>2</v>
      </c>
      <c r="AK39" s="22">
        <f ca="1">INDIRECT("'("&amp;$A$4&amp;")'!ak39")</f>
        <v>1</v>
      </c>
      <c r="AL39" s="22">
        <f ca="1">INDIRECT("'("&amp;$A$4&amp;")'!al39")</f>
        <v>0</v>
      </c>
      <c r="AM39" s="22">
        <f ca="1">INDIRECT("'("&amp;$A$4&amp;")'!am39")</f>
        <v>0</v>
      </c>
      <c r="AN39" s="23">
        <f t="shared" ca="1" si="7"/>
        <v>40.375</v>
      </c>
      <c r="AO39" s="22"/>
      <c r="AP39" s="21">
        <f t="shared" ca="1" si="8"/>
        <v>5</v>
      </c>
      <c r="AQ39" s="21">
        <f t="shared" ca="1" si="9"/>
        <v>12</v>
      </c>
      <c r="AR39" s="21">
        <f t="shared" ca="1" si="10"/>
        <v>3</v>
      </c>
      <c r="AS39" s="21">
        <f t="shared" ca="1" si="11"/>
        <v>4</v>
      </c>
      <c r="AT39" s="21">
        <f t="shared" ca="1" si="12"/>
        <v>0</v>
      </c>
      <c r="AU39" s="21">
        <f t="shared" ca="1" si="13"/>
        <v>0</v>
      </c>
      <c r="AV39" s="23">
        <f t="shared" ca="1" si="14"/>
        <v>32.645833333333336</v>
      </c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15" customHeight="1" x14ac:dyDescent="0.35">
      <c r="A40" s="2" t="s">
        <v>45</v>
      </c>
      <c r="B40" s="22">
        <f ca="1">INDIRECT("'("&amp;$A$4&amp;")'!b40")</f>
        <v>1</v>
      </c>
      <c r="C40" s="22">
        <f ca="1">INDIRECT("'("&amp;$A$4&amp;")'!c40")</f>
        <v>9</v>
      </c>
      <c r="D40" s="22">
        <f ca="1">INDIRECT("'("&amp;$A$4&amp;")'!d40")</f>
        <v>2</v>
      </c>
      <c r="E40" s="22">
        <f ca="1">INDIRECT("'("&amp;$A$4&amp;")'!e40")</f>
        <v>1</v>
      </c>
      <c r="F40" s="22">
        <f ca="1">INDIRECT("'("&amp;$A$4&amp;")'!f40")</f>
        <v>0</v>
      </c>
      <c r="G40" s="22">
        <f ca="1">INDIRECT("'("&amp;$A$4&amp;")'!g40")</f>
        <v>0</v>
      </c>
      <c r="H40" s="23">
        <f t="shared" ca="1" si="16"/>
        <v>32.423076923076927</v>
      </c>
      <c r="I40" s="22"/>
      <c r="J40" s="22">
        <f ca="1">INDIRECT("'("&amp;$A$4&amp;")'!j40")</f>
        <v>7</v>
      </c>
      <c r="K40" s="22">
        <f ca="1">INDIRECT("'("&amp;$A$4&amp;")'!k40")</f>
        <v>15</v>
      </c>
      <c r="L40" s="22">
        <f ca="1">INDIRECT("'("&amp;$A$4&amp;")'!l40")</f>
        <v>12</v>
      </c>
      <c r="M40" s="22">
        <f ca="1">INDIRECT("'("&amp;$A$4&amp;")'!m40")</f>
        <v>2</v>
      </c>
      <c r="N40" s="22">
        <f ca="1">INDIRECT("'("&amp;$A$4&amp;")'!n40")</f>
        <v>0</v>
      </c>
      <c r="O40" s="22">
        <f ca="1">INDIRECT("'("&amp;$A$4&amp;")'!o40")</f>
        <v>0</v>
      </c>
      <c r="P40" s="23">
        <f t="shared" ca="1" si="18"/>
        <v>32.694444444444443</v>
      </c>
      <c r="Q40" s="22"/>
      <c r="R40" s="21">
        <f t="shared" ca="1" si="19"/>
        <v>8</v>
      </c>
      <c r="S40" s="21">
        <f t="shared" ca="1" si="20"/>
        <v>24</v>
      </c>
      <c r="T40" s="21">
        <f t="shared" ca="1" si="21"/>
        <v>14</v>
      </c>
      <c r="U40" s="21">
        <f t="shared" ca="1" si="22"/>
        <v>3</v>
      </c>
      <c r="V40" s="21">
        <f t="shared" ca="1" si="23"/>
        <v>0</v>
      </c>
      <c r="W40" s="21">
        <f t="shared" ca="1" si="24"/>
        <v>0</v>
      </c>
      <c r="X40" s="23">
        <f t="shared" ref="X40:X56" ca="1" si="27">IF(SUM(R40:V40)=0,"-",20*(R40/SUM($R40:$V40))+30*(S40/SUM($R40:$V40))+40.5*(T40/SUM($R40:$V40))+50.5*(U40/SUM($R40:$V40))+56*(V40/SUM($R40:$V40)))</f>
        <v>32.622448979591837</v>
      </c>
      <c r="Y40" s="22"/>
      <c r="Z40" s="22">
        <f ca="1">INDIRECT("'("&amp;$A$4&amp;")'!z40")</f>
        <v>0</v>
      </c>
      <c r="AA40" s="22">
        <f ca="1">INDIRECT("'("&amp;$A$4&amp;")'!aa40")</f>
        <v>1</v>
      </c>
      <c r="AB40" s="22">
        <f ca="1">INDIRECT("'("&amp;$A$4&amp;")'!ab40")</f>
        <v>0</v>
      </c>
      <c r="AC40" s="22">
        <f ca="1">INDIRECT("'("&amp;$A$4&amp;")'!ac40")</f>
        <v>0</v>
      </c>
      <c r="AD40" s="22">
        <f ca="1">INDIRECT("'("&amp;$A$4&amp;")'!ad40")</f>
        <v>0</v>
      </c>
      <c r="AE40" s="22">
        <f ca="1">INDIRECT("'("&amp;$A$4&amp;")'!ae40")</f>
        <v>0</v>
      </c>
      <c r="AF40" s="23">
        <f t="shared" ref="AF40:AF56" ca="1" si="28">IF(SUM(Z40:AD40)=0,"-",20*(Z40/SUM($Z40:$AD40))+30*(AA40/SUM($Z40:$AD40))+40.5*(AB40/SUM($Z40:$AD40))+50.5*(AC40/SUM($Z40:$AD40))+56*(AD40/SUM($Z40:$AD40)))</f>
        <v>30</v>
      </c>
      <c r="AG40" s="22"/>
      <c r="AH40" s="22">
        <f ca="1">INDIRECT("'("&amp;$A$4&amp;")'!ah40")</f>
        <v>4</v>
      </c>
      <c r="AI40" s="22">
        <f ca="1">INDIRECT("'("&amp;$A$4&amp;")'!ai40")</f>
        <v>5</v>
      </c>
      <c r="AJ40" s="22">
        <f ca="1">INDIRECT("'("&amp;$A$4&amp;")'!aj40")</f>
        <v>5</v>
      </c>
      <c r="AK40" s="22">
        <f ca="1">INDIRECT("'("&amp;$A$4&amp;")'!ak40")</f>
        <v>4</v>
      </c>
      <c r="AL40" s="22">
        <f ca="1">INDIRECT("'("&amp;$A$4&amp;")'!al40")</f>
        <v>1</v>
      </c>
      <c r="AM40" s="22">
        <f ca="1">INDIRECT("'("&amp;$A$4&amp;")'!am40")</f>
        <v>0</v>
      </c>
      <c r="AN40" s="23">
        <f t="shared" ref="AN40:AN56" ca="1" si="29">IF(SUM(AH40:AL40)=0,"-",20*(AH40/SUM($AH40:$AL40))+30*(AI40/SUM($AH40:$AL40))+40.5*(AJ40/SUM($AH40:$AL40))+50.5*(AK40/SUM($AH40:$AL40))+56*(AL40/SUM($AH40:$AL40)))</f>
        <v>36.34210526315789</v>
      </c>
      <c r="AO40" s="22"/>
      <c r="AP40" s="21">
        <f t="shared" ref="AP40:AP56" ca="1" si="30">AH40+Z40+R40</f>
        <v>12</v>
      </c>
      <c r="AQ40" s="21">
        <f t="shared" ref="AQ40:AQ56" ca="1" si="31">AI40+AA40+S40</f>
        <v>30</v>
      </c>
      <c r="AR40" s="21">
        <f t="shared" ref="AR40:AR56" ca="1" si="32">AJ40+AB40+T40</f>
        <v>19</v>
      </c>
      <c r="AS40" s="21">
        <f t="shared" ref="AS40:AS56" ca="1" si="33">AK40+AC40+U40</f>
        <v>7</v>
      </c>
      <c r="AT40" s="21">
        <f t="shared" ref="AT40:AT56" ca="1" si="34">AL40+AD40+V40</f>
        <v>1</v>
      </c>
      <c r="AU40" s="21">
        <f t="shared" ref="AU40:AU56" ca="1" si="35">AM40+AE40+W40</f>
        <v>0</v>
      </c>
      <c r="AV40" s="23">
        <f t="shared" ref="AV40:AV56" ca="1" si="36">IF(SUM(AP40:AT40)=0,"-",20*(AP40/SUM($AP40:$AT40))+30*(AQ40/SUM($AP40:$AT40))+40.5*(AR40/SUM($AP40:$AT40))+50.5*(AS40/SUM($AP40:$AT40))+56*(AT40/SUM($AP40:$AT40)))</f>
        <v>33.608695652173907</v>
      </c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7" customFormat="1" ht="15" customHeight="1" x14ac:dyDescent="0.35">
      <c r="A41" s="2" t="s">
        <v>46</v>
      </c>
      <c r="B41" s="22">
        <f ca="1">INDIRECT("'("&amp;$A$4&amp;")'!b41")</f>
        <v>0</v>
      </c>
      <c r="C41" s="22">
        <f ca="1">INDIRECT("'("&amp;$A$4&amp;")'!c41")</f>
        <v>0</v>
      </c>
      <c r="D41" s="22">
        <f ca="1">INDIRECT("'("&amp;$A$4&amp;")'!d41")</f>
        <v>0</v>
      </c>
      <c r="E41" s="22">
        <f ca="1">INDIRECT("'("&amp;$A$4&amp;")'!e41")</f>
        <v>0</v>
      </c>
      <c r="F41" s="22">
        <f ca="1">INDIRECT("'("&amp;$A$4&amp;")'!f41")</f>
        <v>0</v>
      </c>
      <c r="G41" s="22">
        <f ca="1">INDIRECT("'("&amp;$A$4&amp;")'!g41")</f>
        <v>0</v>
      </c>
      <c r="H41" s="23" t="str">
        <f t="shared" ca="1" si="16"/>
        <v>-</v>
      </c>
      <c r="I41" s="22"/>
      <c r="J41" s="22">
        <f ca="1">INDIRECT("'("&amp;$A$4&amp;")'!j41")</f>
        <v>12</v>
      </c>
      <c r="K41" s="22">
        <f ca="1">INDIRECT("'("&amp;$A$4&amp;")'!k41")</f>
        <v>31</v>
      </c>
      <c r="L41" s="22">
        <f ca="1">INDIRECT("'("&amp;$A$4&amp;")'!l41")</f>
        <v>23</v>
      </c>
      <c r="M41" s="22">
        <f ca="1">INDIRECT("'("&amp;$A$4&amp;")'!m41")</f>
        <v>8</v>
      </c>
      <c r="N41" s="22">
        <f ca="1">INDIRECT("'("&amp;$A$4&amp;")'!n41")</f>
        <v>0</v>
      </c>
      <c r="O41" s="22">
        <f ca="1">INDIRECT("'("&amp;$A$4&amp;")'!o41")</f>
        <v>0</v>
      </c>
      <c r="P41" s="23">
        <f t="shared" ca="1" si="18"/>
        <v>33.858108108108105</v>
      </c>
      <c r="Q41" s="22"/>
      <c r="R41" s="21">
        <f t="shared" ca="1" si="19"/>
        <v>12</v>
      </c>
      <c r="S41" s="21">
        <f t="shared" ca="1" si="20"/>
        <v>31</v>
      </c>
      <c r="T41" s="21">
        <f t="shared" ca="1" si="21"/>
        <v>23</v>
      </c>
      <c r="U41" s="21">
        <f t="shared" ca="1" si="22"/>
        <v>8</v>
      </c>
      <c r="V41" s="21">
        <f t="shared" ca="1" si="23"/>
        <v>0</v>
      </c>
      <c r="W41" s="21">
        <f t="shared" ca="1" si="24"/>
        <v>0</v>
      </c>
      <c r="X41" s="23">
        <f t="shared" ca="1" si="27"/>
        <v>33.858108108108105</v>
      </c>
      <c r="Y41" s="22"/>
      <c r="Z41" s="22">
        <f ca="1">INDIRECT("'("&amp;$A$4&amp;")'!z41")</f>
        <v>0</v>
      </c>
      <c r="AA41" s="22">
        <f ca="1">INDIRECT("'("&amp;$A$4&amp;")'!aa41")</f>
        <v>0</v>
      </c>
      <c r="AB41" s="22">
        <f ca="1">INDIRECT("'("&amp;$A$4&amp;")'!ab41")</f>
        <v>0</v>
      </c>
      <c r="AC41" s="22">
        <f ca="1">INDIRECT("'("&amp;$A$4&amp;")'!ac41")</f>
        <v>0</v>
      </c>
      <c r="AD41" s="22">
        <f ca="1">INDIRECT("'("&amp;$A$4&amp;")'!ad41")</f>
        <v>0</v>
      </c>
      <c r="AE41" s="22">
        <f ca="1">INDIRECT("'("&amp;$A$4&amp;")'!ae41")</f>
        <v>0</v>
      </c>
      <c r="AF41" s="23" t="str">
        <f t="shared" ca="1" si="28"/>
        <v>-</v>
      </c>
      <c r="AG41" s="22"/>
      <c r="AH41" s="22">
        <f ca="1">INDIRECT("'("&amp;$A$4&amp;")'!ah41")</f>
        <v>0</v>
      </c>
      <c r="AI41" s="22">
        <f ca="1">INDIRECT("'("&amp;$A$4&amp;")'!ai41")</f>
        <v>2</v>
      </c>
      <c r="AJ41" s="22">
        <f ca="1">INDIRECT("'("&amp;$A$4&amp;")'!aj41")</f>
        <v>0</v>
      </c>
      <c r="AK41" s="22">
        <f ca="1">INDIRECT("'("&amp;$A$4&amp;")'!ak41")</f>
        <v>1</v>
      </c>
      <c r="AL41" s="22">
        <f ca="1">INDIRECT("'("&amp;$A$4&amp;")'!al41")</f>
        <v>1</v>
      </c>
      <c r="AM41" s="22">
        <f ca="1">INDIRECT("'("&amp;$A$4&amp;")'!am41")</f>
        <v>0</v>
      </c>
      <c r="AN41" s="23">
        <f t="shared" ca="1" si="29"/>
        <v>41.625</v>
      </c>
      <c r="AO41" s="22"/>
      <c r="AP41" s="21">
        <f t="shared" ca="1" si="30"/>
        <v>12</v>
      </c>
      <c r="AQ41" s="21">
        <f t="shared" ca="1" si="31"/>
        <v>33</v>
      </c>
      <c r="AR41" s="21">
        <f t="shared" ca="1" si="32"/>
        <v>23</v>
      </c>
      <c r="AS41" s="21">
        <f t="shared" ca="1" si="33"/>
        <v>9</v>
      </c>
      <c r="AT41" s="21">
        <f t="shared" ca="1" si="34"/>
        <v>1</v>
      </c>
      <c r="AU41" s="21">
        <f t="shared" ca="1" si="35"/>
        <v>0</v>
      </c>
      <c r="AV41" s="23">
        <f t="shared" ca="1" si="36"/>
        <v>34.256410256410255</v>
      </c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7" customFormat="1" ht="15" customHeight="1" x14ac:dyDescent="0.35">
      <c r="A42" s="2" t="s">
        <v>47</v>
      </c>
      <c r="B42" s="22">
        <f ca="1">INDIRECT("'("&amp;$A$4&amp;")'!b42")</f>
        <v>0</v>
      </c>
      <c r="C42" s="22">
        <f ca="1">INDIRECT("'("&amp;$A$4&amp;")'!c42")</f>
        <v>1</v>
      </c>
      <c r="D42" s="22">
        <f ca="1">INDIRECT("'("&amp;$A$4&amp;")'!d42")</f>
        <v>3</v>
      </c>
      <c r="E42" s="22">
        <f ca="1">INDIRECT("'("&amp;$A$4&amp;")'!e42")</f>
        <v>1</v>
      </c>
      <c r="F42" s="22">
        <f ca="1">INDIRECT("'("&amp;$A$4&amp;")'!f42")</f>
        <v>0</v>
      </c>
      <c r="G42" s="22">
        <f ca="1">INDIRECT("'("&amp;$A$4&amp;")'!g42")</f>
        <v>0</v>
      </c>
      <c r="H42" s="23">
        <f t="shared" ca="1" si="16"/>
        <v>40.400000000000006</v>
      </c>
      <c r="I42" s="22"/>
      <c r="J42" s="22">
        <f ca="1">INDIRECT("'("&amp;$A$4&amp;")'!j42")</f>
        <v>5</v>
      </c>
      <c r="K42" s="22">
        <f ca="1">INDIRECT("'("&amp;$A$4&amp;")'!k42")</f>
        <v>12</v>
      </c>
      <c r="L42" s="22">
        <f ca="1">INDIRECT("'("&amp;$A$4&amp;")'!l42")</f>
        <v>9</v>
      </c>
      <c r="M42" s="22">
        <f ca="1">INDIRECT("'("&amp;$A$4&amp;")'!m42")</f>
        <v>0</v>
      </c>
      <c r="N42" s="22">
        <f ca="1">INDIRECT("'("&amp;$A$4&amp;")'!n42")</f>
        <v>0</v>
      </c>
      <c r="O42" s="22">
        <f ca="1">INDIRECT("'("&amp;$A$4&amp;")'!o42")</f>
        <v>0</v>
      </c>
      <c r="P42" s="23">
        <f t="shared" ca="1" si="18"/>
        <v>31.71153846153846</v>
      </c>
      <c r="Q42" s="22"/>
      <c r="R42" s="21">
        <f t="shared" ca="1" si="19"/>
        <v>5</v>
      </c>
      <c r="S42" s="21">
        <f t="shared" ca="1" si="20"/>
        <v>13</v>
      </c>
      <c r="T42" s="21">
        <f t="shared" ca="1" si="21"/>
        <v>12</v>
      </c>
      <c r="U42" s="21">
        <f t="shared" ca="1" si="22"/>
        <v>1</v>
      </c>
      <c r="V42" s="21">
        <f t="shared" ca="1" si="23"/>
        <v>0</v>
      </c>
      <c r="W42" s="21">
        <f t="shared" ca="1" si="24"/>
        <v>0</v>
      </c>
      <c r="X42" s="23">
        <f t="shared" ca="1" si="27"/>
        <v>33.112903225806448</v>
      </c>
      <c r="Y42" s="22"/>
      <c r="Z42" s="22">
        <f ca="1">INDIRECT("'("&amp;$A$4&amp;")'!z42")</f>
        <v>0</v>
      </c>
      <c r="AA42" s="22">
        <f ca="1">INDIRECT("'("&amp;$A$4&amp;")'!aa42")</f>
        <v>0</v>
      </c>
      <c r="AB42" s="22">
        <f ca="1">INDIRECT("'("&amp;$A$4&amp;")'!ab42")</f>
        <v>1</v>
      </c>
      <c r="AC42" s="22">
        <f ca="1">INDIRECT("'("&amp;$A$4&amp;")'!ac42")</f>
        <v>0</v>
      </c>
      <c r="AD42" s="22">
        <f ca="1">INDIRECT("'("&amp;$A$4&amp;")'!ad42")</f>
        <v>0</v>
      </c>
      <c r="AE42" s="22">
        <f ca="1">INDIRECT("'("&amp;$A$4&amp;")'!ae42")</f>
        <v>0</v>
      </c>
      <c r="AF42" s="23">
        <f t="shared" ca="1" si="28"/>
        <v>40.5</v>
      </c>
      <c r="AG42" s="22"/>
      <c r="AH42" s="22">
        <f ca="1">INDIRECT("'("&amp;$A$4&amp;")'!ah42")</f>
        <v>2</v>
      </c>
      <c r="AI42" s="22">
        <f ca="1">INDIRECT("'("&amp;$A$4&amp;")'!ai42")</f>
        <v>2</v>
      </c>
      <c r="AJ42" s="22">
        <f ca="1">INDIRECT("'("&amp;$A$4&amp;")'!aj42")</f>
        <v>3</v>
      </c>
      <c r="AK42" s="22">
        <f ca="1">INDIRECT("'("&amp;$A$4&amp;")'!ak42")</f>
        <v>2</v>
      </c>
      <c r="AL42" s="22">
        <f ca="1">INDIRECT("'("&amp;$A$4&amp;")'!al42")</f>
        <v>0</v>
      </c>
      <c r="AM42" s="22">
        <f ca="1">INDIRECT("'("&amp;$A$4&amp;")'!am42")</f>
        <v>0</v>
      </c>
      <c r="AN42" s="23">
        <f t="shared" ca="1" si="29"/>
        <v>35.833333333333329</v>
      </c>
      <c r="AO42" s="22"/>
      <c r="AP42" s="21">
        <f t="shared" ca="1" si="30"/>
        <v>7</v>
      </c>
      <c r="AQ42" s="21">
        <f t="shared" ca="1" si="31"/>
        <v>15</v>
      </c>
      <c r="AR42" s="21">
        <f t="shared" ca="1" si="32"/>
        <v>16</v>
      </c>
      <c r="AS42" s="21">
        <f t="shared" ca="1" si="33"/>
        <v>3</v>
      </c>
      <c r="AT42" s="21">
        <f t="shared" ca="1" si="34"/>
        <v>0</v>
      </c>
      <c r="AU42" s="21">
        <f t="shared" ca="1" si="35"/>
        <v>0</v>
      </c>
      <c r="AV42" s="23">
        <f t="shared" ca="1" si="36"/>
        <v>33.890243902439025</v>
      </c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15" customHeight="1" x14ac:dyDescent="0.35">
      <c r="A43" s="2" t="s">
        <v>48</v>
      </c>
      <c r="B43" s="22">
        <f ca="1">INDIRECT("'("&amp;$A$4&amp;")'!b43")</f>
        <v>3</v>
      </c>
      <c r="C43" s="22">
        <f ca="1">INDIRECT("'("&amp;$A$4&amp;")'!c43")</f>
        <v>4</v>
      </c>
      <c r="D43" s="22">
        <f ca="1">INDIRECT("'("&amp;$A$4&amp;")'!d43")</f>
        <v>1</v>
      </c>
      <c r="E43" s="22">
        <f ca="1">INDIRECT("'("&amp;$A$4&amp;")'!e43")</f>
        <v>0</v>
      </c>
      <c r="F43" s="22">
        <f ca="1">INDIRECT("'("&amp;$A$4&amp;")'!f43")</f>
        <v>0</v>
      </c>
      <c r="G43" s="22">
        <f ca="1">INDIRECT("'("&amp;$A$4&amp;")'!g43")</f>
        <v>0</v>
      </c>
      <c r="H43" s="23">
        <f t="shared" ca="1" si="16"/>
        <v>27.5625</v>
      </c>
      <c r="I43" s="22"/>
      <c r="J43" s="22">
        <f ca="1">INDIRECT("'("&amp;$A$4&amp;")'!j43")</f>
        <v>4</v>
      </c>
      <c r="K43" s="22">
        <f ca="1">INDIRECT("'("&amp;$A$4&amp;")'!k43")</f>
        <v>10</v>
      </c>
      <c r="L43" s="22">
        <f ca="1">INDIRECT("'("&amp;$A$4&amp;")'!l43")</f>
        <v>2</v>
      </c>
      <c r="M43" s="22">
        <f ca="1">INDIRECT("'("&amp;$A$4&amp;")'!m43")</f>
        <v>0</v>
      </c>
      <c r="N43" s="22">
        <f ca="1">INDIRECT("'("&amp;$A$4&amp;")'!n43")</f>
        <v>0</v>
      </c>
      <c r="O43" s="22">
        <f ca="1">INDIRECT("'("&amp;$A$4&amp;")'!o43")</f>
        <v>0</v>
      </c>
      <c r="P43" s="23">
        <f t="shared" ca="1" si="18"/>
        <v>28.8125</v>
      </c>
      <c r="Q43" s="22"/>
      <c r="R43" s="21">
        <f t="shared" ca="1" si="19"/>
        <v>7</v>
      </c>
      <c r="S43" s="21">
        <f t="shared" ca="1" si="20"/>
        <v>14</v>
      </c>
      <c r="T43" s="21">
        <f t="shared" ca="1" si="21"/>
        <v>3</v>
      </c>
      <c r="U43" s="21">
        <f t="shared" ca="1" si="22"/>
        <v>0</v>
      </c>
      <c r="V43" s="21">
        <f t="shared" ca="1" si="23"/>
        <v>0</v>
      </c>
      <c r="W43" s="21">
        <f t="shared" ca="1" si="24"/>
        <v>0</v>
      </c>
      <c r="X43" s="23">
        <f t="shared" ca="1" si="27"/>
        <v>28.395833333333336</v>
      </c>
      <c r="Y43" s="22"/>
      <c r="Z43" s="22">
        <f ca="1">INDIRECT("'("&amp;$A$4&amp;")'!z43")</f>
        <v>0</v>
      </c>
      <c r="AA43" s="22">
        <f ca="1">INDIRECT("'("&amp;$A$4&amp;")'!aa43")</f>
        <v>0</v>
      </c>
      <c r="AB43" s="22">
        <f ca="1">INDIRECT("'("&amp;$A$4&amp;")'!ab43")</f>
        <v>0</v>
      </c>
      <c r="AC43" s="22">
        <f ca="1">INDIRECT("'("&amp;$A$4&amp;")'!ac43")</f>
        <v>0</v>
      </c>
      <c r="AD43" s="22">
        <f ca="1">INDIRECT("'("&amp;$A$4&amp;")'!ad43")</f>
        <v>0</v>
      </c>
      <c r="AE43" s="22">
        <f ca="1">INDIRECT("'("&amp;$A$4&amp;")'!ae43")</f>
        <v>0</v>
      </c>
      <c r="AF43" s="23" t="str">
        <f t="shared" ca="1" si="28"/>
        <v>-</v>
      </c>
      <c r="AG43" s="22"/>
      <c r="AH43" s="22">
        <f ca="1">INDIRECT("'("&amp;$A$4&amp;")'!ah43")</f>
        <v>1</v>
      </c>
      <c r="AI43" s="22">
        <f ca="1">INDIRECT("'("&amp;$A$4&amp;")'!ai43")</f>
        <v>3</v>
      </c>
      <c r="AJ43" s="22">
        <f ca="1">INDIRECT("'("&amp;$A$4&amp;")'!aj43")</f>
        <v>3</v>
      </c>
      <c r="AK43" s="22">
        <f ca="1">INDIRECT("'("&amp;$A$4&amp;")'!ak43")</f>
        <v>3</v>
      </c>
      <c r="AL43" s="22">
        <f ca="1">INDIRECT("'("&amp;$A$4&amp;")'!al43")</f>
        <v>0</v>
      </c>
      <c r="AM43" s="22">
        <f ca="1">INDIRECT("'("&amp;$A$4&amp;")'!am43")</f>
        <v>0</v>
      </c>
      <c r="AN43" s="23">
        <f t="shared" ca="1" si="29"/>
        <v>38.299999999999997</v>
      </c>
      <c r="AO43" s="22"/>
      <c r="AP43" s="21">
        <f t="shared" ca="1" si="30"/>
        <v>8</v>
      </c>
      <c r="AQ43" s="21">
        <f t="shared" ca="1" si="31"/>
        <v>17</v>
      </c>
      <c r="AR43" s="21">
        <f t="shared" ca="1" si="32"/>
        <v>6</v>
      </c>
      <c r="AS43" s="21">
        <f t="shared" ca="1" si="33"/>
        <v>3</v>
      </c>
      <c r="AT43" s="21">
        <f t="shared" ca="1" si="34"/>
        <v>0</v>
      </c>
      <c r="AU43" s="21">
        <f t="shared" ca="1" si="35"/>
        <v>0</v>
      </c>
      <c r="AV43" s="23">
        <f t="shared" ca="1" si="36"/>
        <v>31.308823529411768</v>
      </c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7" customFormat="1" ht="15" customHeight="1" x14ac:dyDescent="0.35">
      <c r="A44" s="2" t="s">
        <v>49</v>
      </c>
      <c r="B44" s="22">
        <f ca="1">INDIRECT("'("&amp;$A$4&amp;")'!b44")</f>
        <v>0</v>
      </c>
      <c r="C44" s="22">
        <f ca="1">INDIRECT("'("&amp;$A$4&amp;")'!c44")</f>
        <v>1</v>
      </c>
      <c r="D44" s="22">
        <f ca="1">INDIRECT("'("&amp;$A$4&amp;")'!d44")</f>
        <v>1</v>
      </c>
      <c r="E44" s="22">
        <f ca="1">INDIRECT("'("&amp;$A$4&amp;")'!e44")</f>
        <v>0</v>
      </c>
      <c r="F44" s="22">
        <f ca="1">INDIRECT("'("&amp;$A$4&amp;")'!f44")</f>
        <v>0</v>
      </c>
      <c r="G44" s="22">
        <f ca="1">INDIRECT("'("&amp;$A$4&amp;")'!g44")</f>
        <v>0</v>
      </c>
      <c r="H44" s="23">
        <f t="shared" ca="1" si="16"/>
        <v>35.25</v>
      </c>
      <c r="I44" s="22"/>
      <c r="J44" s="22">
        <f ca="1">INDIRECT("'("&amp;$A$4&amp;")'!j44")</f>
        <v>10</v>
      </c>
      <c r="K44" s="22">
        <f ca="1">INDIRECT("'("&amp;$A$4&amp;")'!k44")</f>
        <v>20</v>
      </c>
      <c r="L44" s="22">
        <f ca="1">INDIRECT("'("&amp;$A$4&amp;")'!l44")</f>
        <v>13</v>
      </c>
      <c r="M44" s="22">
        <f ca="1">INDIRECT("'("&amp;$A$4&amp;")'!m44")</f>
        <v>6</v>
      </c>
      <c r="N44" s="22">
        <f ca="1">INDIRECT("'("&amp;$A$4&amp;")'!n44")</f>
        <v>0</v>
      </c>
      <c r="O44" s="22">
        <f ca="1">INDIRECT("'("&amp;$A$4&amp;")'!o44")</f>
        <v>0</v>
      </c>
      <c r="P44" s="23">
        <f t="shared" ca="1" si="18"/>
        <v>33.255102040816325</v>
      </c>
      <c r="Q44" s="22"/>
      <c r="R44" s="21">
        <f t="shared" ca="1" si="19"/>
        <v>10</v>
      </c>
      <c r="S44" s="21">
        <f t="shared" ca="1" si="20"/>
        <v>21</v>
      </c>
      <c r="T44" s="21">
        <f t="shared" ca="1" si="21"/>
        <v>14</v>
      </c>
      <c r="U44" s="21">
        <f t="shared" ca="1" si="22"/>
        <v>6</v>
      </c>
      <c r="V44" s="21">
        <f t="shared" ca="1" si="23"/>
        <v>0</v>
      </c>
      <c r="W44" s="21">
        <f t="shared" ca="1" si="24"/>
        <v>0</v>
      </c>
      <c r="X44" s="23">
        <f t="shared" ca="1" si="27"/>
        <v>33.333333333333329</v>
      </c>
      <c r="Y44" s="22"/>
      <c r="Z44" s="22">
        <f ca="1">INDIRECT("'("&amp;$A$4&amp;")'!z44")</f>
        <v>0</v>
      </c>
      <c r="AA44" s="22">
        <f ca="1">INDIRECT("'("&amp;$A$4&amp;")'!aa44")</f>
        <v>0</v>
      </c>
      <c r="AB44" s="22">
        <f ca="1">INDIRECT("'("&amp;$A$4&amp;")'!ab44")</f>
        <v>0</v>
      </c>
      <c r="AC44" s="22">
        <f ca="1">INDIRECT("'("&amp;$A$4&amp;")'!ac44")</f>
        <v>0</v>
      </c>
      <c r="AD44" s="22">
        <f ca="1">INDIRECT("'("&amp;$A$4&amp;")'!ad44")</f>
        <v>0</v>
      </c>
      <c r="AE44" s="22">
        <f ca="1">INDIRECT("'("&amp;$A$4&amp;")'!ae44")</f>
        <v>0</v>
      </c>
      <c r="AF44" s="23" t="str">
        <f t="shared" ca="1" si="28"/>
        <v>-</v>
      </c>
      <c r="AG44" s="22"/>
      <c r="AH44" s="22">
        <f ca="1">INDIRECT("'("&amp;$A$4&amp;")'!ah44")</f>
        <v>1</v>
      </c>
      <c r="AI44" s="22">
        <f ca="1">INDIRECT("'("&amp;$A$4&amp;")'!ai44")</f>
        <v>3</v>
      </c>
      <c r="AJ44" s="22">
        <f ca="1">INDIRECT("'("&amp;$A$4&amp;")'!aj44")</f>
        <v>0</v>
      </c>
      <c r="AK44" s="22">
        <f ca="1">INDIRECT("'("&amp;$A$4&amp;")'!ak44")</f>
        <v>1</v>
      </c>
      <c r="AL44" s="22">
        <f ca="1">INDIRECT("'("&amp;$A$4&amp;")'!al44")</f>
        <v>1</v>
      </c>
      <c r="AM44" s="22">
        <f ca="1">INDIRECT("'("&amp;$A$4&amp;")'!am44")</f>
        <v>0</v>
      </c>
      <c r="AN44" s="23">
        <f t="shared" ca="1" si="29"/>
        <v>36.083333333333329</v>
      </c>
      <c r="AO44" s="22"/>
      <c r="AP44" s="21">
        <f t="shared" ca="1" si="30"/>
        <v>11</v>
      </c>
      <c r="AQ44" s="21">
        <f t="shared" ca="1" si="31"/>
        <v>24</v>
      </c>
      <c r="AR44" s="21">
        <f t="shared" ca="1" si="32"/>
        <v>14</v>
      </c>
      <c r="AS44" s="21">
        <f t="shared" ca="1" si="33"/>
        <v>7</v>
      </c>
      <c r="AT44" s="21">
        <f t="shared" ca="1" si="34"/>
        <v>1</v>
      </c>
      <c r="AU44" s="21">
        <f t="shared" ca="1" si="35"/>
        <v>0</v>
      </c>
      <c r="AV44" s="23">
        <f t="shared" ca="1" si="36"/>
        <v>33.622807017543856</v>
      </c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7" customFormat="1" ht="15" customHeight="1" x14ac:dyDescent="0.35">
      <c r="A45" s="2" t="s">
        <v>50</v>
      </c>
      <c r="B45" s="22">
        <f ca="1">INDIRECT("'("&amp;$A$4&amp;")'!b45")</f>
        <v>1</v>
      </c>
      <c r="C45" s="22">
        <f ca="1">INDIRECT("'("&amp;$A$4&amp;")'!c45")</f>
        <v>2</v>
      </c>
      <c r="D45" s="22">
        <f ca="1">INDIRECT("'("&amp;$A$4&amp;")'!d45")</f>
        <v>2</v>
      </c>
      <c r="E45" s="22">
        <f ca="1">INDIRECT("'("&amp;$A$4&amp;")'!e45")</f>
        <v>2</v>
      </c>
      <c r="F45" s="22">
        <f ca="1">INDIRECT("'("&amp;$A$4&amp;")'!f45")</f>
        <v>1</v>
      </c>
      <c r="G45" s="22">
        <f ca="1">INDIRECT("'("&amp;$A$4&amp;")'!g45")</f>
        <v>0</v>
      </c>
      <c r="H45" s="23">
        <f t="shared" ca="1" si="16"/>
        <v>39.75</v>
      </c>
      <c r="I45" s="22"/>
      <c r="J45" s="22">
        <f ca="1">INDIRECT("'("&amp;$A$4&amp;")'!j45")</f>
        <v>3</v>
      </c>
      <c r="K45" s="22">
        <f ca="1">INDIRECT("'("&amp;$A$4&amp;")'!k45")</f>
        <v>0</v>
      </c>
      <c r="L45" s="22">
        <f ca="1">INDIRECT("'("&amp;$A$4&amp;")'!l45")</f>
        <v>2</v>
      </c>
      <c r="M45" s="22">
        <f ca="1">INDIRECT("'("&amp;$A$4&amp;")'!m45")</f>
        <v>3</v>
      </c>
      <c r="N45" s="22">
        <f ca="1">INDIRECT("'("&amp;$A$4&amp;")'!n45")</f>
        <v>1</v>
      </c>
      <c r="O45" s="22">
        <f ca="1">INDIRECT("'("&amp;$A$4&amp;")'!o45")</f>
        <v>0</v>
      </c>
      <c r="P45" s="23">
        <f t="shared" ca="1" si="18"/>
        <v>38.722222222222221</v>
      </c>
      <c r="Q45" s="22"/>
      <c r="R45" s="21">
        <f t="shared" ca="1" si="19"/>
        <v>4</v>
      </c>
      <c r="S45" s="21">
        <f t="shared" ca="1" si="20"/>
        <v>2</v>
      </c>
      <c r="T45" s="21">
        <f t="shared" ca="1" si="21"/>
        <v>4</v>
      </c>
      <c r="U45" s="21">
        <f t="shared" ca="1" si="22"/>
        <v>5</v>
      </c>
      <c r="V45" s="21">
        <f t="shared" ca="1" si="23"/>
        <v>2</v>
      </c>
      <c r="W45" s="21">
        <f t="shared" ca="1" si="24"/>
        <v>0</v>
      </c>
      <c r="X45" s="23">
        <f t="shared" ca="1" si="27"/>
        <v>39.205882352941174</v>
      </c>
      <c r="Y45" s="22"/>
      <c r="Z45" s="22">
        <f ca="1">INDIRECT("'("&amp;$A$4&amp;")'!z45")</f>
        <v>1</v>
      </c>
      <c r="AA45" s="22">
        <f ca="1">INDIRECT("'("&amp;$A$4&amp;")'!aa45")</f>
        <v>2</v>
      </c>
      <c r="AB45" s="22">
        <f ca="1">INDIRECT("'("&amp;$A$4&amp;")'!ab45")</f>
        <v>0</v>
      </c>
      <c r="AC45" s="22">
        <f ca="1">INDIRECT("'("&amp;$A$4&amp;")'!ac45")</f>
        <v>0</v>
      </c>
      <c r="AD45" s="22">
        <f ca="1">INDIRECT("'("&amp;$A$4&amp;")'!ad45")</f>
        <v>0</v>
      </c>
      <c r="AE45" s="22">
        <f ca="1">INDIRECT("'("&amp;$A$4&amp;")'!ae45")</f>
        <v>0</v>
      </c>
      <c r="AF45" s="23">
        <f t="shared" ca="1" si="28"/>
        <v>26.666666666666664</v>
      </c>
      <c r="AG45" s="22"/>
      <c r="AH45" s="22">
        <f ca="1">INDIRECT("'("&amp;$A$4&amp;")'!ah45")</f>
        <v>0</v>
      </c>
      <c r="AI45" s="22">
        <f ca="1">INDIRECT("'("&amp;$A$4&amp;")'!ai45")</f>
        <v>0</v>
      </c>
      <c r="AJ45" s="22">
        <f ca="1">INDIRECT("'("&amp;$A$4&amp;")'!aj45")</f>
        <v>0</v>
      </c>
      <c r="AK45" s="22">
        <f ca="1">INDIRECT("'("&amp;$A$4&amp;")'!ak45")</f>
        <v>1</v>
      </c>
      <c r="AL45" s="22">
        <f ca="1">INDIRECT("'("&amp;$A$4&amp;")'!al45")</f>
        <v>0</v>
      </c>
      <c r="AM45" s="22">
        <f ca="1">INDIRECT("'("&amp;$A$4&amp;")'!am45")</f>
        <v>0</v>
      </c>
      <c r="AN45" s="23">
        <f t="shared" ca="1" si="29"/>
        <v>50.5</v>
      </c>
      <c r="AO45" s="22"/>
      <c r="AP45" s="21">
        <f t="shared" ca="1" si="30"/>
        <v>5</v>
      </c>
      <c r="AQ45" s="21">
        <f t="shared" ca="1" si="31"/>
        <v>4</v>
      </c>
      <c r="AR45" s="21">
        <f t="shared" ca="1" si="32"/>
        <v>4</v>
      </c>
      <c r="AS45" s="21">
        <f t="shared" ca="1" si="33"/>
        <v>6</v>
      </c>
      <c r="AT45" s="21">
        <f t="shared" ca="1" si="34"/>
        <v>2</v>
      </c>
      <c r="AU45" s="21">
        <f t="shared" ca="1" si="35"/>
        <v>0</v>
      </c>
      <c r="AV45" s="23">
        <f t="shared" ca="1" si="36"/>
        <v>37.952380952380956</v>
      </c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15" customHeight="1" x14ac:dyDescent="0.35">
      <c r="A46" s="2" t="s">
        <v>51</v>
      </c>
      <c r="B46" s="22">
        <f ca="1">INDIRECT("'("&amp;$A$4&amp;")'!b46")</f>
        <v>3</v>
      </c>
      <c r="C46" s="22">
        <f ca="1">INDIRECT("'("&amp;$A$4&amp;")'!c46")</f>
        <v>19</v>
      </c>
      <c r="D46" s="22">
        <f ca="1">INDIRECT("'("&amp;$A$4&amp;")'!d46")</f>
        <v>5</v>
      </c>
      <c r="E46" s="22">
        <f ca="1">INDIRECT("'("&amp;$A$4&amp;")'!e46")</f>
        <v>3</v>
      </c>
      <c r="F46" s="22">
        <f ca="1">INDIRECT("'("&amp;$A$4&amp;")'!f46")</f>
        <v>1</v>
      </c>
      <c r="G46" s="22">
        <f ca="1">INDIRECT("'("&amp;$A$4&amp;")'!g46")</f>
        <v>0</v>
      </c>
      <c r="H46" s="23">
        <f t="shared" ca="1" si="16"/>
        <v>33.548387096774192</v>
      </c>
      <c r="I46" s="22"/>
      <c r="J46" s="22">
        <f ca="1">INDIRECT("'("&amp;$A$4&amp;")'!j46")</f>
        <v>3</v>
      </c>
      <c r="K46" s="22">
        <f ca="1">INDIRECT("'("&amp;$A$4&amp;")'!k46")</f>
        <v>11</v>
      </c>
      <c r="L46" s="22">
        <f ca="1">INDIRECT("'("&amp;$A$4&amp;")'!l46")</f>
        <v>2</v>
      </c>
      <c r="M46" s="22">
        <f ca="1">INDIRECT("'("&amp;$A$4&amp;")'!m46")</f>
        <v>4</v>
      </c>
      <c r="N46" s="22">
        <f ca="1">INDIRECT("'("&amp;$A$4&amp;")'!n46")</f>
        <v>0</v>
      </c>
      <c r="O46" s="22">
        <f ca="1">INDIRECT("'("&amp;$A$4&amp;")'!o46")</f>
        <v>0</v>
      </c>
      <c r="P46" s="23">
        <f t="shared" ca="1" si="18"/>
        <v>33.650000000000006</v>
      </c>
      <c r="Q46" s="22"/>
      <c r="R46" s="21">
        <f t="shared" ca="1" si="19"/>
        <v>6</v>
      </c>
      <c r="S46" s="21">
        <f t="shared" ca="1" si="20"/>
        <v>30</v>
      </c>
      <c r="T46" s="21">
        <f t="shared" ca="1" si="21"/>
        <v>7</v>
      </c>
      <c r="U46" s="21">
        <f t="shared" ca="1" si="22"/>
        <v>7</v>
      </c>
      <c r="V46" s="21">
        <f t="shared" ca="1" si="23"/>
        <v>1</v>
      </c>
      <c r="W46" s="21">
        <f t="shared" ca="1" si="24"/>
        <v>0</v>
      </c>
      <c r="X46" s="23">
        <f t="shared" ca="1" si="27"/>
        <v>33.588235294117652</v>
      </c>
      <c r="Y46" s="22"/>
      <c r="Z46" s="22">
        <f ca="1">INDIRECT("'("&amp;$A$4&amp;")'!z46")</f>
        <v>0</v>
      </c>
      <c r="AA46" s="22">
        <f ca="1">INDIRECT("'("&amp;$A$4&amp;")'!aa46")</f>
        <v>2</v>
      </c>
      <c r="AB46" s="22">
        <f ca="1">INDIRECT("'("&amp;$A$4&amp;")'!ab46")</f>
        <v>0</v>
      </c>
      <c r="AC46" s="22">
        <f ca="1">INDIRECT("'("&amp;$A$4&amp;")'!ac46")</f>
        <v>1</v>
      </c>
      <c r="AD46" s="22">
        <f ca="1">INDIRECT("'("&amp;$A$4&amp;")'!ad46")</f>
        <v>0</v>
      </c>
      <c r="AE46" s="22">
        <f ca="1">INDIRECT("'("&amp;$A$4&amp;")'!ae46")</f>
        <v>0</v>
      </c>
      <c r="AF46" s="23">
        <f t="shared" ca="1" si="28"/>
        <v>36.833333333333329</v>
      </c>
      <c r="AG46" s="22"/>
      <c r="AH46" s="22">
        <f ca="1">INDIRECT("'("&amp;$A$4&amp;")'!ah46")</f>
        <v>1</v>
      </c>
      <c r="AI46" s="22">
        <f ca="1">INDIRECT("'("&amp;$A$4&amp;")'!ai46")</f>
        <v>5</v>
      </c>
      <c r="AJ46" s="22">
        <f ca="1">INDIRECT("'("&amp;$A$4&amp;")'!aj46")</f>
        <v>9</v>
      </c>
      <c r="AK46" s="22">
        <f ca="1">INDIRECT("'("&amp;$A$4&amp;")'!ak46")</f>
        <v>3</v>
      </c>
      <c r="AL46" s="22">
        <f ca="1">INDIRECT("'("&amp;$A$4&amp;")'!al46")</f>
        <v>2</v>
      </c>
      <c r="AM46" s="22">
        <f ca="1">INDIRECT("'("&amp;$A$4&amp;")'!am46")</f>
        <v>0</v>
      </c>
      <c r="AN46" s="23">
        <f t="shared" ca="1" si="29"/>
        <v>39.9</v>
      </c>
      <c r="AO46" s="22"/>
      <c r="AP46" s="21">
        <f t="shared" ca="1" si="30"/>
        <v>7</v>
      </c>
      <c r="AQ46" s="21">
        <f t="shared" ca="1" si="31"/>
        <v>37</v>
      </c>
      <c r="AR46" s="21">
        <f t="shared" ca="1" si="32"/>
        <v>16</v>
      </c>
      <c r="AS46" s="21">
        <f t="shared" ca="1" si="33"/>
        <v>11</v>
      </c>
      <c r="AT46" s="21">
        <f t="shared" ca="1" si="34"/>
        <v>3</v>
      </c>
      <c r="AU46" s="21">
        <f t="shared" ca="1" si="35"/>
        <v>0</v>
      </c>
      <c r="AV46" s="23">
        <f t="shared" ca="1" si="36"/>
        <v>35.425675675675677</v>
      </c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7" customFormat="1" ht="15" customHeight="1" x14ac:dyDescent="0.35">
      <c r="A47" s="2" t="s">
        <v>52</v>
      </c>
      <c r="B47" s="22">
        <f ca="1">INDIRECT("'("&amp;$A$4&amp;")'!b47")</f>
        <v>4</v>
      </c>
      <c r="C47" s="22">
        <f ca="1">INDIRECT("'("&amp;$A$4&amp;")'!c47")</f>
        <v>16</v>
      </c>
      <c r="D47" s="22">
        <f ca="1">INDIRECT("'("&amp;$A$4&amp;")'!d47")</f>
        <v>4</v>
      </c>
      <c r="E47" s="22">
        <f ca="1">INDIRECT("'("&amp;$A$4&amp;")'!e47")</f>
        <v>0</v>
      </c>
      <c r="F47" s="22">
        <f ca="1">INDIRECT("'("&amp;$A$4&amp;")'!f47")</f>
        <v>0</v>
      </c>
      <c r="G47" s="22">
        <f ca="1">INDIRECT("'("&amp;$A$4&amp;")'!g47")</f>
        <v>0</v>
      </c>
      <c r="H47" s="23">
        <f t="shared" ca="1" si="16"/>
        <v>30.083333333333332</v>
      </c>
      <c r="I47" s="22"/>
      <c r="J47" s="22">
        <f ca="1">INDIRECT("'("&amp;$A$4&amp;")'!j47")</f>
        <v>19</v>
      </c>
      <c r="K47" s="22">
        <f ca="1">INDIRECT("'("&amp;$A$4&amp;")'!k47")</f>
        <v>20</v>
      </c>
      <c r="L47" s="22">
        <f ca="1">INDIRECT("'("&amp;$A$4&amp;")'!l47")</f>
        <v>5</v>
      </c>
      <c r="M47" s="22">
        <f ca="1">INDIRECT("'("&amp;$A$4&amp;")'!m47")</f>
        <v>1</v>
      </c>
      <c r="N47" s="22">
        <f ca="1">INDIRECT("'("&amp;$A$4&amp;")'!n47")</f>
        <v>0</v>
      </c>
      <c r="O47" s="22">
        <f ca="1">INDIRECT("'("&amp;$A$4&amp;")'!o47")</f>
        <v>2</v>
      </c>
      <c r="P47" s="23">
        <f t="shared" ca="1" si="18"/>
        <v>27.400000000000002</v>
      </c>
      <c r="Q47" s="22"/>
      <c r="R47" s="21">
        <f t="shared" ca="1" si="19"/>
        <v>23</v>
      </c>
      <c r="S47" s="21">
        <f t="shared" ca="1" si="20"/>
        <v>36</v>
      </c>
      <c r="T47" s="21">
        <f t="shared" ca="1" si="21"/>
        <v>9</v>
      </c>
      <c r="U47" s="21">
        <f t="shared" ca="1" si="22"/>
        <v>1</v>
      </c>
      <c r="V47" s="21">
        <f t="shared" ca="1" si="23"/>
        <v>0</v>
      </c>
      <c r="W47" s="21">
        <f t="shared" ca="1" si="24"/>
        <v>2</v>
      </c>
      <c r="X47" s="23">
        <f t="shared" ca="1" si="27"/>
        <v>28.333333333333336</v>
      </c>
      <c r="Y47" s="22"/>
      <c r="Z47" s="22">
        <f ca="1">INDIRECT("'("&amp;$A$4&amp;")'!z47")</f>
        <v>0</v>
      </c>
      <c r="AA47" s="22">
        <f ca="1">INDIRECT("'("&amp;$A$4&amp;")'!aa47")</f>
        <v>0</v>
      </c>
      <c r="AB47" s="22">
        <f ca="1">INDIRECT("'("&amp;$A$4&amp;")'!ab47")</f>
        <v>0</v>
      </c>
      <c r="AC47" s="22">
        <f ca="1">INDIRECT("'("&amp;$A$4&amp;")'!ac47")</f>
        <v>0</v>
      </c>
      <c r="AD47" s="22">
        <f ca="1">INDIRECT("'("&amp;$A$4&amp;")'!ad47")</f>
        <v>0</v>
      </c>
      <c r="AE47" s="22">
        <f ca="1">INDIRECT("'("&amp;$A$4&amp;")'!ae47")</f>
        <v>0</v>
      </c>
      <c r="AF47" s="23" t="str">
        <f t="shared" ca="1" si="28"/>
        <v>-</v>
      </c>
      <c r="AG47" s="22"/>
      <c r="AH47" s="22">
        <f ca="1">INDIRECT("'("&amp;$A$4&amp;")'!ah47")</f>
        <v>1</v>
      </c>
      <c r="AI47" s="22">
        <f ca="1">INDIRECT("'("&amp;$A$4&amp;")'!ai47")</f>
        <v>1</v>
      </c>
      <c r="AJ47" s="22">
        <f ca="1">INDIRECT("'("&amp;$A$4&amp;")'!aj47")</f>
        <v>2</v>
      </c>
      <c r="AK47" s="22">
        <f ca="1">INDIRECT("'("&amp;$A$4&amp;")'!ak47")</f>
        <v>2</v>
      </c>
      <c r="AL47" s="22">
        <f ca="1">INDIRECT("'("&amp;$A$4&amp;")'!al47")</f>
        <v>4</v>
      </c>
      <c r="AM47" s="22">
        <f ca="1">INDIRECT("'("&amp;$A$4&amp;")'!am47")</f>
        <v>0</v>
      </c>
      <c r="AN47" s="23">
        <f t="shared" ca="1" si="29"/>
        <v>45.600000000000009</v>
      </c>
      <c r="AO47" s="22"/>
      <c r="AP47" s="21">
        <f t="shared" ca="1" si="30"/>
        <v>24</v>
      </c>
      <c r="AQ47" s="21">
        <f t="shared" ca="1" si="31"/>
        <v>37</v>
      </c>
      <c r="AR47" s="21">
        <f t="shared" ca="1" si="32"/>
        <v>11</v>
      </c>
      <c r="AS47" s="21">
        <f t="shared" ca="1" si="33"/>
        <v>3</v>
      </c>
      <c r="AT47" s="21">
        <f t="shared" ca="1" si="34"/>
        <v>4</v>
      </c>
      <c r="AU47" s="21">
        <f t="shared" ca="1" si="35"/>
        <v>2</v>
      </c>
      <c r="AV47" s="23">
        <f t="shared" ca="1" si="36"/>
        <v>30.518987341772153</v>
      </c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7" customFormat="1" ht="15" customHeight="1" x14ac:dyDescent="0.35">
      <c r="A48" s="2" t="s">
        <v>53</v>
      </c>
      <c r="B48" s="22">
        <f ca="1">INDIRECT("'("&amp;$A$4&amp;")'!b48")</f>
        <v>0</v>
      </c>
      <c r="C48" s="22">
        <f ca="1">INDIRECT("'("&amp;$A$4&amp;")'!c48")</f>
        <v>0</v>
      </c>
      <c r="D48" s="22">
        <f ca="1">INDIRECT("'("&amp;$A$4&amp;")'!d48")</f>
        <v>0</v>
      </c>
      <c r="E48" s="22">
        <f ca="1">INDIRECT("'("&amp;$A$4&amp;")'!e48")</f>
        <v>0</v>
      </c>
      <c r="F48" s="22">
        <f ca="1">INDIRECT("'("&amp;$A$4&amp;")'!f48")</f>
        <v>0</v>
      </c>
      <c r="G48" s="22">
        <f ca="1">INDIRECT("'("&amp;$A$4&amp;")'!g48")</f>
        <v>0</v>
      </c>
      <c r="H48" s="23" t="str">
        <f t="shared" ca="1" si="16"/>
        <v>-</v>
      </c>
      <c r="I48" s="22"/>
      <c r="J48" s="22">
        <f ca="1">INDIRECT("'("&amp;$A$4&amp;")'!j48")</f>
        <v>0</v>
      </c>
      <c r="K48" s="22">
        <f ca="1">INDIRECT("'("&amp;$A$4&amp;")'!k48")</f>
        <v>1</v>
      </c>
      <c r="L48" s="22">
        <f ca="1">INDIRECT("'("&amp;$A$4&amp;")'!l48")</f>
        <v>1</v>
      </c>
      <c r="M48" s="22">
        <f ca="1">INDIRECT("'("&amp;$A$4&amp;")'!m48")</f>
        <v>0</v>
      </c>
      <c r="N48" s="22">
        <f ca="1">INDIRECT("'("&amp;$A$4&amp;")'!n48")</f>
        <v>0</v>
      </c>
      <c r="O48" s="22">
        <f ca="1">INDIRECT("'("&amp;$A$4&amp;")'!o48")</f>
        <v>0</v>
      </c>
      <c r="P48" s="23">
        <f t="shared" ca="1" si="18"/>
        <v>35.25</v>
      </c>
      <c r="Q48" s="22"/>
      <c r="R48" s="21">
        <f t="shared" ca="1" si="19"/>
        <v>0</v>
      </c>
      <c r="S48" s="21">
        <f t="shared" ca="1" si="20"/>
        <v>1</v>
      </c>
      <c r="T48" s="21">
        <f t="shared" ca="1" si="21"/>
        <v>1</v>
      </c>
      <c r="U48" s="21">
        <f t="shared" ca="1" si="22"/>
        <v>0</v>
      </c>
      <c r="V48" s="21">
        <f t="shared" ca="1" si="23"/>
        <v>0</v>
      </c>
      <c r="W48" s="21">
        <f t="shared" ca="1" si="24"/>
        <v>0</v>
      </c>
      <c r="X48" s="23">
        <f t="shared" ca="1" si="27"/>
        <v>35.25</v>
      </c>
      <c r="Y48" s="22"/>
      <c r="Z48" s="22">
        <f ca="1">INDIRECT("'("&amp;$A$4&amp;")'!z48")</f>
        <v>0</v>
      </c>
      <c r="AA48" s="22">
        <f ca="1">INDIRECT("'("&amp;$A$4&amp;")'!aa48")</f>
        <v>0</v>
      </c>
      <c r="AB48" s="22">
        <f ca="1">INDIRECT("'("&amp;$A$4&amp;")'!ab48")</f>
        <v>0</v>
      </c>
      <c r="AC48" s="22">
        <f ca="1">INDIRECT("'("&amp;$A$4&amp;")'!ac48")</f>
        <v>0</v>
      </c>
      <c r="AD48" s="22">
        <f ca="1">INDIRECT("'("&amp;$A$4&amp;")'!ad48")</f>
        <v>0</v>
      </c>
      <c r="AE48" s="22">
        <f ca="1">INDIRECT("'("&amp;$A$4&amp;")'!ae48")</f>
        <v>0</v>
      </c>
      <c r="AF48" s="23" t="str">
        <f t="shared" ca="1" si="28"/>
        <v>-</v>
      </c>
      <c r="AG48" s="22"/>
      <c r="AH48" s="22">
        <f ca="1">INDIRECT("'("&amp;$A$4&amp;")'!ah48")</f>
        <v>0</v>
      </c>
      <c r="AI48" s="22">
        <f ca="1">INDIRECT("'("&amp;$A$4&amp;")'!ai48")</f>
        <v>0</v>
      </c>
      <c r="AJ48" s="22">
        <f ca="1">INDIRECT("'("&amp;$A$4&amp;")'!aj48")</f>
        <v>0</v>
      </c>
      <c r="AK48" s="22">
        <f ca="1">INDIRECT("'("&amp;$A$4&amp;")'!ak48")</f>
        <v>0</v>
      </c>
      <c r="AL48" s="22">
        <f ca="1">INDIRECT("'("&amp;$A$4&amp;")'!al48")</f>
        <v>0</v>
      </c>
      <c r="AM48" s="22">
        <f ca="1">INDIRECT("'("&amp;$A$4&amp;")'!am48")</f>
        <v>0</v>
      </c>
      <c r="AN48" s="23" t="str">
        <f t="shared" ca="1" si="29"/>
        <v>-</v>
      </c>
      <c r="AO48" s="22"/>
      <c r="AP48" s="21">
        <f t="shared" ca="1" si="30"/>
        <v>0</v>
      </c>
      <c r="AQ48" s="21">
        <f t="shared" ca="1" si="31"/>
        <v>1</v>
      </c>
      <c r="AR48" s="21">
        <f t="shared" ca="1" si="32"/>
        <v>1</v>
      </c>
      <c r="AS48" s="21">
        <f t="shared" ca="1" si="33"/>
        <v>0</v>
      </c>
      <c r="AT48" s="21">
        <f t="shared" ca="1" si="34"/>
        <v>0</v>
      </c>
      <c r="AU48" s="21">
        <f t="shared" ca="1" si="35"/>
        <v>0</v>
      </c>
      <c r="AV48" s="23">
        <f t="shared" ca="1" si="36"/>
        <v>35.25</v>
      </c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15" customHeight="1" x14ac:dyDescent="0.35">
      <c r="A49" s="20" t="s">
        <v>54</v>
      </c>
      <c r="B49" s="21">
        <f ca="1">SUM(B50:B56)</f>
        <v>99</v>
      </c>
      <c r="C49" s="21">
        <f t="shared" ref="C49:G49" ca="1" si="37">SUM(C50:C56)</f>
        <v>273</v>
      </c>
      <c r="D49" s="21">
        <f t="shared" ca="1" si="37"/>
        <v>57</v>
      </c>
      <c r="E49" s="21">
        <f t="shared" ca="1" si="37"/>
        <v>10</v>
      </c>
      <c r="F49" s="21">
        <f t="shared" ca="1" si="37"/>
        <v>1</v>
      </c>
      <c r="G49" s="21">
        <f t="shared" ca="1" si="37"/>
        <v>0</v>
      </c>
      <c r="H49" s="23">
        <f t="shared" ca="1" si="16"/>
        <v>29.635227272727274</v>
      </c>
      <c r="I49" s="21"/>
      <c r="J49" s="21">
        <f ca="1">SUM(J50:J56)</f>
        <v>10</v>
      </c>
      <c r="K49" s="21">
        <f ca="1">SUM(K50:K56)</f>
        <v>27</v>
      </c>
      <c r="L49" s="21">
        <f t="shared" ref="L49:O49" ca="1" si="38">SUM(L50:L56)</f>
        <v>11</v>
      </c>
      <c r="M49" s="21">
        <f t="shared" ca="1" si="38"/>
        <v>7</v>
      </c>
      <c r="N49" s="21">
        <f t="shared" ca="1" si="38"/>
        <v>0</v>
      </c>
      <c r="O49" s="21">
        <f t="shared" ca="1" si="38"/>
        <v>0</v>
      </c>
      <c r="P49" s="23">
        <f t="shared" ca="1" si="18"/>
        <v>32.890909090909091</v>
      </c>
      <c r="Q49" s="21"/>
      <c r="R49" s="21">
        <f t="shared" ca="1" si="19"/>
        <v>109</v>
      </c>
      <c r="S49" s="21">
        <f t="shared" ca="1" si="20"/>
        <v>300</v>
      </c>
      <c r="T49" s="21">
        <f t="shared" ca="1" si="21"/>
        <v>68</v>
      </c>
      <c r="U49" s="21">
        <f t="shared" ca="1" si="22"/>
        <v>17</v>
      </c>
      <c r="V49" s="21">
        <f t="shared" ca="1" si="23"/>
        <v>1</v>
      </c>
      <c r="W49" s="21">
        <f t="shared" ca="1" si="24"/>
        <v>0</v>
      </c>
      <c r="X49" s="23">
        <f t="shared" ca="1" si="27"/>
        <v>29.996969696969696</v>
      </c>
      <c r="Y49" s="21"/>
      <c r="Z49" s="21">
        <f ca="1">SUM(Z50:Z56)</f>
        <v>5</v>
      </c>
      <c r="AA49" s="21">
        <f t="shared" ref="AA49:AE49" ca="1" si="39">SUM(AA50:AA56)</f>
        <v>17</v>
      </c>
      <c r="AB49" s="21">
        <f t="shared" ca="1" si="39"/>
        <v>8</v>
      </c>
      <c r="AC49" s="21">
        <f t="shared" ca="1" si="39"/>
        <v>3</v>
      </c>
      <c r="AD49" s="21">
        <f t="shared" ca="1" si="39"/>
        <v>0</v>
      </c>
      <c r="AE49" s="21">
        <f t="shared" ca="1" si="39"/>
        <v>0</v>
      </c>
      <c r="AF49" s="23">
        <f t="shared" ca="1" si="28"/>
        <v>32.893939393939398</v>
      </c>
      <c r="AG49" s="21"/>
      <c r="AH49" s="21">
        <f ca="1">SUM(AH50:AH56)</f>
        <v>53</v>
      </c>
      <c r="AI49" s="21">
        <f t="shared" ref="AI49:AM49" ca="1" si="40">SUM(AI50:AI56)</f>
        <v>100</v>
      </c>
      <c r="AJ49" s="21">
        <f t="shared" ca="1" si="40"/>
        <v>66</v>
      </c>
      <c r="AK49" s="21">
        <f t="shared" ca="1" si="40"/>
        <v>60</v>
      </c>
      <c r="AL49" s="21">
        <f t="shared" ca="1" si="40"/>
        <v>23</v>
      </c>
      <c r="AM49" s="21">
        <f t="shared" ca="1" si="40"/>
        <v>0</v>
      </c>
      <c r="AN49" s="23">
        <f t="shared" ca="1" si="29"/>
        <v>36.592715231788077</v>
      </c>
      <c r="AO49" s="21"/>
      <c r="AP49" s="21">
        <f t="shared" ca="1" si="30"/>
        <v>167</v>
      </c>
      <c r="AQ49" s="21">
        <f t="shared" ca="1" si="31"/>
        <v>417</v>
      </c>
      <c r="AR49" s="21">
        <f t="shared" ca="1" si="32"/>
        <v>142</v>
      </c>
      <c r="AS49" s="21">
        <f t="shared" ca="1" si="33"/>
        <v>80</v>
      </c>
      <c r="AT49" s="21">
        <f t="shared" ca="1" si="34"/>
        <v>24</v>
      </c>
      <c r="AU49" s="21">
        <f t="shared" ca="1" si="35"/>
        <v>0</v>
      </c>
      <c r="AV49" s="23">
        <f t="shared" ca="1" si="36"/>
        <v>32.512048192771083</v>
      </c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7" customFormat="1" ht="15" customHeight="1" x14ac:dyDescent="0.35">
      <c r="A50" s="2" t="s">
        <v>55</v>
      </c>
      <c r="B50" s="22">
        <f ca="1">INDIRECT("'("&amp;$A$4&amp;")'!b50")</f>
        <v>11</v>
      </c>
      <c r="C50" s="22">
        <f ca="1">INDIRECT("'("&amp;$A$4&amp;")'!c50")</f>
        <v>35</v>
      </c>
      <c r="D50" s="22">
        <f ca="1">INDIRECT("'("&amp;$A$4&amp;")'!d50")</f>
        <v>9</v>
      </c>
      <c r="E50" s="22">
        <f ca="1">INDIRECT("'("&amp;$A$4&amp;")'!e50")</f>
        <v>0</v>
      </c>
      <c r="F50" s="22">
        <f ca="1">INDIRECT("'("&amp;$A$4&amp;")'!f50")</f>
        <v>0</v>
      </c>
      <c r="G50" s="22">
        <f ca="1">INDIRECT("'("&amp;$A$4&amp;")'!g50")</f>
        <v>0</v>
      </c>
      <c r="H50" s="23">
        <f t="shared" ca="1" si="16"/>
        <v>29.718181818181819</v>
      </c>
      <c r="I50" s="22"/>
      <c r="J50" s="22">
        <f ca="1">INDIRECT("'("&amp;$A$4&amp;")'!j50")</f>
        <v>0</v>
      </c>
      <c r="K50" s="22">
        <f ca="1">INDIRECT("'("&amp;$A$4&amp;")'!k50")</f>
        <v>0</v>
      </c>
      <c r="L50" s="22">
        <f ca="1">INDIRECT("'("&amp;$A$4&amp;")'!l50")</f>
        <v>0</v>
      </c>
      <c r="M50" s="22">
        <f ca="1">INDIRECT("'("&amp;$A$4&amp;")'!m50")</f>
        <v>0</v>
      </c>
      <c r="N50" s="22">
        <f ca="1">INDIRECT("'("&amp;$A$4&amp;")'!n50")</f>
        <v>0</v>
      </c>
      <c r="O50" s="22">
        <f ca="1">INDIRECT("'("&amp;$A$4&amp;")'!o50")</f>
        <v>0</v>
      </c>
      <c r="P50" s="23" t="str">
        <f t="shared" ca="1" si="18"/>
        <v>-</v>
      </c>
      <c r="Q50" s="22"/>
      <c r="R50" s="21">
        <f t="shared" ca="1" si="19"/>
        <v>11</v>
      </c>
      <c r="S50" s="21">
        <f t="shared" ca="1" si="20"/>
        <v>35</v>
      </c>
      <c r="T50" s="21">
        <f t="shared" ca="1" si="21"/>
        <v>9</v>
      </c>
      <c r="U50" s="21">
        <f t="shared" ca="1" si="22"/>
        <v>0</v>
      </c>
      <c r="V50" s="21">
        <f t="shared" ca="1" si="23"/>
        <v>0</v>
      </c>
      <c r="W50" s="21">
        <f t="shared" ca="1" si="24"/>
        <v>0</v>
      </c>
      <c r="X50" s="23">
        <f t="shared" ca="1" si="27"/>
        <v>29.718181818181819</v>
      </c>
      <c r="Y50" s="22"/>
      <c r="Z50" s="22">
        <f ca="1">INDIRECT("'("&amp;$A$4&amp;")'!z50")</f>
        <v>0</v>
      </c>
      <c r="AA50" s="22">
        <f ca="1">INDIRECT("'("&amp;$A$4&amp;")'!aa50")</f>
        <v>0</v>
      </c>
      <c r="AB50" s="22">
        <f ca="1">INDIRECT("'("&amp;$A$4&amp;")'!ab50")</f>
        <v>0</v>
      </c>
      <c r="AC50" s="22">
        <f ca="1">INDIRECT("'("&amp;$A$4&amp;")'!ac50")</f>
        <v>0</v>
      </c>
      <c r="AD50" s="22">
        <f ca="1">INDIRECT("'("&amp;$A$4&amp;")'!ad50")</f>
        <v>0</v>
      </c>
      <c r="AE50" s="22">
        <f ca="1">INDIRECT("'("&amp;$A$4&amp;")'!ae50")</f>
        <v>0</v>
      </c>
      <c r="AF50" s="23" t="str">
        <f t="shared" ca="1" si="28"/>
        <v>-</v>
      </c>
      <c r="AG50" s="22"/>
      <c r="AH50" s="22">
        <f ca="1">INDIRECT("'("&amp;$A$4&amp;")'!ah50")</f>
        <v>16</v>
      </c>
      <c r="AI50" s="22">
        <f ca="1">INDIRECT("'("&amp;$A$4&amp;")'!ai50")</f>
        <v>27</v>
      </c>
      <c r="AJ50" s="22">
        <f ca="1">INDIRECT("'("&amp;$A$4&amp;")'!aj50")</f>
        <v>16</v>
      </c>
      <c r="AK50" s="22">
        <f ca="1">INDIRECT("'("&amp;$A$4&amp;")'!ak50")</f>
        <v>17</v>
      </c>
      <c r="AL50" s="22">
        <f ca="1">INDIRECT("'("&amp;$A$4&amp;")'!al50")</f>
        <v>4</v>
      </c>
      <c r="AM50" s="22">
        <f ca="1">INDIRECT("'("&amp;$A$4&amp;")'!am50")</f>
        <v>0</v>
      </c>
      <c r="AN50" s="23">
        <f t="shared" ca="1" si="29"/>
        <v>35.756249999999994</v>
      </c>
      <c r="AO50" s="22"/>
      <c r="AP50" s="21">
        <f t="shared" ca="1" si="30"/>
        <v>27</v>
      </c>
      <c r="AQ50" s="21">
        <f t="shared" ca="1" si="31"/>
        <v>62</v>
      </c>
      <c r="AR50" s="21">
        <f t="shared" ca="1" si="32"/>
        <v>25</v>
      </c>
      <c r="AS50" s="21">
        <f t="shared" ca="1" si="33"/>
        <v>17</v>
      </c>
      <c r="AT50" s="21">
        <f t="shared" ca="1" si="34"/>
        <v>4</v>
      </c>
      <c r="AU50" s="21">
        <f t="shared" ca="1" si="35"/>
        <v>0</v>
      </c>
      <c r="AV50" s="23">
        <f t="shared" ca="1" si="36"/>
        <v>33.296296296296298</v>
      </c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7" customFormat="1" ht="15" customHeight="1" x14ac:dyDescent="0.35">
      <c r="A51" s="2" t="s">
        <v>56</v>
      </c>
      <c r="B51" s="22">
        <f ca="1">INDIRECT("'("&amp;$A$4&amp;")'!b51")</f>
        <v>7</v>
      </c>
      <c r="C51" s="22">
        <f ca="1">INDIRECT("'("&amp;$A$4&amp;")'!c51")</f>
        <v>21</v>
      </c>
      <c r="D51" s="22">
        <f ca="1">INDIRECT("'("&amp;$A$4&amp;")'!d51")</f>
        <v>4</v>
      </c>
      <c r="E51" s="22">
        <f ca="1">INDIRECT("'("&amp;$A$4&amp;")'!e51")</f>
        <v>0</v>
      </c>
      <c r="F51" s="22">
        <f ca="1">INDIRECT("'("&amp;$A$4&amp;")'!f51")</f>
        <v>0</v>
      </c>
      <c r="G51" s="22">
        <f ca="1">INDIRECT("'("&amp;$A$4&amp;")'!g51")</f>
        <v>0</v>
      </c>
      <c r="H51" s="23">
        <f t="shared" ca="1" si="16"/>
        <v>29.125</v>
      </c>
      <c r="I51" s="22"/>
      <c r="J51" s="22">
        <f ca="1">INDIRECT("'("&amp;$A$4&amp;")'!j51")</f>
        <v>4</v>
      </c>
      <c r="K51" s="22">
        <f ca="1">INDIRECT("'("&amp;$A$4&amp;")'!k51")</f>
        <v>11</v>
      </c>
      <c r="L51" s="22">
        <f ca="1">INDIRECT("'("&amp;$A$4&amp;")'!l51")</f>
        <v>1</v>
      </c>
      <c r="M51" s="22">
        <f ca="1">INDIRECT("'("&amp;$A$4&amp;")'!m51")</f>
        <v>0</v>
      </c>
      <c r="N51" s="22">
        <f ca="1">INDIRECT("'("&amp;$A$4&amp;")'!n51")</f>
        <v>0</v>
      </c>
      <c r="O51" s="22">
        <f ca="1">INDIRECT("'("&amp;$A$4&amp;")'!o51")</f>
        <v>0</v>
      </c>
      <c r="P51" s="23">
        <f t="shared" ca="1" si="18"/>
        <v>28.15625</v>
      </c>
      <c r="Q51" s="22"/>
      <c r="R51" s="21">
        <f t="shared" ca="1" si="19"/>
        <v>11</v>
      </c>
      <c r="S51" s="21">
        <f t="shared" ca="1" si="20"/>
        <v>32</v>
      </c>
      <c r="T51" s="21">
        <f t="shared" ca="1" si="21"/>
        <v>5</v>
      </c>
      <c r="U51" s="21">
        <f t="shared" ca="1" si="22"/>
        <v>0</v>
      </c>
      <c r="V51" s="21">
        <f t="shared" ca="1" si="23"/>
        <v>0</v>
      </c>
      <c r="W51" s="21">
        <f t="shared" ca="1" si="24"/>
        <v>0</v>
      </c>
      <c r="X51" s="23">
        <f t="shared" ca="1" si="27"/>
        <v>28.802083333333332</v>
      </c>
      <c r="Y51" s="22"/>
      <c r="Z51" s="22">
        <f ca="1">INDIRECT("'("&amp;$A$4&amp;")'!z51")</f>
        <v>1</v>
      </c>
      <c r="AA51" s="22">
        <f ca="1">INDIRECT("'("&amp;$A$4&amp;")'!aa51")</f>
        <v>4</v>
      </c>
      <c r="AB51" s="22">
        <f ca="1">INDIRECT("'("&amp;$A$4&amp;")'!ab51")</f>
        <v>2</v>
      </c>
      <c r="AC51" s="22">
        <f ca="1">INDIRECT("'("&amp;$A$4&amp;")'!ac51")</f>
        <v>0</v>
      </c>
      <c r="AD51" s="22">
        <f ca="1">INDIRECT("'("&amp;$A$4&amp;")'!ad51")</f>
        <v>0</v>
      </c>
      <c r="AE51" s="22">
        <f ca="1">INDIRECT("'("&amp;$A$4&amp;")'!ae51")</f>
        <v>0</v>
      </c>
      <c r="AF51" s="23">
        <f t="shared" ca="1" si="28"/>
        <v>31.571428571428569</v>
      </c>
      <c r="AG51" s="22"/>
      <c r="AH51" s="22">
        <f ca="1">INDIRECT("'("&amp;$A$4&amp;")'!ah51")</f>
        <v>12</v>
      </c>
      <c r="AI51" s="22">
        <f ca="1">INDIRECT("'("&amp;$A$4&amp;")'!ai51")</f>
        <v>1</v>
      </c>
      <c r="AJ51" s="22">
        <f ca="1">INDIRECT("'("&amp;$A$4&amp;")'!aj51")</f>
        <v>1</v>
      </c>
      <c r="AK51" s="22">
        <f ca="1">INDIRECT("'("&amp;$A$4&amp;")'!ak51")</f>
        <v>2</v>
      </c>
      <c r="AL51" s="22">
        <f ca="1">INDIRECT("'("&amp;$A$4&amp;")'!al51")</f>
        <v>1</v>
      </c>
      <c r="AM51" s="22">
        <f ca="1">INDIRECT("'("&amp;$A$4&amp;")'!am51")</f>
        <v>0</v>
      </c>
      <c r="AN51" s="23">
        <f t="shared" ca="1" si="29"/>
        <v>27.5</v>
      </c>
      <c r="AO51" s="22"/>
      <c r="AP51" s="21">
        <f t="shared" ca="1" si="30"/>
        <v>24</v>
      </c>
      <c r="AQ51" s="21">
        <f t="shared" ca="1" si="31"/>
        <v>37</v>
      </c>
      <c r="AR51" s="21">
        <f t="shared" ca="1" si="32"/>
        <v>8</v>
      </c>
      <c r="AS51" s="21">
        <f t="shared" ca="1" si="33"/>
        <v>2</v>
      </c>
      <c r="AT51" s="21">
        <f t="shared" ca="1" si="34"/>
        <v>1</v>
      </c>
      <c r="AU51" s="21">
        <f t="shared" ca="1" si="35"/>
        <v>0</v>
      </c>
      <c r="AV51" s="23">
        <f t="shared" ca="1" si="36"/>
        <v>28.763888888888886</v>
      </c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15" customHeight="1" x14ac:dyDescent="0.35">
      <c r="A52" s="2" t="s">
        <v>57</v>
      </c>
      <c r="B52" s="22">
        <f ca="1">INDIRECT("'("&amp;$A$4&amp;")'!b52")</f>
        <v>0</v>
      </c>
      <c r="C52" s="22">
        <f ca="1">INDIRECT("'("&amp;$A$4&amp;")'!c52")</f>
        <v>17</v>
      </c>
      <c r="D52" s="22">
        <f ca="1">INDIRECT("'("&amp;$A$4&amp;")'!d52")</f>
        <v>11</v>
      </c>
      <c r="E52" s="22">
        <f ca="1">INDIRECT("'("&amp;$A$4&amp;")'!e52")</f>
        <v>4</v>
      </c>
      <c r="F52" s="22">
        <f ca="1">INDIRECT("'("&amp;$A$4&amp;")'!f52")</f>
        <v>0</v>
      </c>
      <c r="G52" s="22">
        <f ca="1">INDIRECT("'("&amp;$A$4&amp;")'!g52")</f>
        <v>0</v>
      </c>
      <c r="H52" s="23">
        <f t="shared" ca="1" si="16"/>
        <v>36.171875</v>
      </c>
      <c r="I52" s="22"/>
      <c r="J52" s="22">
        <f ca="1">INDIRECT("'("&amp;$A$4&amp;")'!j52")</f>
        <v>2</v>
      </c>
      <c r="K52" s="22">
        <f ca="1">INDIRECT("'("&amp;$A$4&amp;")'!k52")</f>
        <v>9</v>
      </c>
      <c r="L52" s="22">
        <f ca="1">INDIRECT("'("&amp;$A$4&amp;")'!l52")</f>
        <v>9</v>
      </c>
      <c r="M52" s="22">
        <f ca="1">INDIRECT("'("&amp;$A$4&amp;")'!m52")</f>
        <v>6</v>
      </c>
      <c r="N52" s="22">
        <f ca="1">INDIRECT("'("&amp;$A$4&amp;")'!n52")</f>
        <v>0</v>
      </c>
      <c r="O52" s="22">
        <f ca="1">INDIRECT("'("&amp;$A$4&amp;")'!o52")</f>
        <v>0</v>
      </c>
      <c r="P52" s="23">
        <f t="shared" ca="1" si="18"/>
        <v>37.596153846153847</v>
      </c>
      <c r="Q52" s="22"/>
      <c r="R52" s="21">
        <f t="shared" ca="1" si="19"/>
        <v>2</v>
      </c>
      <c r="S52" s="21">
        <f t="shared" ca="1" si="20"/>
        <v>26</v>
      </c>
      <c r="T52" s="21">
        <f t="shared" ca="1" si="21"/>
        <v>20</v>
      </c>
      <c r="U52" s="21">
        <f t="shared" ca="1" si="22"/>
        <v>10</v>
      </c>
      <c r="V52" s="21">
        <f t="shared" ca="1" si="23"/>
        <v>0</v>
      </c>
      <c r="W52" s="21">
        <f t="shared" ca="1" si="24"/>
        <v>0</v>
      </c>
      <c r="X52" s="23">
        <f t="shared" ca="1" si="27"/>
        <v>36.810344827586206</v>
      </c>
      <c r="Y52" s="22"/>
      <c r="Z52" s="22">
        <f ca="1">INDIRECT("'("&amp;$A$4&amp;")'!z52")</f>
        <v>2</v>
      </c>
      <c r="AA52" s="22">
        <f ca="1">INDIRECT("'("&amp;$A$4&amp;")'!aa52")</f>
        <v>1</v>
      </c>
      <c r="AB52" s="22">
        <f ca="1">INDIRECT("'("&amp;$A$4&amp;")'!ab52")</f>
        <v>0</v>
      </c>
      <c r="AC52" s="22">
        <f ca="1">INDIRECT("'("&amp;$A$4&amp;")'!ac52")</f>
        <v>0</v>
      </c>
      <c r="AD52" s="22">
        <f ca="1">INDIRECT("'("&amp;$A$4&amp;")'!ad52")</f>
        <v>0</v>
      </c>
      <c r="AE52" s="22">
        <f ca="1">INDIRECT("'("&amp;$A$4&amp;")'!ae52")</f>
        <v>0</v>
      </c>
      <c r="AF52" s="23">
        <f t="shared" ca="1" si="28"/>
        <v>23.333333333333332</v>
      </c>
      <c r="AG52" s="22"/>
      <c r="AH52" s="22">
        <f ca="1">INDIRECT("'("&amp;$A$4&amp;")'!ah52")</f>
        <v>12</v>
      </c>
      <c r="AI52" s="22">
        <f ca="1">INDIRECT("'("&amp;$A$4&amp;")'!ai52")</f>
        <v>11</v>
      </c>
      <c r="AJ52" s="22">
        <f ca="1">INDIRECT("'("&amp;$A$4&amp;")'!aj52")</f>
        <v>6</v>
      </c>
      <c r="AK52" s="22">
        <f ca="1">INDIRECT("'("&amp;$A$4&amp;")'!ak52")</f>
        <v>6</v>
      </c>
      <c r="AL52" s="22">
        <f ca="1">INDIRECT("'("&amp;$A$4&amp;")'!al52")</f>
        <v>2</v>
      </c>
      <c r="AM52" s="22">
        <f ca="1">INDIRECT("'("&amp;$A$4&amp;")'!am52")</f>
        <v>0</v>
      </c>
      <c r="AN52" s="23">
        <f t="shared" ca="1" si="29"/>
        <v>33.189189189189193</v>
      </c>
      <c r="AO52" s="22"/>
      <c r="AP52" s="21">
        <f t="shared" ca="1" si="30"/>
        <v>16</v>
      </c>
      <c r="AQ52" s="21">
        <f t="shared" ca="1" si="31"/>
        <v>38</v>
      </c>
      <c r="AR52" s="21">
        <f t="shared" ca="1" si="32"/>
        <v>26</v>
      </c>
      <c r="AS52" s="21">
        <f t="shared" ca="1" si="33"/>
        <v>16</v>
      </c>
      <c r="AT52" s="21">
        <f t="shared" ca="1" si="34"/>
        <v>2</v>
      </c>
      <c r="AU52" s="21">
        <f t="shared" ca="1" si="35"/>
        <v>0</v>
      </c>
      <c r="AV52" s="23">
        <f t="shared" ca="1" si="36"/>
        <v>35.030612244897966</v>
      </c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7" customFormat="1" ht="15" customHeight="1" x14ac:dyDescent="0.35">
      <c r="A53" s="2" t="s">
        <v>58</v>
      </c>
      <c r="B53" s="22">
        <f ca="1">INDIRECT("'("&amp;$A$4&amp;")'!b53")</f>
        <v>0</v>
      </c>
      <c r="C53" s="22">
        <f ca="1">INDIRECT("'("&amp;$A$4&amp;")'!c53")</f>
        <v>3</v>
      </c>
      <c r="D53" s="22">
        <f ca="1">INDIRECT("'("&amp;$A$4&amp;")'!d53")</f>
        <v>2</v>
      </c>
      <c r="E53" s="22">
        <f ca="1">INDIRECT("'("&amp;$A$4&amp;")'!e53")</f>
        <v>0</v>
      </c>
      <c r="F53" s="22">
        <f ca="1">INDIRECT("'("&amp;$A$4&amp;")'!f53")</f>
        <v>1</v>
      </c>
      <c r="G53" s="22">
        <f ca="1">INDIRECT("'("&amp;$A$4&amp;")'!g53")</f>
        <v>0</v>
      </c>
      <c r="H53" s="23">
        <f t="shared" ca="1" si="16"/>
        <v>37.833333333333329</v>
      </c>
      <c r="I53" s="22"/>
      <c r="J53" s="22">
        <f ca="1">INDIRECT("'("&amp;$A$4&amp;")'!j53")</f>
        <v>3</v>
      </c>
      <c r="K53" s="22">
        <f ca="1">INDIRECT("'("&amp;$A$4&amp;")'!k53")</f>
        <v>3</v>
      </c>
      <c r="L53" s="22">
        <f ca="1">INDIRECT("'("&amp;$A$4&amp;")'!l53")</f>
        <v>0</v>
      </c>
      <c r="M53" s="22">
        <f ca="1">INDIRECT("'("&amp;$A$4&amp;")'!m53")</f>
        <v>0</v>
      </c>
      <c r="N53" s="22">
        <f ca="1">INDIRECT("'("&amp;$A$4&amp;")'!n53")</f>
        <v>0</v>
      </c>
      <c r="O53" s="22">
        <f ca="1">INDIRECT("'("&amp;$A$4&amp;")'!o53")</f>
        <v>0</v>
      </c>
      <c r="P53" s="23">
        <f t="shared" ca="1" si="18"/>
        <v>25</v>
      </c>
      <c r="Q53" s="22"/>
      <c r="R53" s="21">
        <f t="shared" ca="1" si="19"/>
        <v>3</v>
      </c>
      <c r="S53" s="21">
        <f t="shared" ca="1" si="20"/>
        <v>6</v>
      </c>
      <c r="T53" s="21">
        <f t="shared" ca="1" si="21"/>
        <v>2</v>
      </c>
      <c r="U53" s="21">
        <f t="shared" ca="1" si="22"/>
        <v>0</v>
      </c>
      <c r="V53" s="21">
        <f t="shared" ca="1" si="23"/>
        <v>1</v>
      </c>
      <c r="W53" s="21">
        <f t="shared" ca="1" si="24"/>
        <v>0</v>
      </c>
      <c r="X53" s="23">
        <f t="shared" ca="1" si="27"/>
        <v>31.416666666666664</v>
      </c>
      <c r="Y53" s="22"/>
      <c r="Z53" s="22">
        <f ca="1">INDIRECT("'("&amp;$A$4&amp;")'!z53")</f>
        <v>0</v>
      </c>
      <c r="AA53" s="22">
        <f ca="1">INDIRECT("'("&amp;$A$4&amp;")'!aa53")</f>
        <v>0</v>
      </c>
      <c r="AB53" s="22">
        <f ca="1">INDIRECT("'("&amp;$A$4&amp;")'!ab53")</f>
        <v>1</v>
      </c>
      <c r="AC53" s="22">
        <f ca="1">INDIRECT("'("&amp;$A$4&amp;")'!ac53")</f>
        <v>0</v>
      </c>
      <c r="AD53" s="22">
        <f ca="1">INDIRECT("'("&amp;$A$4&amp;")'!ad53")</f>
        <v>0</v>
      </c>
      <c r="AE53" s="22">
        <f ca="1">INDIRECT("'("&amp;$A$4&amp;")'!ae53")</f>
        <v>0</v>
      </c>
      <c r="AF53" s="23">
        <f t="shared" ca="1" si="28"/>
        <v>40.5</v>
      </c>
      <c r="AG53" s="22"/>
      <c r="AH53" s="22">
        <f ca="1">INDIRECT("'("&amp;$A$4&amp;")'!ah53")</f>
        <v>1</v>
      </c>
      <c r="AI53" s="22">
        <f ca="1">INDIRECT("'("&amp;$A$4&amp;")'!ai53")</f>
        <v>9</v>
      </c>
      <c r="AJ53" s="22">
        <f ca="1">INDIRECT("'("&amp;$A$4&amp;")'!aj53")</f>
        <v>8</v>
      </c>
      <c r="AK53" s="22">
        <f ca="1">INDIRECT("'("&amp;$A$4&amp;")'!ak53")</f>
        <v>3</v>
      </c>
      <c r="AL53" s="22">
        <f ca="1">INDIRECT("'("&amp;$A$4&amp;")'!al53")</f>
        <v>4</v>
      </c>
      <c r="AM53" s="22">
        <f ca="1">INDIRECT("'("&amp;$A$4&amp;")'!am53")</f>
        <v>0</v>
      </c>
      <c r="AN53" s="23">
        <f t="shared" ca="1" si="29"/>
        <v>39.58</v>
      </c>
      <c r="AO53" s="22"/>
      <c r="AP53" s="21">
        <f t="shared" ca="1" si="30"/>
        <v>4</v>
      </c>
      <c r="AQ53" s="21">
        <f t="shared" ca="1" si="31"/>
        <v>15</v>
      </c>
      <c r="AR53" s="21">
        <f t="shared" ca="1" si="32"/>
        <v>11</v>
      </c>
      <c r="AS53" s="21">
        <f t="shared" ca="1" si="33"/>
        <v>3</v>
      </c>
      <c r="AT53" s="21">
        <f t="shared" ca="1" si="34"/>
        <v>5</v>
      </c>
      <c r="AU53" s="21">
        <f t="shared" ca="1" si="35"/>
        <v>0</v>
      </c>
      <c r="AV53" s="23">
        <f t="shared" ca="1" si="36"/>
        <v>37.026315789473685</v>
      </c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7" customFormat="1" ht="15" customHeight="1" x14ac:dyDescent="0.35">
      <c r="A54" s="2" t="s">
        <v>59</v>
      </c>
      <c r="B54" s="22">
        <f ca="1">INDIRECT("'("&amp;$A$4&amp;")'!b54")</f>
        <v>29</v>
      </c>
      <c r="C54" s="22">
        <f ca="1">INDIRECT("'("&amp;$A$4&amp;")'!c54")</f>
        <v>40</v>
      </c>
      <c r="D54" s="22">
        <f ca="1">INDIRECT("'("&amp;$A$4&amp;")'!d54")</f>
        <v>4</v>
      </c>
      <c r="E54" s="22">
        <f ca="1">INDIRECT("'("&amp;$A$4&amp;")'!e54")</f>
        <v>0</v>
      </c>
      <c r="F54" s="22">
        <f ca="1">INDIRECT("'("&amp;$A$4&amp;")'!f54")</f>
        <v>0</v>
      </c>
      <c r="G54" s="22">
        <f ca="1">INDIRECT("'("&amp;$A$4&amp;")'!g54")</f>
        <v>0</v>
      </c>
      <c r="H54" s="23">
        <f t="shared" ca="1" si="16"/>
        <v>26.602739726027394</v>
      </c>
      <c r="I54" s="22"/>
      <c r="J54" s="22">
        <f ca="1">INDIRECT("'("&amp;$A$4&amp;")'!j54")</f>
        <v>0</v>
      </c>
      <c r="K54" s="22">
        <f ca="1">INDIRECT("'("&amp;$A$4&amp;")'!k54")</f>
        <v>0</v>
      </c>
      <c r="L54" s="22">
        <f ca="1">INDIRECT("'("&amp;$A$4&amp;")'!l54")</f>
        <v>0</v>
      </c>
      <c r="M54" s="22">
        <f ca="1">INDIRECT("'("&amp;$A$4&amp;")'!m54")</f>
        <v>0</v>
      </c>
      <c r="N54" s="22">
        <f ca="1">INDIRECT("'("&amp;$A$4&amp;")'!n54")</f>
        <v>0</v>
      </c>
      <c r="O54" s="22">
        <f ca="1">INDIRECT("'("&amp;$A$4&amp;")'!o54")</f>
        <v>0</v>
      </c>
      <c r="P54" s="23" t="str">
        <f t="shared" ca="1" si="18"/>
        <v>-</v>
      </c>
      <c r="Q54" s="22"/>
      <c r="R54" s="21">
        <f t="shared" ca="1" si="19"/>
        <v>29</v>
      </c>
      <c r="S54" s="21">
        <f t="shared" ca="1" si="20"/>
        <v>40</v>
      </c>
      <c r="T54" s="21">
        <f t="shared" ca="1" si="21"/>
        <v>4</v>
      </c>
      <c r="U54" s="21">
        <f t="shared" ca="1" si="22"/>
        <v>0</v>
      </c>
      <c r="V54" s="21">
        <f t="shared" ca="1" si="23"/>
        <v>0</v>
      </c>
      <c r="W54" s="21">
        <f t="shared" ca="1" si="24"/>
        <v>0</v>
      </c>
      <c r="X54" s="23">
        <f t="shared" ca="1" si="27"/>
        <v>26.602739726027394</v>
      </c>
      <c r="Y54" s="22"/>
      <c r="Z54" s="22">
        <f ca="1">INDIRECT("'("&amp;$A$4&amp;")'!z54")</f>
        <v>0</v>
      </c>
      <c r="AA54" s="22">
        <f ca="1">INDIRECT("'("&amp;$A$4&amp;")'!aa54")</f>
        <v>1</v>
      </c>
      <c r="AB54" s="22">
        <f ca="1">INDIRECT("'("&amp;$A$4&amp;")'!ab54")</f>
        <v>1</v>
      </c>
      <c r="AC54" s="22">
        <f ca="1">INDIRECT("'("&amp;$A$4&amp;")'!ac54")</f>
        <v>0</v>
      </c>
      <c r="AD54" s="22">
        <f ca="1">INDIRECT("'("&amp;$A$4&amp;")'!ad54")</f>
        <v>0</v>
      </c>
      <c r="AE54" s="22">
        <f ca="1">INDIRECT("'("&amp;$A$4&amp;")'!ae54")</f>
        <v>0</v>
      </c>
      <c r="AF54" s="23">
        <f t="shared" ca="1" si="28"/>
        <v>35.25</v>
      </c>
      <c r="AG54" s="22"/>
      <c r="AH54" s="22">
        <f ca="1">INDIRECT("'("&amp;$A$4&amp;")'!ah54")</f>
        <v>3</v>
      </c>
      <c r="AI54" s="22">
        <f ca="1">INDIRECT("'("&amp;$A$4&amp;")'!ai54")</f>
        <v>5</v>
      </c>
      <c r="AJ54" s="22">
        <f ca="1">INDIRECT("'("&amp;$A$4&amp;")'!aj54")</f>
        <v>5</v>
      </c>
      <c r="AK54" s="22">
        <f ca="1">INDIRECT("'("&amp;$A$4&amp;")'!ak54")</f>
        <v>6</v>
      </c>
      <c r="AL54" s="22">
        <f ca="1">INDIRECT("'("&amp;$A$4&amp;")'!al54")</f>
        <v>0</v>
      </c>
      <c r="AM54" s="22">
        <f ca="1">INDIRECT("'("&amp;$A$4&amp;")'!am54")</f>
        <v>0</v>
      </c>
      <c r="AN54" s="23">
        <f t="shared" ca="1" si="29"/>
        <v>37.657894736842103</v>
      </c>
      <c r="AO54" s="22"/>
      <c r="AP54" s="21">
        <f t="shared" ca="1" si="30"/>
        <v>32</v>
      </c>
      <c r="AQ54" s="21">
        <f t="shared" ca="1" si="31"/>
        <v>46</v>
      </c>
      <c r="AR54" s="21">
        <f t="shared" ca="1" si="32"/>
        <v>10</v>
      </c>
      <c r="AS54" s="21">
        <f t="shared" ca="1" si="33"/>
        <v>6</v>
      </c>
      <c r="AT54" s="21">
        <f t="shared" ca="1" si="34"/>
        <v>0</v>
      </c>
      <c r="AU54" s="21">
        <f t="shared" ca="1" si="35"/>
        <v>0</v>
      </c>
      <c r="AV54" s="23">
        <f t="shared" ca="1" si="36"/>
        <v>29.021276595744681</v>
      </c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15" customHeight="1" x14ac:dyDescent="0.35">
      <c r="A55" s="2" t="s">
        <v>60</v>
      </c>
      <c r="B55" s="22">
        <f ca="1">INDIRECT("'("&amp;$A$4&amp;")'!b55")</f>
        <v>6</v>
      </c>
      <c r="C55" s="22">
        <f ca="1">INDIRECT("'("&amp;$A$4&amp;")'!c55")</f>
        <v>24</v>
      </c>
      <c r="D55" s="22">
        <f ca="1">INDIRECT("'("&amp;$A$4&amp;")'!d55")</f>
        <v>5</v>
      </c>
      <c r="E55" s="22">
        <f ca="1">INDIRECT("'("&amp;$A$4&amp;")'!e55")</f>
        <v>1</v>
      </c>
      <c r="F55" s="22">
        <f ca="1">INDIRECT("'("&amp;$A$4&amp;")'!f55")</f>
        <v>0</v>
      </c>
      <c r="G55" s="22">
        <f ca="1">INDIRECT("'("&amp;$A$4&amp;")'!g55")</f>
        <v>0</v>
      </c>
      <c r="H55" s="23">
        <f t="shared" ca="1" si="16"/>
        <v>30.361111111111111</v>
      </c>
      <c r="I55" s="22"/>
      <c r="J55" s="22">
        <f ca="1">INDIRECT("'("&amp;$A$4&amp;")'!j55")</f>
        <v>1</v>
      </c>
      <c r="K55" s="22">
        <f ca="1">INDIRECT("'("&amp;$A$4&amp;")'!k55")</f>
        <v>4</v>
      </c>
      <c r="L55" s="22">
        <f ca="1">INDIRECT("'("&amp;$A$4&amp;")'!l55")</f>
        <v>1</v>
      </c>
      <c r="M55" s="22">
        <f ca="1">INDIRECT("'("&amp;$A$4&amp;")'!m55")</f>
        <v>1</v>
      </c>
      <c r="N55" s="22">
        <f ca="1">INDIRECT("'("&amp;$A$4&amp;")'!n55")</f>
        <v>0</v>
      </c>
      <c r="O55" s="22">
        <f ca="1">INDIRECT("'("&amp;$A$4&amp;")'!o55")</f>
        <v>0</v>
      </c>
      <c r="P55" s="23">
        <f t="shared" ca="1" si="18"/>
        <v>33</v>
      </c>
      <c r="Q55" s="22"/>
      <c r="R55" s="21">
        <f t="shared" ca="1" si="19"/>
        <v>7</v>
      </c>
      <c r="S55" s="21">
        <f t="shared" ca="1" si="20"/>
        <v>28</v>
      </c>
      <c r="T55" s="21">
        <f t="shared" ca="1" si="21"/>
        <v>6</v>
      </c>
      <c r="U55" s="21">
        <f t="shared" ca="1" si="22"/>
        <v>2</v>
      </c>
      <c r="V55" s="21">
        <f t="shared" ca="1" si="23"/>
        <v>0</v>
      </c>
      <c r="W55" s="21">
        <f t="shared" ca="1" si="24"/>
        <v>0</v>
      </c>
      <c r="X55" s="23">
        <f t="shared" ca="1" si="27"/>
        <v>30.79069767441861</v>
      </c>
      <c r="Y55" s="22"/>
      <c r="Z55" s="22">
        <f ca="1">INDIRECT("'("&amp;$A$4&amp;")'!z55")</f>
        <v>0</v>
      </c>
      <c r="AA55" s="22">
        <f ca="1">INDIRECT("'("&amp;$A$4&amp;")'!aa55")</f>
        <v>0</v>
      </c>
      <c r="AB55" s="22">
        <f ca="1">INDIRECT("'("&amp;$A$4&amp;")'!ab55")</f>
        <v>0</v>
      </c>
      <c r="AC55" s="22">
        <f ca="1">INDIRECT("'("&amp;$A$4&amp;")'!ac55")</f>
        <v>0</v>
      </c>
      <c r="AD55" s="22">
        <f ca="1">INDIRECT("'("&amp;$A$4&amp;")'!ad55")</f>
        <v>0</v>
      </c>
      <c r="AE55" s="22">
        <f ca="1">INDIRECT("'("&amp;$A$4&amp;")'!ae55")</f>
        <v>0</v>
      </c>
      <c r="AF55" s="23" t="str">
        <f t="shared" ca="1" si="28"/>
        <v>-</v>
      </c>
      <c r="AG55" s="22"/>
      <c r="AH55" s="22">
        <f ca="1">INDIRECT("'("&amp;$A$4&amp;")'!ah55")</f>
        <v>4</v>
      </c>
      <c r="AI55" s="22">
        <f ca="1">INDIRECT("'("&amp;$A$4&amp;")'!ai55")</f>
        <v>13</v>
      </c>
      <c r="AJ55" s="22">
        <f ca="1">INDIRECT("'("&amp;$A$4&amp;")'!aj55")</f>
        <v>15</v>
      </c>
      <c r="AK55" s="22">
        <f ca="1">INDIRECT("'("&amp;$A$4&amp;")'!ak55")</f>
        <v>12</v>
      </c>
      <c r="AL55" s="22">
        <f ca="1">INDIRECT("'("&amp;$A$4&amp;")'!al55")</f>
        <v>6</v>
      </c>
      <c r="AM55" s="22">
        <f ca="1">INDIRECT("'("&amp;$A$4&amp;")'!am55")</f>
        <v>0</v>
      </c>
      <c r="AN55" s="23">
        <f t="shared" ca="1" si="29"/>
        <v>40.39</v>
      </c>
      <c r="AO55" s="22"/>
      <c r="AP55" s="21">
        <f t="shared" ca="1" si="30"/>
        <v>11</v>
      </c>
      <c r="AQ55" s="21">
        <f t="shared" ca="1" si="31"/>
        <v>41</v>
      </c>
      <c r="AR55" s="21">
        <f t="shared" ca="1" si="32"/>
        <v>21</v>
      </c>
      <c r="AS55" s="21">
        <f t="shared" ca="1" si="33"/>
        <v>14</v>
      </c>
      <c r="AT55" s="21">
        <f t="shared" ca="1" si="34"/>
        <v>6</v>
      </c>
      <c r="AU55" s="21">
        <f t="shared" ca="1" si="35"/>
        <v>0</v>
      </c>
      <c r="AV55" s="23">
        <f t="shared" ca="1" si="36"/>
        <v>35.951612903225801</v>
      </c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7" customFormat="1" ht="15" customHeight="1" thickBot="1" x14ac:dyDescent="0.4">
      <c r="A56" s="25" t="s">
        <v>61</v>
      </c>
      <c r="B56" s="22">
        <f ca="1">INDIRECT("'("&amp;$A$4&amp;")'!b56")</f>
        <v>46</v>
      </c>
      <c r="C56" s="22">
        <f ca="1">INDIRECT("'("&amp;$A$4&amp;")'!c56")</f>
        <v>133</v>
      </c>
      <c r="D56" s="22">
        <f ca="1">INDIRECT("'("&amp;$A$4&amp;")'!d56")</f>
        <v>22</v>
      </c>
      <c r="E56" s="22">
        <f ca="1">INDIRECT("'("&amp;$A$4&amp;")'!e56")</f>
        <v>5</v>
      </c>
      <c r="F56" s="22">
        <f ca="1">INDIRECT("'("&amp;$A$4&amp;")'!f56")</f>
        <v>0</v>
      </c>
      <c r="G56" s="22">
        <f ca="1">INDIRECT("'("&amp;$A$4&amp;")'!g56")</f>
        <v>0</v>
      </c>
      <c r="H56" s="23">
        <f t="shared" ca="1" si="16"/>
        <v>29.385922330097088</v>
      </c>
      <c r="I56" s="26"/>
      <c r="J56" s="22">
        <f ca="1">INDIRECT("'("&amp;$A$4&amp;")'!j56")</f>
        <v>0</v>
      </c>
      <c r="K56" s="22">
        <f ca="1">INDIRECT("'("&amp;$A$4&amp;")'!k56")</f>
        <v>0</v>
      </c>
      <c r="L56" s="22">
        <f ca="1">INDIRECT("'("&amp;$A$4&amp;")'!l56")</f>
        <v>0</v>
      </c>
      <c r="M56" s="22">
        <f ca="1">INDIRECT("'("&amp;$A$4&amp;")'!m56")</f>
        <v>0</v>
      </c>
      <c r="N56" s="22">
        <f ca="1">INDIRECT("'("&amp;$A$4&amp;")'!n56")</f>
        <v>0</v>
      </c>
      <c r="O56" s="22">
        <f ca="1">INDIRECT("'("&amp;$A$4&amp;")'!o56")</f>
        <v>0</v>
      </c>
      <c r="P56" s="23" t="str">
        <f t="shared" ca="1" si="18"/>
        <v>-</v>
      </c>
      <c r="Q56" s="26"/>
      <c r="R56" s="21">
        <f t="shared" ca="1" si="19"/>
        <v>46</v>
      </c>
      <c r="S56" s="21">
        <f t="shared" ca="1" si="20"/>
        <v>133</v>
      </c>
      <c r="T56" s="21">
        <f t="shared" ca="1" si="21"/>
        <v>22</v>
      </c>
      <c r="U56" s="21">
        <f t="shared" ca="1" si="22"/>
        <v>5</v>
      </c>
      <c r="V56" s="21">
        <f t="shared" ca="1" si="23"/>
        <v>0</v>
      </c>
      <c r="W56" s="21">
        <f t="shared" ca="1" si="24"/>
        <v>0</v>
      </c>
      <c r="X56" s="23">
        <f t="shared" ca="1" si="27"/>
        <v>29.385922330097088</v>
      </c>
      <c r="Y56" s="26"/>
      <c r="Z56" s="22">
        <f ca="1">INDIRECT("'("&amp;$A$4&amp;")'!z56")</f>
        <v>2</v>
      </c>
      <c r="AA56" s="22">
        <f ca="1">INDIRECT("'("&amp;$A$4&amp;")'!aa56")</f>
        <v>11</v>
      </c>
      <c r="AB56" s="22">
        <f ca="1">INDIRECT("'("&amp;$A$4&amp;")'!ab56")</f>
        <v>4</v>
      </c>
      <c r="AC56" s="22">
        <f ca="1">INDIRECT("'("&amp;$A$4&amp;")'!ac56")</f>
        <v>3</v>
      </c>
      <c r="AD56" s="22">
        <f ca="1">INDIRECT("'("&amp;$A$4&amp;")'!ad56")</f>
        <v>0</v>
      </c>
      <c r="AE56" s="22">
        <f ca="1">INDIRECT("'("&amp;$A$4&amp;")'!ae56")</f>
        <v>0</v>
      </c>
      <c r="AF56" s="23">
        <f t="shared" ca="1" si="28"/>
        <v>34.174999999999997</v>
      </c>
      <c r="AG56" s="26"/>
      <c r="AH56" s="22">
        <f ca="1">INDIRECT("'("&amp;$A$4&amp;")'!ah56")</f>
        <v>5</v>
      </c>
      <c r="AI56" s="22">
        <f ca="1">INDIRECT("'("&amp;$A$4&amp;")'!ai56")</f>
        <v>34</v>
      </c>
      <c r="AJ56" s="22">
        <f ca="1">INDIRECT("'("&amp;$A$4&amp;")'!aj56")</f>
        <v>15</v>
      </c>
      <c r="AK56" s="22">
        <f ca="1">INDIRECT("'("&amp;$A$4&amp;")'!ak56")</f>
        <v>14</v>
      </c>
      <c r="AL56" s="22">
        <f ca="1">INDIRECT("'("&amp;$A$4&amp;")'!al56")</f>
        <v>6</v>
      </c>
      <c r="AM56" s="22">
        <f ca="1">INDIRECT("'("&amp;$A$4&amp;")'!am56")</f>
        <v>0</v>
      </c>
      <c r="AN56" s="23">
        <f t="shared" ca="1" si="29"/>
        <v>37.439189189189193</v>
      </c>
      <c r="AO56" s="26"/>
      <c r="AP56" s="29">
        <f t="shared" ca="1" si="30"/>
        <v>53</v>
      </c>
      <c r="AQ56" s="29">
        <f t="shared" ca="1" si="31"/>
        <v>178</v>
      </c>
      <c r="AR56" s="29">
        <f t="shared" ca="1" si="32"/>
        <v>41</v>
      </c>
      <c r="AS56" s="29">
        <f t="shared" ca="1" si="33"/>
        <v>22</v>
      </c>
      <c r="AT56" s="29">
        <f t="shared" ca="1" si="34"/>
        <v>6</v>
      </c>
      <c r="AU56" s="29">
        <f t="shared" ca="1" si="35"/>
        <v>0</v>
      </c>
      <c r="AV56" s="23">
        <f t="shared" ca="1" si="36"/>
        <v>31.69166666666667</v>
      </c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7" customFormat="1" ht="1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17"/>
      <c r="AX57" s="17"/>
      <c r="AY57" s="17"/>
      <c r="AZ57" s="17"/>
      <c r="BA57" s="17"/>
      <c r="BB57" s="17"/>
      <c r="BC57" s="17"/>
      <c r="BD57" s="17"/>
      <c r="BE57" s="17"/>
    </row>
  </sheetData>
  <mergeCells count="9">
    <mergeCell ref="A1:AV1"/>
    <mergeCell ref="A4:L4"/>
    <mergeCell ref="B5:AV5"/>
    <mergeCell ref="B6:H6"/>
    <mergeCell ref="J6:P6"/>
    <mergeCell ref="R6:X6"/>
    <mergeCell ref="Z6:AF6"/>
    <mergeCell ref="AH6:AN6"/>
    <mergeCell ref="AP6:AV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02"/>
  <sheetViews>
    <sheetView tabSelected="1" zoomScaleNormal="100" workbookViewId="0">
      <pane ySplit="8" topLeftCell="A9" activePane="bottomLeft" state="frozen"/>
      <selection pane="bottomLeft" activeCell="AZ1" sqref="AZ1:AZ1048576"/>
    </sheetView>
  </sheetViews>
  <sheetFormatPr defaultColWidth="9.1796875" defaultRowHeight="14.5" x14ac:dyDescent="0.35"/>
  <cols>
    <col min="1" max="1" width="50.7265625" style="4" customWidth="1"/>
    <col min="2" max="8" width="8.7265625" style="4" customWidth="1"/>
    <col min="9" max="9" width="2.7265625" style="4" customWidth="1"/>
    <col min="10" max="16" width="8.7265625" style="4" customWidth="1"/>
    <col min="17" max="17" width="2.7265625" style="4" customWidth="1"/>
    <col min="18" max="24" width="8.7265625" style="4" customWidth="1"/>
    <col min="25" max="25" width="2.7265625" style="4" customWidth="1"/>
    <col min="26" max="32" width="8.7265625" style="4" customWidth="1"/>
    <col min="33" max="33" width="2.7265625" style="4" customWidth="1"/>
    <col min="34" max="40" width="8.7265625" style="4" customWidth="1"/>
    <col min="41" max="41" width="2.7265625" style="4" customWidth="1"/>
    <col min="42" max="48" width="8.7265625" style="4" customWidth="1"/>
    <col min="49" max="51" width="9.1796875" style="4"/>
    <col min="52" max="52" width="0" style="4" hidden="1" customWidth="1"/>
    <col min="53" max="16384" width="9.1796875" style="4"/>
  </cols>
  <sheetData>
    <row r="1" spans="1:58" s="1" customFormat="1" ht="23.25" customHeight="1" x14ac:dyDescent="0.5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58" s="1" customFormat="1" ht="23.25" customHeight="1" x14ac:dyDescent="0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spans="1:58" s="1" customFormat="1" ht="23.25" customHeight="1" x14ac:dyDescent="0.5">
      <c r="A3" s="20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spans="1:58" s="1" customFormat="1" ht="23.25" customHeight="1" x14ac:dyDescent="0.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spans="1:58" s="3" customFormat="1" x14ac:dyDescent="0.35">
      <c r="A5" s="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</row>
    <row r="6" spans="1:58" s="7" customFormat="1" ht="15.75" customHeight="1" thickBot="1" x14ac:dyDescent="0.4">
      <c r="A6" s="4"/>
      <c r="B6" s="64" t="s">
        <v>96</v>
      </c>
      <c r="C6" s="64"/>
      <c r="D6" s="64"/>
      <c r="E6" s="64"/>
      <c r="F6" s="64"/>
      <c r="G6" s="64"/>
      <c r="H6" s="64"/>
      <c r="I6" s="39"/>
      <c r="J6" s="62" t="s">
        <v>97</v>
      </c>
      <c r="K6" s="62"/>
      <c r="L6" s="62"/>
      <c r="M6" s="62"/>
      <c r="N6" s="62"/>
      <c r="O6" s="62"/>
      <c r="P6" s="62"/>
      <c r="Q6" s="39"/>
      <c r="R6" s="63" t="s">
        <v>1</v>
      </c>
      <c r="S6" s="63"/>
      <c r="T6" s="63"/>
      <c r="U6" s="63"/>
      <c r="V6" s="63"/>
      <c r="W6" s="63"/>
      <c r="X6" s="63"/>
      <c r="Y6" s="39"/>
      <c r="Z6" s="62" t="s">
        <v>98</v>
      </c>
      <c r="AA6" s="62"/>
      <c r="AB6" s="62"/>
      <c r="AC6" s="62"/>
      <c r="AD6" s="62"/>
      <c r="AE6" s="62"/>
      <c r="AF6" s="62"/>
      <c r="AG6" s="39"/>
      <c r="AH6" s="62" t="s">
        <v>3</v>
      </c>
      <c r="AI6" s="62"/>
      <c r="AJ6" s="62"/>
      <c r="AK6" s="62"/>
      <c r="AL6" s="62"/>
      <c r="AM6" s="62"/>
      <c r="AN6" s="62"/>
      <c r="AO6" s="39"/>
      <c r="AP6" s="63" t="s">
        <v>4</v>
      </c>
      <c r="AQ6" s="63"/>
      <c r="AR6" s="63"/>
      <c r="AS6" s="63"/>
      <c r="AT6" s="63"/>
      <c r="AU6" s="63"/>
      <c r="AV6" s="63"/>
    </row>
    <row r="7" spans="1:58" s="12" customFormat="1" ht="46" thickBot="1" x14ac:dyDescent="0.4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40"/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10" t="s">
        <v>12</v>
      </c>
      <c r="Q7" s="40"/>
      <c r="R7" s="9" t="s">
        <v>6</v>
      </c>
      <c r="S7" s="9" t="s">
        <v>7</v>
      </c>
      <c r="T7" s="9" t="s">
        <v>8</v>
      </c>
      <c r="U7" s="9" t="s">
        <v>9</v>
      </c>
      <c r="V7" s="9" t="s">
        <v>10</v>
      </c>
      <c r="W7" s="9" t="s">
        <v>11</v>
      </c>
      <c r="X7" s="10" t="s">
        <v>12</v>
      </c>
      <c r="Y7" s="40"/>
      <c r="Z7" s="9" t="s">
        <v>6</v>
      </c>
      <c r="AA7" s="9" t="s">
        <v>7</v>
      </c>
      <c r="AB7" s="9" t="s">
        <v>8</v>
      </c>
      <c r="AC7" s="9" t="s">
        <v>9</v>
      </c>
      <c r="AD7" s="9" t="s">
        <v>10</v>
      </c>
      <c r="AE7" s="9" t="s">
        <v>11</v>
      </c>
      <c r="AF7" s="10" t="s">
        <v>12</v>
      </c>
      <c r="AG7" s="40"/>
      <c r="AH7" s="9" t="s">
        <v>6</v>
      </c>
      <c r="AI7" s="9" t="s">
        <v>7</v>
      </c>
      <c r="AJ7" s="9" t="s">
        <v>8</v>
      </c>
      <c r="AK7" s="9" t="s">
        <v>9</v>
      </c>
      <c r="AL7" s="9" t="s">
        <v>10</v>
      </c>
      <c r="AM7" s="9" t="s">
        <v>11</v>
      </c>
      <c r="AN7" s="10" t="s">
        <v>12</v>
      </c>
      <c r="AO7" s="40"/>
      <c r="AP7" s="44" t="s">
        <v>6</v>
      </c>
      <c r="AQ7" s="44" t="s">
        <v>7</v>
      </c>
      <c r="AR7" s="44" t="s">
        <v>8</v>
      </c>
      <c r="AS7" s="44" t="s">
        <v>9</v>
      </c>
      <c r="AT7" s="44" t="s">
        <v>10</v>
      </c>
      <c r="AU7" s="44" t="s">
        <v>11</v>
      </c>
      <c r="AV7" s="56" t="s">
        <v>103</v>
      </c>
    </row>
    <row r="8" spans="1:58" s="7" customFormat="1" ht="15" customHeight="1" x14ac:dyDescent="0.35">
      <c r="A8" s="13" t="s">
        <v>13</v>
      </c>
      <c r="B8" s="21">
        <f ca="1">ROUND(FIRE1122_raw!B8,0)</f>
        <v>195</v>
      </c>
      <c r="C8" s="21">
        <f ca="1">ROUND(FIRE1122_raw!C8,0)</f>
        <v>680</v>
      </c>
      <c r="D8" s="21">
        <f ca="1">ROUND(FIRE1122_raw!D8,0)</f>
        <v>172</v>
      </c>
      <c r="E8" s="21">
        <f ca="1">ROUND(FIRE1122_raw!E8,0)</f>
        <v>49</v>
      </c>
      <c r="F8" s="21">
        <f ca="1">ROUND(FIRE1122_raw!F8,0)</f>
        <v>9</v>
      </c>
      <c r="G8" s="21">
        <f ca="1">ROUND(FIRE1122_raw!G8,0)</f>
        <v>1</v>
      </c>
      <c r="H8" s="21">
        <f ca="1">IF(FIRE1122_raw!H8="-","-",ROUND(FIRE1122_raw!H8,0))</f>
        <v>31</v>
      </c>
      <c r="I8" s="14"/>
      <c r="J8" s="21">
        <f ca="1">ROUND(FIRE1122_raw!J8,0)</f>
        <v>354</v>
      </c>
      <c r="K8" s="21">
        <f ca="1">ROUND(FIRE1122_raw!K8,0)</f>
        <v>699</v>
      </c>
      <c r="L8" s="21">
        <f ca="1">ROUND(FIRE1122_raw!L8,0)</f>
        <v>330</v>
      </c>
      <c r="M8" s="21">
        <f ca="1">ROUND(FIRE1122_raw!M8,0)</f>
        <v>111</v>
      </c>
      <c r="N8" s="21">
        <f ca="1">ROUND(FIRE1122_raw!N8,0)</f>
        <v>12</v>
      </c>
      <c r="O8" s="21">
        <f ca="1">ROUND(FIRE1122_raw!O8,0)</f>
        <v>2</v>
      </c>
      <c r="P8" s="21">
        <f ca="1">IF(FIRE1122_raw!P8="-","-",ROUND(FIRE1122_raw!P8,0))</f>
        <v>32</v>
      </c>
      <c r="Q8" s="14"/>
      <c r="R8" s="21">
        <f ca="1">ROUND(FIRE1122_raw!R8,0)</f>
        <v>549</v>
      </c>
      <c r="S8" s="21">
        <f ca="1">ROUND(FIRE1122_raw!S8,0)</f>
        <v>1379</v>
      </c>
      <c r="T8" s="21">
        <f ca="1">ROUND(FIRE1122_raw!T8,0)</f>
        <v>502</v>
      </c>
      <c r="U8" s="21">
        <f ca="1">ROUND(FIRE1122_raw!U8,0)</f>
        <v>160</v>
      </c>
      <c r="V8" s="21">
        <f ca="1">ROUND(FIRE1122_raw!V8,0)</f>
        <v>21</v>
      </c>
      <c r="W8" s="21">
        <f ca="1">ROUND(FIRE1122_raw!W8,0)</f>
        <v>3</v>
      </c>
      <c r="X8" s="21">
        <f ca="1">IF(FIRE1122_raw!X8="-","-",ROUND(FIRE1122_raw!X8,0))</f>
        <v>31</v>
      </c>
      <c r="Y8" s="14"/>
      <c r="Z8" s="21">
        <f ca="1">ROUND(FIRE1122_raw!Z8,0)</f>
        <v>29</v>
      </c>
      <c r="AA8" s="21">
        <f ca="1">ROUND(FIRE1122_raw!AA8,0)</f>
        <v>55</v>
      </c>
      <c r="AB8" s="21">
        <f ca="1">ROUND(FIRE1122_raw!AB8,0)</f>
        <v>27</v>
      </c>
      <c r="AC8" s="21">
        <f ca="1">ROUND(FIRE1122_raw!AC8,0)</f>
        <v>10</v>
      </c>
      <c r="AD8" s="21">
        <f ca="1">ROUND(FIRE1122_raw!AD8,0)</f>
        <v>2</v>
      </c>
      <c r="AE8" s="21">
        <f ca="1">ROUND(FIRE1122_raw!AE8,0)</f>
        <v>0</v>
      </c>
      <c r="AF8" s="21">
        <f ca="1">IF(FIRE1122_raw!AF8="-","-",ROUND(FIRE1122_raw!AF8,0))</f>
        <v>32</v>
      </c>
      <c r="AG8" s="14"/>
      <c r="AH8" s="21">
        <f ca="1">ROUND(FIRE1122_raw!AH8,0)</f>
        <v>167</v>
      </c>
      <c r="AI8" s="21">
        <f ca="1">ROUND(FIRE1122_raw!AI8,0)</f>
        <v>303</v>
      </c>
      <c r="AJ8" s="21">
        <f ca="1">ROUND(FIRE1122_raw!AJ8,0)</f>
        <v>237</v>
      </c>
      <c r="AK8" s="21">
        <f ca="1">ROUND(FIRE1122_raw!AK8,0)</f>
        <v>213</v>
      </c>
      <c r="AL8" s="21">
        <f ca="1">ROUND(FIRE1122_raw!AL8,0)</f>
        <v>109</v>
      </c>
      <c r="AM8" s="21">
        <f ca="1">ROUND(FIRE1122_raw!AM8,0)</f>
        <v>0</v>
      </c>
      <c r="AN8" s="21">
        <f ca="1">IF(FIRE1122_raw!AN8="-","-",ROUND(FIRE1122_raw!AN8,0))</f>
        <v>38</v>
      </c>
      <c r="AO8" s="14"/>
      <c r="AP8" s="21">
        <f ca="1">ROUND(FIRE1122_raw!AP8,0)</f>
        <v>745</v>
      </c>
      <c r="AQ8" s="21">
        <f ca="1">ROUND(FIRE1122_raw!AQ8,0)</f>
        <v>1737</v>
      </c>
      <c r="AR8" s="21">
        <f ca="1">ROUND(FIRE1122_raw!AR8,0)</f>
        <v>766</v>
      </c>
      <c r="AS8" s="21">
        <f ca="1">ROUND(FIRE1122_raw!AS8,0)</f>
        <v>383</v>
      </c>
      <c r="AT8" s="21">
        <f ca="1">ROUND(FIRE1122_raw!AT8,0)</f>
        <v>132</v>
      </c>
      <c r="AU8" s="21">
        <f ca="1">ROUND(FIRE1122_raw!AU8,0)</f>
        <v>3</v>
      </c>
      <c r="AV8" s="21">
        <f ca="1">IF(FIRE1122_raw!AV8="-","-",ROUND(FIRE1122_raw!AV8,0))</f>
        <v>33</v>
      </c>
      <c r="AW8" s="17"/>
      <c r="AX8" s="17"/>
      <c r="AY8" s="17"/>
      <c r="AZ8" s="17"/>
      <c r="BA8" s="17"/>
      <c r="BB8" s="17"/>
      <c r="BC8" s="17"/>
      <c r="BD8" s="17"/>
      <c r="BE8" s="17"/>
      <c r="BF8" s="19"/>
    </row>
    <row r="9" spans="1:58" s="7" customFormat="1" ht="15" customHeight="1" x14ac:dyDescent="0.35">
      <c r="A9" s="20" t="s">
        <v>14</v>
      </c>
      <c r="B9" s="21">
        <f ca="1">ROUND(FIRE1122_raw!B9,0)</f>
        <v>96</v>
      </c>
      <c r="C9" s="21">
        <f ca="1">ROUND(FIRE1122_raw!C9,0)</f>
        <v>407</v>
      </c>
      <c r="D9" s="21">
        <f ca="1">ROUND(FIRE1122_raw!D9,0)</f>
        <v>115</v>
      </c>
      <c r="E9" s="21">
        <f ca="1">ROUND(FIRE1122_raw!E9,0)</f>
        <v>39</v>
      </c>
      <c r="F9" s="21">
        <f ca="1">ROUND(FIRE1122_raw!F9,0)</f>
        <v>8</v>
      </c>
      <c r="G9" s="21">
        <f ca="1">ROUND(FIRE1122_raw!G9,0)</f>
        <v>1</v>
      </c>
      <c r="H9" s="21">
        <f ca="1">IF(FIRE1122_raw!H9="-","-",ROUND(FIRE1122_raw!H9,0))</f>
        <v>32</v>
      </c>
      <c r="I9" s="21"/>
      <c r="J9" s="21">
        <f ca="1">ROUND(FIRE1122_raw!J9,0)</f>
        <v>344</v>
      </c>
      <c r="K9" s="21">
        <f ca="1">ROUND(FIRE1122_raw!K9,0)</f>
        <v>672</v>
      </c>
      <c r="L9" s="21">
        <f ca="1">ROUND(FIRE1122_raw!L9,0)</f>
        <v>319</v>
      </c>
      <c r="M9" s="21">
        <f ca="1">ROUND(FIRE1122_raw!M9,0)</f>
        <v>104</v>
      </c>
      <c r="N9" s="21">
        <f ca="1">ROUND(FIRE1122_raw!N9,0)</f>
        <v>12</v>
      </c>
      <c r="O9" s="21">
        <f ca="1">ROUND(FIRE1122_raw!O9,0)</f>
        <v>2</v>
      </c>
      <c r="P9" s="21">
        <f ca="1">IF(FIRE1122_raw!P9="-","-",ROUND(FIRE1122_raw!P9,0))</f>
        <v>32</v>
      </c>
      <c r="Q9" s="21"/>
      <c r="R9" s="21">
        <f ca="1">ROUND(FIRE1122_raw!R9,0)</f>
        <v>440</v>
      </c>
      <c r="S9" s="21">
        <f ca="1">ROUND(FIRE1122_raw!S9,0)</f>
        <v>1079</v>
      </c>
      <c r="T9" s="21">
        <f ca="1">ROUND(FIRE1122_raw!T9,0)</f>
        <v>434</v>
      </c>
      <c r="U9" s="21">
        <f ca="1">ROUND(FIRE1122_raw!U9,0)</f>
        <v>143</v>
      </c>
      <c r="V9" s="21">
        <f ca="1">ROUND(FIRE1122_raw!V9,0)</f>
        <v>20</v>
      </c>
      <c r="W9" s="21">
        <f ca="1">ROUND(FIRE1122_raw!W9,0)</f>
        <v>3</v>
      </c>
      <c r="X9" s="21">
        <f ca="1">IF(FIRE1122_raw!X9="-","-",ROUND(FIRE1122_raw!X9,0))</f>
        <v>32</v>
      </c>
      <c r="Y9" s="21"/>
      <c r="Z9" s="21">
        <f ca="1">ROUND(FIRE1122_raw!Z9,0)</f>
        <v>24</v>
      </c>
      <c r="AA9" s="21">
        <f ca="1">ROUND(FIRE1122_raw!AA9,0)</f>
        <v>38</v>
      </c>
      <c r="AB9" s="21">
        <f ca="1">ROUND(FIRE1122_raw!AB9,0)</f>
        <v>19</v>
      </c>
      <c r="AC9" s="21">
        <f ca="1">ROUND(FIRE1122_raw!AC9,0)</f>
        <v>7</v>
      </c>
      <c r="AD9" s="21">
        <f ca="1">ROUND(FIRE1122_raw!AD9,0)</f>
        <v>2</v>
      </c>
      <c r="AE9" s="21">
        <f ca="1">ROUND(FIRE1122_raw!AE9,0)</f>
        <v>0</v>
      </c>
      <c r="AF9" s="21">
        <f ca="1">IF(FIRE1122_raw!AF9="-","-",ROUND(FIRE1122_raw!AF9,0))</f>
        <v>32</v>
      </c>
      <c r="AG9" s="21"/>
      <c r="AH9" s="21">
        <f ca="1">ROUND(FIRE1122_raw!AH9,0)</f>
        <v>114</v>
      </c>
      <c r="AI9" s="21">
        <f ca="1">ROUND(FIRE1122_raw!AI9,0)</f>
        <v>203</v>
      </c>
      <c r="AJ9" s="21">
        <f ca="1">ROUND(FIRE1122_raw!AJ9,0)</f>
        <v>171</v>
      </c>
      <c r="AK9" s="21">
        <f ca="1">ROUND(FIRE1122_raw!AK9,0)</f>
        <v>153</v>
      </c>
      <c r="AL9" s="21">
        <f ca="1">ROUND(FIRE1122_raw!AL9,0)</f>
        <v>86</v>
      </c>
      <c r="AM9" s="21">
        <f ca="1">ROUND(FIRE1122_raw!AM9,0)</f>
        <v>0</v>
      </c>
      <c r="AN9" s="21">
        <f ca="1">IF(FIRE1122_raw!AN9="-","-",ROUND(FIRE1122_raw!AN9,0))</f>
        <v>38</v>
      </c>
      <c r="AO9" s="21"/>
      <c r="AP9" s="21">
        <f ca="1">ROUND(FIRE1122_raw!AP9,0)</f>
        <v>578</v>
      </c>
      <c r="AQ9" s="21">
        <f ca="1">ROUND(FIRE1122_raw!AQ9,0)</f>
        <v>1320</v>
      </c>
      <c r="AR9" s="21">
        <f ca="1">ROUND(FIRE1122_raw!AR9,0)</f>
        <v>624</v>
      </c>
      <c r="AS9" s="21">
        <f ca="1">ROUND(FIRE1122_raw!AS9,0)</f>
        <v>303</v>
      </c>
      <c r="AT9" s="21">
        <f ca="1">ROUND(FIRE1122_raw!AT9,0)</f>
        <v>108</v>
      </c>
      <c r="AU9" s="21">
        <f ca="1">ROUND(FIRE1122_raw!AU9,0)</f>
        <v>3</v>
      </c>
      <c r="AV9" s="21">
        <f ca="1">IF(FIRE1122_raw!AV9="-","-",ROUND(FIRE1122_raw!AV9,0))</f>
        <v>33</v>
      </c>
      <c r="AW9" s="17"/>
      <c r="AX9" s="17"/>
      <c r="AY9" s="17"/>
      <c r="AZ9" s="17"/>
      <c r="BA9" s="17"/>
      <c r="BB9" s="17"/>
      <c r="BC9" s="17"/>
      <c r="BD9" s="17"/>
      <c r="BE9" s="17"/>
    </row>
    <row r="10" spans="1:58" s="7" customFormat="1" ht="15" customHeight="1" x14ac:dyDescent="0.35">
      <c r="A10" s="2" t="s">
        <v>15</v>
      </c>
      <c r="B10" s="22">
        <f ca="1">ROUND(FIRE1122_raw!B10,0)</f>
        <v>5</v>
      </c>
      <c r="C10" s="22">
        <f ca="1">ROUND(FIRE1122_raw!C10,0)</f>
        <v>17</v>
      </c>
      <c r="D10" s="22">
        <f ca="1">ROUND(FIRE1122_raw!D10,0)</f>
        <v>1</v>
      </c>
      <c r="E10" s="22">
        <f ca="1">ROUND(FIRE1122_raw!E10,0)</f>
        <v>2</v>
      </c>
      <c r="F10" s="22">
        <f ca="1">ROUND(FIRE1122_raw!F10,0)</f>
        <v>0</v>
      </c>
      <c r="G10" s="22">
        <f ca="1">ROUND(FIRE1122_raw!G10,0)</f>
        <v>0</v>
      </c>
      <c r="H10" s="22">
        <f ca="1">IF(FIRE1122_raw!H10="-","-",ROUND(FIRE1122_raw!H10,0))</f>
        <v>30</v>
      </c>
      <c r="I10" s="22"/>
      <c r="J10" s="22">
        <f ca="1">ROUND(FIRE1122_raw!J10,0)</f>
        <v>7</v>
      </c>
      <c r="K10" s="22">
        <f ca="1">ROUND(FIRE1122_raw!K10,0)</f>
        <v>9</v>
      </c>
      <c r="L10" s="22">
        <f ca="1">ROUND(FIRE1122_raw!L10,0)</f>
        <v>7</v>
      </c>
      <c r="M10" s="22">
        <f ca="1">ROUND(FIRE1122_raw!M10,0)</f>
        <v>6</v>
      </c>
      <c r="N10" s="22">
        <f ca="1">ROUND(FIRE1122_raw!N10,0)</f>
        <v>1</v>
      </c>
      <c r="O10" s="22">
        <f ca="1">ROUND(FIRE1122_raw!O10,0)</f>
        <v>0</v>
      </c>
      <c r="P10" s="22">
        <f ca="1">IF(FIRE1122_raw!P10="-","-",ROUND(FIRE1122_raw!P10,0))</f>
        <v>35</v>
      </c>
      <c r="Q10" s="22"/>
      <c r="R10" s="21">
        <f ca="1">ROUND(FIRE1122_raw!R10,0)</f>
        <v>12</v>
      </c>
      <c r="S10" s="21">
        <f ca="1">ROUND(FIRE1122_raw!S10,0)</f>
        <v>26</v>
      </c>
      <c r="T10" s="21">
        <f ca="1">ROUND(FIRE1122_raw!T10,0)</f>
        <v>8</v>
      </c>
      <c r="U10" s="21">
        <f ca="1">ROUND(FIRE1122_raw!U10,0)</f>
        <v>8</v>
      </c>
      <c r="V10" s="21">
        <f ca="1">ROUND(FIRE1122_raw!V10,0)</f>
        <v>1</v>
      </c>
      <c r="W10" s="21">
        <f ca="1">ROUND(FIRE1122_raw!W10,0)</f>
        <v>0</v>
      </c>
      <c r="X10" s="21">
        <f ca="1">IF(FIRE1122_raw!X10="-","-",ROUND(FIRE1122_raw!X10,0))</f>
        <v>33</v>
      </c>
      <c r="Y10" s="22"/>
      <c r="Z10" s="22">
        <f ca="1">ROUND(FIRE1122_raw!Z10,0)</f>
        <v>0</v>
      </c>
      <c r="AA10" s="22">
        <f ca="1">ROUND(FIRE1122_raw!AA10,0)</f>
        <v>1</v>
      </c>
      <c r="AB10" s="22">
        <f ca="1">ROUND(FIRE1122_raw!AB10,0)</f>
        <v>1</v>
      </c>
      <c r="AC10" s="22">
        <f ca="1">ROUND(FIRE1122_raw!AC10,0)</f>
        <v>0</v>
      </c>
      <c r="AD10" s="22">
        <f ca="1">ROUND(FIRE1122_raw!AD10,0)</f>
        <v>0</v>
      </c>
      <c r="AE10" s="22">
        <f ca="1">ROUND(FIRE1122_raw!AE10,0)</f>
        <v>0</v>
      </c>
      <c r="AF10" s="22">
        <f ca="1">IF(FIRE1122_raw!AF10="-","-",ROUND(FIRE1122_raw!AF10,0))</f>
        <v>35</v>
      </c>
      <c r="AG10" s="22"/>
      <c r="AH10" s="22">
        <f ca="1">ROUND(FIRE1122_raw!AH10,0)</f>
        <v>4</v>
      </c>
      <c r="AI10" s="22">
        <f ca="1">ROUND(FIRE1122_raw!AI10,0)</f>
        <v>6</v>
      </c>
      <c r="AJ10" s="22">
        <f ca="1">ROUND(FIRE1122_raw!AJ10,0)</f>
        <v>6</v>
      </c>
      <c r="AK10" s="22">
        <f ca="1">ROUND(FIRE1122_raw!AK10,0)</f>
        <v>2</v>
      </c>
      <c r="AL10" s="22">
        <f ca="1">ROUND(FIRE1122_raw!AL10,0)</f>
        <v>6</v>
      </c>
      <c r="AM10" s="22">
        <f ca="1">ROUND(FIRE1122_raw!AM10,0)</f>
        <v>0</v>
      </c>
      <c r="AN10" s="22">
        <f ca="1">IF(FIRE1122_raw!AN10="-","-",ROUND(FIRE1122_raw!AN10,0))</f>
        <v>39</v>
      </c>
      <c r="AO10" s="22"/>
      <c r="AP10" s="21">
        <f ca="1">ROUND(FIRE1122_raw!AP10,0)</f>
        <v>16</v>
      </c>
      <c r="AQ10" s="21">
        <f ca="1">ROUND(FIRE1122_raw!AQ10,0)</f>
        <v>33</v>
      </c>
      <c r="AR10" s="21">
        <f ca="1">ROUND(FIRE1122_raw!AR10,0)</f>
        <v>15</v>
      </c>
      <c r="AS10" s="21">
        <f ca="1">ROUND(FIRE1122_raw!AS10,0)</f>
        <v>10</v>
      </c>
      <c r="AT10" s="21">
        <f ca="1">ROUND(FIRE1122_raw!AT10,0)</f>
        <v>7</v>
      </c>
      <c r="AU10" s="21">
        <f ca="1">ROUND(FIRE1122_raw!AU10,0)</f>
        <v>0</v>
      </c>
      <c r="AV10" s="21">
        <f ca="1">IF(FIRE1122_raw!AV10="-","-",ROUND(FIRE1122_raw!AV10,0))</f>
        <v>35</v>
      </c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8" s="7" customFormat="1" ht="15" customHeight="1" x14ac:dyDescent="0.35">
      <c r="A11" s="2" t="s">
        <v>16</v>
      </c>
      <c r="B11" s="22">
        <f ca="1">ROUND(FIRE1122_raw!B11,0)</f>
        <v>1</v>
      </c>
      <c r="C11" s="22">
        <f ca="1">ROUND(FIRE1122_raw!C11,0)</f>
        <v>18</v>
      </c>
      <c r="D11" s="22">
        <f ca="1">ROUND(FIRE1122_raw!D11,0)</f>
        <v>6</v>
      </c>
      <c r="E11" s="22">
        <f ca="1">ROUND(FIRE1122_raw!E11,0)</f>
        <v>0</v>
      </c>
      <c r="F11" s="22">
        <f ca="1">ROUND(FIRE1122_raw!F11,0)</f>
        <v>0</v>
      </c>
      <c r="G11" s="22">
        <f ca="1">ROUND(FIRE1122_raw!G11,0)</f>
        <v>0</v>
      </c>
      <c r="H11" s="22">
        <f ca="1">IF(FIRE1122_raw!H11="-","-",ROUND(FIRE1122_raw!H11,0))</f>
        <v>32</v>
      </c>
      <c r="I11" s="22"/>
      <c r="J11" s="22">
        <f ca="1">ROUND(FIRE1122_raw!J11,0)</f>
        <v>8</v>
      </c>
      <c r="K11" s="22">
        <f ca="1">ROUND(FIRE1122_raw!K11,0)</f>
        <v>9</v>
      </c>
      <c r="L11" s="22">
        <f ca="1">ROUND(FIRE1122_raw!L11,0)</f>
        <v>12</v>
      </c>
      <c r="M11" s="22">
        <f ca="1">ROUND(FIRE1122_raw!M11,0)</f>
        <v>4</v>
      </c>
      <c r="N11" s="22">
        <f ca="1">ROUND(FIRE1122_raw!N11,0)</f>
        <v>0</v>
      </c>
      <c r="O11" s="22">
        <f ca="1">ROUND(FIRE1122_raw!O11,0)</f>
        <v>0</v>
      </c>
      <c r="P11" s="22">
        <f ca="1">IF(FIRE1122_raw!P11="-","-",ROUND(FIRE1122_raw!P11,0))</f>
        <v>34</v>
      </c>
      <c r="Q11" s="22"/>
      <c r="R11" s="21">
        <f ca="1">ROUND(FIRE1122_raw!R11,0)</f>
        <v>9</v>
      </c>
      <c r="S11" s="21">
        <f ca="1">ROUND(FIRE1122_raw!S11,0)</f>
        <v>27</v>
      </c>
      <c r="T11" s="21">
        <f ca="1">ROUND(FIRE1122_raw!T11,0)</f>
        <v>18</v>
      </c>
      <c r="U11" s="21">
        <f ca="1">ROUND(FIRE1122_raw!U11,0)</f>
        <v>4</v>
      </c>
      <c r="V11" s="21">
        <f ca="1">ROUND(FIRE1122_raw!V11,0)</f>
        <v>0</v>
      </c>
      <c r="W11" s="21">
        <f ca="1">ROUND(FIRE1122_raw!W11,0)</f>
        <v>0</v>
      </c>
      <c r="X11" s="21">
        <f ca="1">IF(FIRE1122_raw!X11="-","-",ROUND(FIRE1122_raw!X11,0))</f>
        <v>33</v>
      </c>
      <c r="Y11" s="22"/>
      <c r="Z11" s="22">
        <f ca="1">ROUND(FIRE1122_raw!Z11,0)</f>
        <v>0</v>
      </c>
      <c r="AA11" s="22">
        <f ca="1">ROUND(FIRE1122_raw!AA11,0)</f>
        <v>0</v>
      </c>
      <c r="AB11" s="22">
        <f ca="1">ROUND(FIRE1122_raw!AB11,0)</f>
        <v>0</v>
      </c>
      <c r="AC11" s="22">
        <f ca="1">ROUND(FIRE1122_raw!AC11,0)</f>
        <v>0</v>
      </c>
      <c r="AD11" s="22">
        <f ca="1">ROUND(FIRE1122_raw!AD11,0)</f>
        <v>0</v>
      </c>
      <c r="AE11" s="22">
        <f ca="1">ROUND(FIRE1122_raw!AE11,0)</f>
        <v>0</v>
      </c>
      <c r="AF11" s="22" t="str">
        <f ca="1">IF(FIRE1122_raw!AF11="-","-",ROUND(FIRE1122_raw!AF11,0))</f>
        <v>-</v>
      </c>
      <c r="AG11" s="22"/>
      <c r="AH11" s="22">
        <f ca="1">ROUND(FIRE1122_raw!AH11,0)</f>
        <v>1</v>
      </c>
      <c r="AI11" s="22">
        <f ca="1">ROUND(FIRE1122_raw!AI11,0)</f>
        <v>8</v>
      </c>
      <c r="AJ11" s="22">
        <f ca="1">ROUND(FIRE1122_raw!AJ11,0)</f>
        <v>4</v>
      </c>
      <c r="AK11" s="22">
        <f ca="1">ROUND(FIRE1122_raw!AK11,0)</f>
        <v>8</v>
      </c>
      <c r="AL11" s="22">
        <f ca="1">ROUND(FIRE1122_raw!AL11,0)</f>
        <v>5</v>
      </c>
      <c r="AM11" s="22">
        <f ca="1">ROUND(FIRE1122_raw!AM11,0)</f>
        <v>0</v>
      </c>
      <c r="AN11" s="22">
        <f ca="1">IF(FIRE1122_raw!AN11="-","-",ROUND(FIRE1122_raw!AN11,0))</f>
        <v>43</v>
      </c>
      <c r="AO11" s="22"/>
      <c r="AP11" s="21">
        <f ca="1">ROUND(FIRE1122_raw!AP11,0)</f>
        <v>10</v>
      </c>
      <c r="AQ11" s="21">
        <f ca="1">ROUND(FIRE1122_raw!AQ11,0)</f>
        <v>35</v>
      </c>
      <c r="AR11" s="21">
        <f ca="1">ROUND(FIRE1122_raw!AR11,0)</f>
        <v>22</v>
      </c>
      <c r="AS11" s="21">
        <f ca="1">ROUND(FIRE1122_raw!AS11,0)</f>
        <v>12</v>
      </c>
      <c r="AT11" s="21">
        <f ca="1">ROUND(FIRE1122_raw!AT11,0)</f>
        <v>5</v>
      </c>
      <c r="AU11" s="21">
        <f ca="1">ROUND(FIRE1122_raw!AU11,0)</f>
        <v>0</v>
      </c>
      <c r="AV11" s="21">
        <f ca="1">IF(FIRE1122_raw!AV11="-","-",ROUND(FIRE1122_raw!AV11,0))</f>
        <v>36</v>
      </c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8" s="7" customFormat="1" ht="15" customHeight="1" x14ac:dyDescent="0.35">
      <c r="A12" s="2" t="s">
        <v>17</v>
      </c>
      <c r="B12" s="22">
        <f ca="1">ROUND(FIRE1122_raw!B12,0)</f>
        <v>1</v>
      </c>
      <c r="C12" s="22">
        <f ca="1">ROUND(FIRE1122_raw!C12,0)</f>
        <v>15</v>
      </c>
      <c r="D12" s="22">
        <f ca="1">ROUND(FIRE1122_raw!D12,0)</f>
        <v>4</v>
      </c>
      <c r="E12" s="22">
        <f ca="1">ROUND(FIRE1122_raw!E12,0)</f>
        <v>1</v>
      </c>
      <c r="F12" s="22">
        <f ca="1">ROUND(FIRE1122_raw!F12,0)</f>
        <v>0</v>
      </c>
      <c r="G12" s="22">
        <f ca="1">ROUND(FIRE1122_raw!G12,0)</f>
        <v>0</v>
      </c>
      <c r="H12" s="22">
        <f ca="1">IF(FIRE1122_raw!H12="-","-",ROUND(FIRE1122_raw!H12,0))</f>
        <v>33</v>
      </c>
      <c r="I12" s="22"/>
      <c r="J12" s="22">
        <f ca="1">ROUND(FIRE1122_raw!J12,0)</f>
        <v>5</v>
      </c>
      <c r="K12" s="22">
        <f ca="1">ROUND(FIRE1122_raw!K12,0)</f>
        <v>10</v>
      </c>
      <c r="L12" s="22">
        <f ca="1">ROUND(FIRE1122_raw!L12,0)</f>
        <v>5</v>
      </c>
      <c r="M12" s="22">
        <f ca="1">ROUND(FIRE1122_raw!M12,0)</f>
        <v>0</v>
      </c>
      <c r="N12" s="22">
        <f ca="1">ROUND(FIRE1122_raw!N12,0)</f>
        <v>0</v>
      </c>
      <c r="O12" s="22">
        <f ca="1">ROUND(FIRE1122_raw!O12,0)</f>
        <v>0</v>
      </c>
      <c r="P12" s="22">
        <f ca="1">IF(FIRE1122_raw!P12="-","-",ROUND(FIRE1122_raw!P12,0))</f>
        <v>30</v>
      </c>
      <c r="Q12" s="22"/>
      <c r="R12" s="21">
        <f ca="1">ROUND(FIRE1122_raw!R12,0)</f>
        <v>6</v>
      </c>
      <c r="S12" s="21">
        <f ca="1">ROUND(FIRE1122_raw!S12,0)</f>
        <v>25</v>
      </c>
      <c r="T12" s="21">
        <f ca="1">ROUND(FIRE1122_raw!T12,0)</f>
        <v>9</v>
      </c>
      <c r="U12" s="21">
        <f ca="1">ROUND(FIRE1122_raw!U12,0)</f>
        <v>1</v>
      </c>
      <c r="V12" s="21">
        <f ca="1">ROUND(FIRE1122_raw!V12,0)</f>
        <v>0</v>
      </c>
      <c r="W12" s="21">
        <f ca="1">ROUND(FIRE1122_raw!W12,0)</f>
        <v>0</v>
      </c>
      <c r="X12" s="21">
        <f ca="1">IF(FIRE1122_raw!X12="-","-",ROUND(FIRE1122_raw!X12,0))</f>
        <v>31</v>
      </c>
      <c r="Y12" s="22"/>
      <c r="Z12" s="22">
        <f ca="1">ROUND(FIRE1122_raw!Z12,0)</f>
        <v>3</v>
      </c>
      <c r="AA12" s="22">
        <f ca="1">ROUND(FIRE1122_raw!AA12,0)</f>
        <v>2</v>
      </c>
      <c r="AB12" s="22">
        <f ca="1">ROUND(FIRE1122_raw!AB12,0)</f>
        <v>1</v>
      </c>
      <c r="AC12" s="22">
        <f ca="1">ROUND(FIRE1122_raw!AC12,0)</f>
        <v>3</v>
      </c>
      <c r="AD12" s="22">
        <f ca="1">ROUND(FIRE1122_raw!AD12,0)</f>
        <v>0</v>
      </c>
      <c r="AE12" s="22">
        <f ca="1">ROUND(FIRE1122_raw!AE12,0)</f>
        <v>0</v>
      </c>
      <c r="AF12" s="22">
        <f ca="1">IF(FIRE1122_raw!AF12="-","-",ROUND(FIRE1122_raw!AF12,0))</f>
        <v>35</v>
      </c>
      <c r="AG12" s="22"/>
      <c r="AH12" s="22">
        <f ca="1">ROUND(FIRE1122_raw!AH12,0)</f>
        <v>7</v>
      </c>
      <c r="AI12" s="22">
        <f ca="1">ROUND(FIRE1122_raw!AI12,0)</f>
        <v>13</v>
      </c>
      <c r="AJ12" s="22">
        <f ca="1">ROUND(FIRE1122_raw!AJ12,0)</f>
        <v>14</v>
      </c>
      <c r="AK12" s="22">
        <f ca="1">ROUND(FIRE1122_raw!AK12,0)</f>
        <v>7</v>
      </c>
      <c r="AL12" s="22">
        <f ca="1">ROUND(FIRE1122_raw!AL12,0)</f>
        <v>1</v>
      </c>
      <c r="AM12" s="22">
        <f ca="1">ROUND(FIRE1122_raw!AM12,0)</f>
        <v>0</v>
      </c>
      <c r="AN12" s="22">
        <f ca="1">IF(FIRE1122_raw!AN12="-","-",ROUND(FIRE1122_raw!AN12,0))</f>
        <v>36</v>
      </c>
      <c r="AO12" s="22"/>
      <c r="AP12" s="21">
        <f ca="1">ROUND(FIRE1122_raw!AP12,0)</f>
        <v>16</v>
      </c>
      <c r="AQ12" s="21">
        <f ca="1">ROUND(FIRE1122_raw!AQ12,0)</f>
        <v>40</v>
      </c>
      <c r="AR12" s="21">
        <f ca="1">ROUND(FIRE1122_raw!AR12,0)</f>
        <v>24</v>
      </c>
      <c r="AS12" s="21">
        <f ca="1">ROUND(FIRE1122_raw!AS12,0)</f>
        <v>11</v>
      </c>
      <c r="AT12" s="21">
        <f ca="1">ROUND(FIRE1122_raw!AT12,0)</f>
        <v>1</v>
      </c>
      <c r="AU12" s="21">
        <f ca="1">ROUND(FIRE1122_raw!AU12,0)</f>
        <v>0</v>
      </c>
      <c r="AV12" s="21">
        <f ca="1">IF(FIRE1122_raw!AV12="-","-",ROUND(FIRE1122_raw!AV12,0))</f>
        <v>34</v>
      </c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8" s="7" customFormat="1" ht="15" customHeight="1" x14ac:dyDescent="0.35">
      <c r="A13" s="2" t="s">
        <v>18</v>
      </c>
      <c r="B13" s="22">
        <f ca="1">ROUND(FIRE1122_raw!B13,0)</f>
        <v>2</v>
      </c>
      <c r="C13" s="22">
        <f ca="1">ROUND(FIRE1122_raw!C13,0)</f>
        <v>7</v>
      </c>
      <c r="D13" s="22">
        <f ca="1">ROUND(FIRE1122_raw!D13,0)</f>
        <v>2</v>
      </c>
      <c r="E13" s="22">
        <f ca="1">ROUND(FIRE1122_raw!E13,0)</f>
        <v>0</v>
      </c>
      <c r="F13" s="22">
        <f ca="1">ROUND(FIRE1122_raw!F13,0)</f>
        <v>0</v>
      </c>
      <c r="G13" s="22">
        <f ca="1">ROUND(FIRE1122_raw!G13,0)</f>
        <v>0</v>
      </c>
      <c r="H13" s="22">
        <f ca="1">IF(FIRE1122_raw!H13="-","-",ROUND(FIRE1122_raw!H13,0))</f>
        <v>30</v>
      </c>
      <c r="I13" s="22"/>
      <c r="J13" s="22">
        <f ca="1">ROUND(FIRE1122_raw!J13,0)</f>
        <v>3</v>
      </c>
      <c r="K13" s="22">
        <f ca="1">ROUND(FIRE1122_raw!K13,0)</f>
        <v>10</v>
      </c>
      <c r="L13" s="22">
        <f ca="1">ROUND(FIRE1122_raw!L13,0)</f>
        <v>7</v>
      </c>
      <c r="M13" s="22">
        <f ca="1">ROUND(FIRE1122_raw!M13,0)</f>
        <v>0</v>
      </c>
      <c r="N13" s="22">
        <f ca="1">ROUND(FIRE1122_raw!N13,0)</f>
        <v>0</v>
      </c>
      <c r="O13" s="22">
        <f ca="1">ROUND(FIRE1122_raw!O13,0)</f>
        <v>0</v>
      </c>
      <c r="P13" s="22">
        <f ca="1">IF(FIRE1122_raw!P13="-","-",ROUND(FIRE1122_raw!P13,0))</f>
        <v>32</v>
      </c>
      <c r="Q13" s="22"/>
      <c r="R13" s="21">
        <f ca="1">ROUND(FIRE1122_raw!R13,0)</f>
        <v>5</v>
      </c>
      <c r="S13" s="21">
        <f ca="1">ROUND(FIRE1122_raw!S13,0)</f>
        <v>17</v>
      </c>
      <c r="T13" s="21">
        <f ca="1">ROUND(FIRE1122_raw!T13,0)</f>
        <v>9</v>
      </c>
      <c r="U13" s="21">
        <f ca="1">ROUND(FIRE1122_raw!U13,0)</f>
        <v>0</v>
      </c>
      <c r="V13" s="21">
        <f ca="1">ROUND(FIRE1122_raw!V13,0)</f>
        <v>0</v>
      </c>
      <c r="W13" s="21">
        <f ca="1">ROUND(FIRE1122_raw!W13,0)</f>
        <v>0</v>
      </c>
      <c r="X13" s="21">
        <f ca="1">IF(FIRE1122_raw!X13="-","-",ROUND(FIRE1122_raw!X13,0))</f>
        <v>31</v>
      </c>
      <c r="Y13" s="22"/>
      <c r="Z13" s="22">
        <f ca="1">ROUND(FIRE1122_raw!Z13,0)</f>
        <v>0</v>
      </c>
      <c r="AA13" s="22">
        <f ca="1">ROUND(FIRE1122_raw!AA13,0)</f>
        <v>0</v>
      </c>
      <c r="AB13" s="22">
        <f ca="1">ROUND(FIRE1122_raw!AB13,0)</f>
        <v>0</v>
      </c>
      <c r="AC13" s="22">
        <f ca="1">ROUND(FIRE1122_raw!AC13,0)</f>
        <v>0</v>
      </c>
      <c r="AD13" s="22">
        <f ca="1">ROUND(FIRE1122_raw!AD13,0)</f>
        <v>0</v>
      </c>
      <c r="AE13" s="22">
        <f ca="1">ROUND(FIRE1122_raw!AE13,0)</f>
        <v>0</v>
      </c>
      <c r="AF13" s="22" t="str">
        <f ca="1">IF(FIRE1122_raw!AF13="-","-",ROUND(FIRE1122_raw!AF13,0))</f>
        <v>-</v>
      </c>
      <c r="AG13" s="22"/>
      <c r="AH13" s="22">
        <f ca="1">ROUND(FIRE1122_raw!AH13,0)</f>
        <v>2</v>
      </c>
      <c r="AI13" s="22">
        <f ca="1">ROUND(FIRE1122_raw!AI13,0)</f>
        <v>3</v>
      </c>
      <c r="AJ13" s="22">
        <f ca="1">ROUND(FIRE1122_raw!AJ13,0)</f>
        <v>2</v>
      </c>
      <c r="AK13" s="22">
        <f ca="1">ROUND(FIRE1122_raw!AK13,0)</f>
        <v>4</v>
      </c>
      <c r="AL13" s="22">
        <f ca="1">ROUND(FIRE1122_raw!AL13,0)</f>
        <v>2</v>
      </c>
      <c r="AM13" s="22">
        <f ca="1">ROUND(FIRE1122_raw!AM13,0)</f>
        <v>0</v>
      </c>
      <c r="AN13" s="22">
        <f ca="1">IF(FIRE1122_raw!AN13="-","-",ROUND(FIRE1122_raw!AN13,0))</f>
        <v>40</v>
      </c>
      <c r="AO13" s="22"/>
      <c r="AP13" s="21">
        <f ca="1">ROUND(FIRE1122_raw!AP13,0)</f>
        <v>7</v>
      </c>
      <c r="AQ13" s="21">
        <f ca="1">ROUND(FIRE1122_raw!AQ13,0)</f>
        <v>20</v>
      </c>
      <c r="AR13" s="21">
        <f ca="1">ROUND(FIRE1122_raw!AR13,0)</f>
        <v>11</v>
      </c>
      <c r="AS13" s="21">
        <f ca="1">ROUND(FIRE1122_raw!AS13,0)</f>
        <v>4</v>
      </c>
      <c r="AT13" s="21">
        <f ca="1">ROUND(FIRE1122_raw!AT13,0)</f>
        <v>2</v>
      </c>
      <c r="AU13" s="21">
        <f ca="1">ROUND(FIRE1122_raw!AU13,0)</f>
        <v>0</v>
      </c>
      <c r="AV13" s="21">
        <f ca="1">IF(FIRE1122_raw!AV13="-","-",ROUND(FIRE1122_raw!AV13,0))</f>
        <v>34</v>
      </c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8" s="7" customFormat="1" ht="15" customHeight="1" x14ac:dyDescent="0.35">
      <c r="A14" s="2" t="s">
        <v>19</v>
      </c>
      <c r="B14" s="22">
        <f ca="1">ROUND(FIRE1122_raw!B14,0)</f>
        <v>2</v>
      </c>
      <c r="C14" s="22">
        <f ca="1">ROUND(FIRE1122_raw!C14,0)</f>
        <v>4</v>
      </c>
      <c r="D14" s="22">
        <f ca="1">ROUND(FIRE1122_raw!D14,0)</f>
        <v>1</v>
      </c>
      <c r="E14" s="22">
        <f ca="1">ROUND(FIRE1122_raw!E14,0)</f>
        <v>0</v>
      </c>
      <c r="F14" s="22">
        <f ca="1">ROUND(FIRE1122_raw!F14,0)</f>
        <v>0</v>
      </c>
      <c r="G14" s="22">
        <f ca="1">ROUND(FIRE1122_raw!G14,0)</f>
        <v>0</v>
      </c>
      <c r="H14" s="22">
        <f ca="1">IF(FIRE1122_raw!H14="-","-",ROUND(FIRE1122_raw!H14,0))</f>
        <v>29</v>
      </c>
      <c r="I14" s="22"/>
      <c r="J14" s="22">
        <f ca="1">ROUND(FIRE1122_raw!J14,0)</f>
        <v>7</v>
      </c>
      <c r="K14" s="22">
        <f ca="1">ROUND(FIRE1122_raw!K14,0)</f>
        <v>13</v>
      </c>
      <c r="L14" s="22">
        <f ca="1">ROUND(FIRE1122_raw!L14,0)</f>
        <v>7</v>
      </c>
      <c r="M14" s="22">
        <f ca="1">ROUND(FIRE1122_raw!M14,0)</f>
        <v>2</v>
      </c>
      <c r="N14" s="22">
        <f ca="1">ROUND(FIRE1122_raw!N14,0)</f>
        <v>1</v>
      </c>
      <c r="O14" s="22">
        <f ca="1">ROUND(FIRE1122_raw!O14,0)</f>
        <v>0</v>
      </c>
      <c r="P14" s="22">
        <f ca="1">IF(FIRE1122_raw!P14="-","-",ROUND(FIRE1122_raw!P14,0))</f>
        <v>32</v>
      </c>
      <c r="Q14" s="22"/>
      <c r="R14" s="21">
        <f ca="1">ROUND(FIRE1122_raw!R14,0)</f>
        <v>9</v>
      </c>
      <c r="S14" s="21">
        <f ca="1">ROUND(FIRE1122_raw!S14,0)</f>
        <v>17</v>
      </c>
      <c r="T14" s="21">
        <f ca="1">ROUND(FIRE1122_raw!T14,0)</f>
        <v>8</v>
      </c>
      <c r="U14" s="21">
        <f ca="1">ROUND(FIRE1122_raw!U14,0)</f>
        <v>2</v>
      </c>
      <c r="V14" s="21">
        <f ca="1">ROUND(FIRE1122_raw!V14,0)</f>
        <v>1</v>
      </c>
      <c r="W14" s="21">
        <f ca="1">ROUND(FIRE1122_raw!W14,0)</f>
        <v>0</v>
      </c>
      <c r="X14" s="21">
        <f ca="1">IF(FIRE1122_raw!X14="-","-",ROUND(FIRE1122_raw!X14,0))</f>
        <v>32</v>
      </c>
      <c r="Y14" s="22"/>
      <c r="Z14" s="22">
        <f ca="1">ROUND(FIRE1122_raw!Z14,0)</f>
        <v>4</v>
      </c>
      <c r="AA14" s="22">
        <f ca="1">ROUND(FIRE1122_raw!AA14,0)</f>
        <v>3</v>
      </c>
      <c r="AB14" s="22">
        <f ca="1">ROUND(FIRE1122_raw!AB14,0)</f>
        <v>2</v>
      </c>
      <c r="AC14" s="22">
        <f ca="1">ROUND(FIRE1122_raw!AC14,0)</f>
        <v>0</v>
      </c>
      <c r="AD14" s="22">
        <f ca="1">ROUND(FIRE1122_raw!AD14,0)</f>
        <v>0</v>
      </c>
      <c r="AE14" s="22">
        <f ca="1">ROUND(FIRE1122_raw!AE14,0)</f>
        <v>0</v>
      </c>
      <c r="AF14" s="22">
        <f ca="1">IF(FIRE1122_raw!AF14="-","-",ROUND(FIRE1122_raw!AF14,0))</f>
        <v>28</v>
      </c>
      <c r="AG14" s="22"/>
      <c r="AH14" s="22">
        <f ca="1">ROUND(FIRE1122_raw!AH14,0)</f>
        <v>11</v>
      </c>
      <c r="AI14" s="22">
        <f ca="1">ROUND(FIRE1122_raw!AI14,0)</f>
        <v>8</v>
      </c>
      <c r="AJ14" s="22">
        <f ca="1">ROUND(FIRE1122_raw!AJ14,0)</f>
        <v>4</v>
      </c>
      <c r="AK14" s="22">
        <f ca="1">ROUND(FIRE1122_raw!AK14,0)</f>
        <v>1</v>
      </c>
      <c r="AL14" s="22">
        <f ca="1">ROUND(FIRE1122_raw!AL14,0)</f>
        <v>0</v>
      </c>
      <c r="AM14" s="22">
        <f ca="1">ROUND(FIRE1122_raw!AM14,0)</f>
        <v>0</v>
      </c>
      <c r="AN14" s="22">
        <f ca="1">IF(FIRE1122_raw!AN14="-","-",ROUND(FIRE1122_raw!AN14,0))</f>
        <v>28</v>
      </c>
      <c r="AO14" s="22"/>
      <c r="AP14" s="21">
        <f ca="1">ROUND(FIRE1122_raw!AP14,0)</f>
        <v>24</v>
      </c>
      <c r="AQ14" s="21">
        <f ca="1">ROUND(FIRE1122_raw!AQ14,0)</f>
        <v>28</v>
      </c>
      <c r="AR14" s="21">
        <f ca="1">ROUND(FIRE1122_raw!AR14,0)</f>
        <v>14</v>
      </c>
      <c r="AS14" s="21">
        <f ca="1">ROUND(FIRE1122_raw!AS14,0)</f>
        <v>3</v>
      </c>
      <c r="AT14" s="21">
        <f ca="1">ROUND(FIRE1122_raw!AT14,0)</f>
        <v>1</v>
      </c>
      <c r="AU14" s="21">
        <f ca="1">ROUND(FIRE1122_raw!AU14,0)</f>
        <v>0</v>
      </c>
      <c r="AV14" s="21">
        <f ca="1">IF(FIRE1122_raw!AV14="-","-",ROUND(FIRE1122_raw!AV14,0))</f>
        <v>30</v>
      </c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8" s="7" customFormat="1" ht="15" customHeight="1" x14ac:dyDescent="0.35">
      <c r="A15" s="2" t="s">
        <v>20</v>
      </c>
      <c r="B15" s="22">
        <f ca="1">ROUND(FIRE1122_raw!B15,0)</f>
        <v>7</v>
      </c>
      <c r="C15" s="22">
        <f ca="1">ROUND(FIRE1122_raw!C15,0)</f>
        <v>8</v>
      </c>
      <c r="D15" s="22">
        <f ca="1">ROUND(FIRE1122_raw!D15,0)</f>
        <v>3</v>
      </c>
      <c r="E15" s="22">
        <f ca="1">ROUND(FIRE1122_raw!E15,0)</f>
        <v>1</v>
      </c>
      <c r="F15" s="22">
        <f ca="1">ROUND(FIRE1122_raw!F15,0)</f>
        <v>0</v>
      </c>
      <c r="G15" s="22">
        <f ca="1">ROUND(FIRE1122_raw!G15,0)</f>
        <v>0</v>
      </c>
      <c r="H15" s="22">
        <f ca="1">IF(FIRE1122_raw!H15="-","-",ROUND(FIRE1122_raw!H15,0))</f>
        <v>29</v>
      </c>
      <c r="I15" s="22"/>
      <c r="J15" s="22">
        <f ca="1">ROUND(FIRE1122_raw!J15,0)</f>
        <v>4</v>
      </c>
      <c r="K15" s="22">
        <f ca="1">ROUND(FIRE1122_raw!K15,0)</f>
        <v>12</v>
      </c>
      <c r="L15" s="22">
        <f ca="1">ROUND(FIRE1122_raw!L15,0)</f>
        <v>4</v>
      </c>
      <c r="M15" s="22">
        <f ca="1">ROUND(FIRE1122_raw!M15,0)</f>
        <v>1</v>
      </c>
      <c r="N15" s="22">
        <f ca="1">ROUND(FIRE1122_raw!N15,0)</f>
        <v>0</v>
      </c>
      <c r="O15" s="22">
        <f ca="1">ROUND(FIRE1122_raw!O15,0)</f>
        <v>0</v>
      </c>
      <c r="P15" s="22">
        <f ca="1">IF(FIRE1122_raw!P15="-","-",ROUND(FIRE1122_raw!P15,0))</f>
        <v>31</v>
      </c>
      <c r="Q15" s="22"/>
      <c r="R15" s="21">
        <f ca="1">ROUND(FIRE1122_raw!R15,0)</f>
        <v>11</v>
      </c>
      <c r="S15" s="21">
        <f ca="1">ROUND(FIRE1122_raw!S15,0)</f>
        <v>20</v>
      </c>
      <c r="T15" s="21">
        <f ca="1">ROUND(FIRE1122_raw!T15,0)</f>
        <v>7</v>
      </c>
      <c r="U15" s="21">
        <f ca="1">ROUND(FIRE1122_raw!U15,0)</f>
        <v>2</v>
      </c>
      <c r="V15" s="21">
        <f ca="1">ROUND(FIRE1122_raw!V15,0)</f>
        <v>0</v>
      </c>
      <c r="W15" s="21">
        <f ca="1">ROUND(FIRE1122_raw!W15,0)</f>
        <v>0</v>
      </c>
      <c r="X15" s="21">
        <f ca="1">IF(FIRE1122_raw!X15="-","-",ROUND(FIRE1122_raw!X15,0))</f>
        <v>30</v>
      </c>
      <c r="Y15" s="22"/>
      <c r="Z15" s="22">
        <f ca="1">ROUND(FIRE1122_raw!Z15,0)</f>
        <v>0</v>
      </c>
      <c r="AA15" s="22">
        <f ca="1">ROUND(FIRE1122_raw!AA15,0)</f>
        <v>0</v>
      </c>
      <c r="AB15" s="22">
        <f ca="1">ROUND(FIRE1122_raw!AB15,0)</f>
        <v>0</v>
      </c>
      <c r="AC15" s="22">
        <f ca="1">ROUND(FIRE1122_raw!AC15,0)</f>
        <v>0</v>
      </c>
      <c r="AD15" s="22">
        <f ca="1">ROUND(FIRE1122_raw!AD15,0)</f>
        <v>0</v>
      </c>
      <c r="AE15" s="22">
        <f ca="1">ROUND(FIRE1122_raw!AE15,0)</f>
        <v>0</v>
      </c>
      <c r="AF15" s="22" t="str">
        <f ca="1">IF(FIRE1122_raw!AF15="-","-",ROUND(FIRE1122_raw!AF15,0))</f>
        <v>-</v>
      </c>
      <c r="AG15" s="22"/>
      <c r="AH15" s="22">
        <f ca="1">ROUND(FIRE1122_raw!AH15,0)</f>
        <v>11</v>
      </c>
      <c r="AI15" s="22">
        <f ca="1">ROUND(FIRE1122_raw!AI15,0)</f>
        <v>11</v>
      </c>
      <c r="AJ15" s="22">
        <f ca="1">ROUND(FIRE1122_raw!AJ15,0)</f>
        <v>8</v>
      </c>
      <c r="AK15" s="22">
        <f ca="1">ROUND(FIRE1122_raw!AK15,0)</f>
        <v>3</v>
      </c>
      <c r="AL15" s="22">
        <f ca="1">ROUND(FIRE1122_raw!AL15,0)</f>
        <v>5</v>
      </c>
      <c r="AM15" s="22">
        <f ca="1">ROUND(FIRE1122_raw!AM15,0)</f>
        <v>0</v>
      </c>
      <c r="AN15" s="22">
        <f ca="1">IF(FIRE1122_raw!AN15="-","-",ROUND(FIRE1122_raw!AN15,0))</f>
        <v>34</v>
      </c>
      <c r="AO15" s="22"/>
      <c r="AP15" s="21">
        <f ca="1">ROUND(FIRE1122_raw!AP15,0)</f>
        <v>22</v>
      </c>
      <c r="AQ15" s="21">
        <f ca="1">ROUND(FIRE1122_raw!AQ15,0)</f>
        <v>31</v>
      </c>
      <c r="AR15" s="21">
        <f ca="1">ROUND(FIRE1122_raw!AR15,0)</f>
        <v>15</v>
      </c>
      <c r="AS15" s="21">
        <f ca="1">ROUND(FIRE1122_raw!AS15,0)</f>
        <v>5</v>
      </c>
      <c r="AT15" s="21">
        <f ca="1">ROUND(FIRE1122_raw!AT15,0)</f>
        <v>5</v>
      </c>
      <c r="AU15" s="21">
        <f ca="1">ROUND(FIRE1122_raw!AU15,0)</f>
        <v>0</v>
      </c>
      <c r="AV15" s="21">
        <f ca="1">IF(FIRE1122_raw!AV15="-","-",ROUND(FIRE1122_raw!AV15,0))</f>
        <v>32</v>
      </c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8" s="7" customFormat="1" ht="15" customHeight="1" x14ac:dyDescent="0.35">
      <c r="A16" s="2" t="s">
        <v>21</v>
      </c>
      <c r="B16" s="22">
        <f ca="1">ROUND(FIRE1122_raw!B16,0)</f>
        <v>5</v>
      </c>
      <c r="C16" s="22">
        <f ca="1">ROUND(FIRE1122_raw!C16,0)</f>
        <v>13</v>
      </c>
      <c r="D16" s="22">
        <f ca="1">ROUND(FIRE1122_raw!D16,0)</f>
        <v>3</v>
      </c>
      <c r="E16" s="22">
        <f ca="1">ROUND(FIRE1122_raw!E16,0)</f>
        <v>0</v>
      </c>
      <c r="F16" s="22">
        <f ca="1">ROUND(FIRE1122_raw!F16,0)</f>
        <v>1</v>
      </c>
      <c r="G16" s="22">
        <f ca="1">ROUND(FIRE1122_raw!G16,0)</f>
        <v>0</v>
      </c>
      <c r="H16" s="22">
        <f ca="1">IF(FIRE1122_raw!H16="-","-",ROUND(FIRE1122_raw!H16,0))</f>
        <v>30</v>
      </c>
      <c r="I16" s="22"/>
      <c r="J16" s="22">
        <f ca="1">ROUND(FIRE1122_raw!J16,0)</f>
        <v>2</v>
      </c>
      <c r="K16" s="22">
        <f ca="1">ROUND(FIRE1122_raw!K16,0)</f>
        <v>7</v>
      </c>
      <c r="L16" s="22">
        <f ca="1">ROUND(FIRE1122_raw!L16,0)</f>
        <v>2</v>
      </c>
      <c r="M16" s="22">
        <f ca="1">ROUND(FIRE1122_raw!M16,0)</f>
        <v>0</v>
      </c>
      <c r="N16" s="22">
        <f ca="1">ROUND(FIRE1122_raw!N16,0)</f>
        <v>0</v>
      </c>
      <c r="O16" s="22">
        <f ca="1">ROUND(FIRE1122_raw!O16,0)</f>
        <v>0</v>
      </c>
      <c r="P16" s="22">
        <f ca="1">IF(FIRE1122_raw!P16="-","-",ROUND(FIRE1122_raw!P16,0))</f>
        <v>30</v>
      </c>
      <c r="Q16" s="22"/>
      <c r="R16" s="21">
        <f ca="1">ROUND(FIRE1122_raw!R16,0)</f>
        <v>7</v>
      </c>
      <c r="S16" s="21">
        <f ca="1">ROUND(FIRE1122_raw!S16,0)</f>
        <v>20</v>
      </c>
      <c r="T16" s="21">
        <f ca="1">ROUND(FIRE1122_raw!T16,0)</f>
        <v>5</v>
      </c>
      <c r="U16" s="21">
        <f ca="1">ROUND(FIRE1122_raw!U16,0)</f>
        <v>0</v>
      </c>
      <c r="V16" s="21">
        <f ca="1">ROUND(FIRE1122_raw!V16,0)</f>
        <v>1</v>
      </c>
      <c r="W16" s="21">
        <f ca="1">ROUND(FIRE1122_raw!W16,0)</f>
        <v>0</v>
      </c>
      <c r="X16" s="21">
        <f ca="1">IF(FIRE1122_raw!X16="-","-",ROUND(FIRE1122_raw!X16,0))</f>
        <v>30</v>
      </c>
      <c r="Y16" s="22"/>
      <c r="Z16" s="22">
        <f ca="1">ROUND(FIRE1122_raw!Z16,0)</f>
        <v>0</v>
      </c>
      <c r="AA16" s="22">
        <f ca="1">ROUND(FIRE1122_raw!AA16,0)</f>
        <v>0</v>
      </c>
      <c r="AB16" s="22">
        <f ca="1">ROUND(FIRE1122_raw!AB16,0)</f>
        <v>1</v>
      </c>
      <c r="AC16" s="22">
        <f ca="1">ROUND(FIRE1122_raw!AC16,0)</f>
        <v>0</v>
      </c>
      <c r="AD16" s="22">
        <f ca="1">ROUND(FIRE1122_raw!AD16,0)</f>
        <v>0</v>
      </c>
      <c r="AE16" s="22">
        <f ca="1">ROUND(FIRE1122_raw!AE16,0)</f>
        <v>0</v>
      </c>
      <c r="AF16" s="22">
        <f ca="1">IF(FIRE1122_raw!AF16="-","-",ROUND(FIRE1122_raw!AF16,0))</f>
        <v>41</v>
      </c>
      <c r="AG16" s="22"/>
      <c r="AH16" s="22">
        <f ca="1">ROUND(FIRE1122_raw!AH16,0)</f>
        <v>1</v>
      </c>
      <c r="AI16" s="22">
        <f ca="1">ROUND(FIRE1122_raw!AI16,0)</f>
        <v>6</v>
      </c>
      <c r="AJ16" s="22">
        <f ca="1">ROUND(FIRE1122_raw!AJ16,0)</f>
        <v>3</v>
      </c>
      <c r="AK16" s="22">
        <f ca="1">ROUND(FIRE1122_raw!AK16,0)</f>
        <v>2</v>
      </c>
      <c r="AL16" s="22">
        <f ca="1">ROUND(FIRE1122_raw!AL16,0)</f>
        <v>1</v>
      </c>
      <c r="AM16" s="22">
        <f ca="1">ROUND(FIRE1122_raw!AM16,0)</f>
        <v>0</v>
      </c>
      <c r="AN16" s="22">
        <f ca="1">IF(FIRE1122_raw!AN16="-","-",ROUND(FIRE1122_raw!AN16,0))</f>
        <v>37</v>
      </c>
      <c r="AO16" s="22"/>
      <c r="AP16" s="21">
        <f ca="1">ROUND(FIRE1122_raw!AP16,0)</f>
        <v>8</v>
      </c>
      <c r="AQ16" s="21">
        <f ca="1">ROUND(FIRE1122_raw!AQ16,0)</f>
        <v>26</v>
      </c>
      <c r="AR16" s="21">
        <f ca="1">ROUND(FIRE1122_raw!AR16,0)</f>
        <v>9</v>
      </c>
      <c r="AS16" s="21">
        <f ca="1">ROUND(FIRE1122_raw!AS16,0)</f>
        <v>2</v>
      </c>
      <c r="AT16" s="21">
        <f ca="1">ROUND(FIRE1122_raw!AT16,0)</f>
        <v>2</v>
      </c>
      <c r="AU16" s="21">
        <f ca="1">ROUND(FIRE1122_raw!AU16,0)</f>
        <v>0</v>
      </c>
      <c r="AV16" s="21">
        <f ca="1">IF(FIRE1122_raw!AV16="-","-",ROUND(FIRE1122_raw!AV16,0))</f>
        <v>32</v>
      </c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7" customFormat="1" ht="15" customHeight="1" x14ac:dyDescent="0.35">
      <c r="A17" s="2" t="s">
        <v>22</v>
      </c>
      <c r="B17" s="22">
        <f ca="1">ROUND(FIRE1122_raw!B17,0)</f>
        <v>0</v>
      </c>
      <c r="C17" s="22">
        <f ca="1">ROUND(FIRE1122_raw!C17,0)</f>
        <v>4</v>
      </c>
      <c r="D17" s="22">
        <f ca="1">ROUND(FIRE1122_raw!D17,0)</f>
        <v>1</v>
      </c>
      <c r="E17" s="22">
        <f ca="1">ROUND(FIRE1122_raw!E17,0)</f>
        <v>0</v>
      </c>
      <c r="F17" s="22">
        <f ca="1">ROUND(FIRE1122_raw!F17,0)</f>
        <v>0</v>
      </c>
      <c r="G17" s="22">
        <f ca="1">ROUND(FIRE1122_raw!G17,0)</f>
        <v>0</v>
      </c>
      <c r="H17" s="22">
        <f ca="1">IF(FIRE1122_raw!H17="-","-",ROUND(FIRE1122_raw!H17,0))</f>
        <v>32</v>
      </c>
      <c r="I17" s="22"/>
      <c r="J17" s="22">
        <f ca="1">ROUND(FIRE1122_raw!J17,0)</f>
        <v>2</v>
      </c>
      <c r="K17" s="22">
        <f ca="1">ROUND(FIRE1122_raw!K17,0)</f>
        <v>11</v>
      </c>
      <c r="L17" s="22">
        <f ca="1">ROUND(FIRE1122_raw!L17,0)</f>
        <v>6</v>
      </c>
      <c r="M17" s="22">
        <f ca="1">ROUND(FIRE1122_raw!M17,0)</f>
        <v>2</v>
      </c>
      <c r="N17" s="22">
        <f ca="1">ROUND(FIRE1122_raw!N17,0)</f>
        <v>2</v>
      </c>
      <c r="O17" s="22">
        <f ca="1">ROUND(FIRE1122_raw!O17,0)</f>
        <v>0</v>
      </c>
      <c r="P17" s="22">
        <f ca="1">IF(FIRE1122_raw!P17="-","-",ROUND(FIRE1122_raw!P17,0))</f>
        <v>36</v>
      </c>
      <c r="Q17" s="22"/>
      <c r="R17" s="21">
        <f ca="1">ROUND(FIRE1122_raw!R17,0)</f>
        <v>2</v>
      </c>
      <c r="S17" s="21">
        <f ca="1">ROUND(FIRE1122_raw!S17,0)</f>
        <v>15</v>
      </c>
      <c r="T17" s="21">
        <f ca="1">ROUND(FIRE1122_raw!T17,0)</f>
        <v>7</v>
      </c>
      <c r="U17" s="21">
        <f ca="1">ROUND(FIRE1122_raw!U17,0)</f>
        <v>2</v>
      </c>
      <c r="V17" s="21">
        <f ca="1">ROUND(FIRE1122_raw!V17,0)</f>
        <v>2</v>
      </c>
      <c r="W17" s="21">
        <f ca="1">ROUND(FIRE1122_raw!W17,0)</f>
        <v>0</v>
      </c>
      <c r="X17" s="21">
        <f ca="1">IF(FIRE1122_raw!X17="-","-",ROUND(FIRE1122_raw!X17,0))</f>
        <v>35</v>
      </c>
      <c r="Y17" s="22"/>
      <c r="Z17" s="22">
        <f ca="1">ROUND(FIRE1122_raw!Z17,0)</f>
        <v>1</v>
      </c>
      <c r="AA17" s="22">
        <f ca="1">ROUND(FIRE1122_raw!AA17,0)</f>
        <v>2</v>
      </c>
      <c r="AB17" s="22">
        <f ca="1">ROUND(FIRE1122_raw!AB17,0)</f>
        <v>0</v>
      </c>
      <c r="AC17" s="22">
        <f ca="1">ROUND(FIRE1122_raw!AC17,0)</f>
        <v>0</v>
      </c>
      <c r="AD17" s="22">
        <f ca="1">ROUND(FIRE1122_raw!AD17,0)</f>
        <v>0</v>
      </c>
      <c r="AE17" s="22">
        <f ca="1">ROUND(FIRE1122_raw!AE17,0)</f>
        <v>0</v>
      </c>
      <c r="AF17" s="22">
        <f ca="1">IF(FIRE1122_raw!AF17="-","-",ROUND(FIRE1122_raw!AF17,0))</f>
        <v>27</v>
      </c>
      <c r="AG17" s="22"/>
      <c r="AH17" s="22">
        <f ca="1">ROUND(FIRE1122_raw!AH17,0)</f>
        <v>1</v>
      </c>
      <c r="AI17" s="22">
        <f ca="1">ROUND(FIRE1122_raw!AI17,0)</f>
        <v>3</v>
      </c>
      <c r="AJ17" s="22">
        <f ca="1">ROUND(FIRE1122_raw!AJ17,0)</f>
        <v>2</v>
      </c>
      <c r="AK17" s="22">
        <f ca="1">ROUND(FIRE1122_raw!AK17,0)</f>
        <v>0</v>
      </c>
      <c r="AL17" s="22">
        <f ca="1">ROUND(FIRE1122_raw!AL17,0)</f>
        <v>1</v>
      </c>
      <c r="AM17" s="22">
        <f ca="1">ROUND(FIRE1122_raw!AM17,0)</f>
        <v>0</v>
      </c>
      <c r="AN17" s="22">
        <f ca="1">IF(FIRE1122_raw!AN17="-","-",ROUND(FIRE1122_raw!AN17,0))</f>
        <v>35</v>
      </c>
      <c r="AO17" s="22"/>
      <c r="AP17" s="21">
        <f ca="1">ROUND(FIRE1122_raw!AP17,0)</f>
        <v>4</v>
      </c>
      <c r="AQ17" s="21">
        <f ca="1">ROUND(FIRE1122_raw!AQ17,0)</f>
        <v>20</v>
      </c>
      <c r="AR17" s="21">
        <f ca="1">ROUND(FIRE1122_raw!AR17,0)</f>
        <v>9</v>
      </c>
      <c r="AS17" s="21">
        <f ca="1">ROUND(FIRE1122_raw!AS17,0)</f>
        <v>2</v>
      </c>
      <c r="AT17" s="21">
        <f ca="1">ROUND(FIRE1122_raw!AT17,0)</f>
        <v>3</v>
      </c>
      <c r="AU17" s="21">
        <f ca="1">ROUND(FIRE1122_raw!AU17,0)</f>
        <v>0</v>
      </c>
      <c r="AV17" s="21">
        <f ca="1">IF(FIRE1122_raw!AV17="-","-",ROUND(FIRE1122_raw!AV17,0))</f>
        <v>35</v>
      </c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7" customFormat="1" ht="15" customHeight="1" x14ac:dyDescent="0.35">
      <c r="A18" s="2" t="s">
        <v>23</v>
      </c>
      <c r="B18" s="22">
        <f ca="1">ROUND(FIRE1122_raw!B18,0)</f>
        <v>0</v>
      </c>
      <c r="C18" s="22">
        <f ca="1">ROUND(FIRE1122_raw!C18,0)</f>
        <v>0</v>
      </c>
      <c r="D18" s="22">
        <f ca="1">ROUND(FIRE1122_raw!D18,0)</f>
        <v>1</v>
      </c>
      <c r="E18" s="22">
        <f ca="1">ROUND(FIRE1122_raw!E18,0)</f>
        <v>0</v>
      </c>
      <c r="F18" s="22">
        <f ca="1">ROUND(FIRE1122_raw!F18,0)</f>
        <v>0</v>
      </c>
      <c r="G18" s="22">
        <f ca="1">ROUND(FIRE1122_raw!G18,0)</f>
        <v>0</v>
      </c>
      <c r="H18" s="22">
        <f ca="1">IF(FIRE1122_raw!H18="-","-",ROUND(FIRE1122_raw!H18,0))</f>
        <v>41</v>
      </c>
      <c r="I18" s="22"/>
      <c r="J18" s="22">
        <f ca="1">ROUND(FIRE1122_raw!J18,0)</f>
        <v>11</v>
      </c>
      <c r="K18" s="22">
        <f ca="1">ROUND(FIRE1122_raw!K18,0)</f>
        <v>9</v>
      </c>
      <c r="L18" s="22">
        <f ca="1">ROUND(FIRE1122_raw!L18,0)</f>
        <v>13</v>
      </c>
      <c r="M18" s="22">
        <f ca="1">ROUND(FIRE1122_raw!M18,0)</f>
        <v>1</v>
      </c>
      <c r="N18" s="22">
        <f ca="1">ROUND(FIRE1122_raw!N18,0)</f>
        <v>0</v>
      </c>
      <c r="O18" s="22">
        <f ca="1">ROUND(FIRE1122_raw!O18,0)</f>
        <v>0</v>
      </c>
      <c r="P18" s="22">
        <f ca="1">IF(FIRE1122_raw!P18="-","-",ROUND(FIRE1122_raw!P18,0))</f>
        <v>31</v>
      </c>
      <c r="Q18" s="22"/>
      <c r="R18" s="21">
        <f ca="1">ROUND(FIRE1122_raw!R18,0)</f>
        <v>11</v>
      </c>
      <c r="S18" s="21">
        <f ca="1">ROUND(FIRE1122_raw!S18,0)</f>
        <v>9</v>
      </c>
      <c r="T18" s="21">
        <f ca="1">ROUND(FIRE1122_raw!T18,0)</f>
        <v>14</v>
      </c>
      <c r="U18" s="21">
        <f ca="1">ROUND(FIRE1122_raw!U18,0)</f>
        <v>1</v>
      </c>
      <c r="V18" s="21">
        <f ca="1">ROUND(FIRE1122_raw!V18,0)</f>
        <v>0</v>
      </c>
      <c r="W18" s="21">
        <f ca="1">ROUND(FIRE1122_raw!W18,0)</f>
        <v>0</v>
      </c>
      <c r="X18" s="21">
        <f ca="1">IF(FIRE1122_raw!X18="-","-",ROUND(FIRE1122_raw!X18,0))</f>
        <v>32</v>
      </c>
      <c r="Y18" s="22"/>
      <c r="Z18" s="22">
        <f ca="1">ROUND(FIRE1122_raw!Z18,0)</f>
        <v>0</v>
      </c>
      <c r="AA18" s="22">
        <f ca="1">ROUND(FIRE1122_raw!AA18,0)</f>
        <v>0</v>
      </c>
      <c r="AB18" s="22">
        <f ca="1">ROUND(FIRE1122_raw!AB18,0)</f>
        <v>0</v>
      </c>
      <c r="AC18" s="22">
        <f ca="1">ROUND(FIRE1122_raw!AC18,0)</f>
        <v>0</v>
      </c>
      <c r="AD18" s="22">
        <f ca="1">ROUND(FIRE1122_raw!AD18,0)</f>
        <v>0</v>
      </c>
      <c r="AE18" s="22">
        <f ca="1">ROUND(FIRE1122_raw!AE18,0)</f>
        <v>0</v>
      </c>
      <c r="AF18" s="22" t="str">
        <f ca="1">IF(FIRE1122_raw!AF18="-","-",ROUND(FIRE1122_raw!AF18,0))</f>
        <v>-</v>
      </c>
      <c r="AG18" s="22"/>
      <c r="AH18" s="22">
        <f ca="1">ROUND(FIRE1122_raw!AH18,0)</f>
        <v>0</v>
      </c>
      <c r="AI18" s="22">
        <f ca="1">ROUND(FIRE1122_raw!AI18,0)</f>
        <v>1</v>
      </c>
      <c r="AJ18" s="22">
        <f ca="1">ROUND(FIRE1122_raw!AJ18,0)</f>
        <v>0</v>
      </c>
      <c r="AK18" s="22">
        <f ca="1">ROUND(FIRE1122_raw!AK18,0)</f>
        <v>0</v>
      </c>
      <c r="AL18" s="22">
        <f ca="1">ROUND(FIRE1122_raw!AL18,0)</f>
        <v>0</v>
      </c>
      <c r="AM18" s="22">
        <f ca="1">ROUND(FIRE1122_raw!AM18,0)</f>
        <v>0</v>
      </c>
      <c r="AN18" s="22">
        <f ca="1">IF(FIRE1122_raw!AN18="-","-",ROUND(FIRE1122_raw!AN18,0))</f>
        <v>30</v>
      </c>
      <c r="AO18" s="22"/>
      <c r="AP18" s="21">
        <f ca="1">ROUND(FIRE1122_raw!AP18,0)</f>
        <v>11</v>
      </c>
      <c r="AQ18" s="21">
        <f ca="1">ROUND(FIRE1122_raw!AQ18,0)</f>
        <v>10</v>
      </c>
      <c r="AR18" s="21">
        <f ca="1">ROUND(FIRE1122_raw!AR18,0)</f>
        <v>14</v>
      </c>
      <c r="AS18" s="21">
        <f ca="1">ROUND(FIRE1122_raw!AS18,0)</f>
        <v>1</v>
      </c>
      <c r="AT18" s="21">
        <f ca="1">ROUND(FIRE1122_raw!AT18,0)</f>
        <v>0</v>
      </c>
      <c r="AU18" s="21">
        <f ca="1">ROUND(FIRE1122_raw!AU18,0)</f>
        <v>0</v>
      </c>
      <c r="AV18" s="21">
        <f ca="1">IF(FIRE1122_raw!AV18="-","-",ROUND(FIRE1122_raw!AV18,0))</f>
        <v>32</v>
      </c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15" customHeight="1" x14ac:dyDescent="0.35">
      <c r="A19" s="24" t="s">
        <v>24</v>
      </c>
      <c r="B19" s="22">
        <f ca="1">ROUND(FIRE1122_raw!B19,0)</f>
        <v>0</v>
      </c>
      <c r="C19" s="22">
        <f ca="1">ROUND(FIRE1122_raw!C19,0)</f>
        <v>2</v>
      </c>
      <c r="D19" s="22">
        <f ca="1">ROUND(FIRE1122_raw!D19,0)</f>
        <v>0</v>
      </c>
      <c r="E19" s="22">
        <f ca="1">ROUND(FIRE1122_raw!E19,0)</f>
        <v>1</v>
      </c>
      <c r="F19" s="22">
        <f ca="1">ROUND(FIRE1122_raw!F19,0)</f>
        <v>0</v>
      </c>
      <c r="G19" s="22">
        <f ca="1">ROUND(FIRE1122_raw!G19,0)</f>
        <v>0</v>
      </c>
      <c r="H19" s="22">
        <f ca="1">IF(FIRE1122_raw!H19="-","-",ROUND(FIRE1122_raw!H19,0))</f>
        <v>37</v>
      </c>
      <c r="I19" s="22"/>
      <c r="J19" s="22">
        <f ca="1">ROUND(FIRE1122_raw!J19,0)</f>
        <v>11</v>
      </c>
      <c r="K19" s="22">
        <f ca="1">ROUND(FIRE1122_raw!K19,0)</f>
        <v>11</v>
      </c>
      <c r="L19" s="22">
        <f ca="1">ROUND(FIRE1122_raw!L19,0)</f>
        <v>4</v>
      </c>
      <c r="M19" s="22">
        <f ca="1">ROUND(FIRE1122_raw!M19,0)</f>
        <v>1</v>
      </c>
      <c r="N19" s="22">
        <f ca="1">ROUND(FIRE1122_raw!N19,0)</f>
        <v>1</v>
      </c>
      <c r="O19" s="22">
        <f ca="1">ROUND(FIRE1122_raw!O19,0)</f>
        <v>0</v>
      </c>
      <c r="P19" s="22">
        <f ca="1">IF(FIRE1122_raw!P19="-","-",ROUND(FIRE1122_raw!P19,0))</f>
        <v>29</v>
      </c>
      <c r="Q19" s="22"/>
      <c r="R19" s="21">
        <f ca="1">ROUND(FIRE1122_raw!R19,0)</f>
        <v>11</v>
      </c>
      <c r="S19" s="21">
        <f ca="1">ROUND(FIRE1122_raw!S19,0)</f>
        <v>13</v>
      </c>
      <c r="T19" s="21">
        <f ca="1">ROUND(FIRE1122_raw!T19,0)</f>
        <v>4</v>
      </c>
      <c r="U19" s="21">
        <f ca="1">ROUND(FIRE1122_raw!U19,0)</f>
        <v>2</v>
      </c>
      <c r="V19" s="21">
        <f ca="1">ROUND(FIRE1122_raw!V19,0)</f>
        <v>1</v>
      </c>
      <c r="W19" s="21">
        <f ca="1">ROUND(FIRE1122_raw!W19,0)</f>
        <v>0</v>
      </c>
      <c r="X19" s="21">
        <f ca="1">IF(FIRE1122_raw!X19="-","-",ROUND(FIRE1122_raw!X19,0))</f>
        <v>30</v>
      </c>
      <c r="Y19" s="22"/>
      <c r="Z19" s="22">
        <f ca="1">ROUND(FIRE1122_raw!Z19,0)</f>
        <v>1</v>
      </c>
      <c r="AA19" s="22">
        <f ca="1">ROUND(FIRE1122_raw!AA19,0)</f>
        <v>2</v>
      </c>
      <c r="AB19" s="22">
        <f ca="1">ROUND(FIRE1122_raw!AB19,0)</f>
        <v>1</v>
      </c>
      <c r="AC19" s="22">
        <f ca="1">ROUND(FIRE1122_raw!AC19,0)</f>
        <v>0</v>
      </c>
      <c r="AD19" s="22">
        <f ca="1">ROUND(FIRE1122_raw!AD19,0)</f>
        <v>0</v>
      </c>
      <c r="AE19" s="22">
        <f ca="1">ROUND(FIRE1122_raw!AE19,0)</f>
        <v>0</v>
      </c>
      <c r="AF19" s="22">
        <f ca="1">IF(FIRE1122_raw!AF19="-","-",ROUND(FIRE1122_raw!AF19,0))</f>
        <v>30</v>
      </c>
      <c r="AG19" s="22"/>
      <c r="AH19" s="22">
        <f ca="1">ROUND(FIRE1122_raw!AH19,0)</f>
        <v>2</v>
      </c>
      <c r="AI19" s="22">
        <f ca="1">ROUND(FIRE1122_raw!AI19,0)</f>
        <v>3</v>
      </c>
      <c r="AJ19" s="22">
        <f ca="1">ROUND(FIRE1122_raw!AJ19,0)</f>
        <v>3</v>
      </c>
      <c r="AK19" s="22">
        <f ca="1">ROUND(FIRE1122_raw!AK19,0)</f>
        <v>5</v>
      </c>
      <c r="AL19" s="22">
        <f ca="1">ROUND(FIRE1122_raw!AL19,0)</f>
        <v>1</v>
      </c>
      <c r="AM19" s="22">
        <f ca="1">ROUND(FIRE1122_raw!AM19,0)</f>
        <v>0</v>
      </c>
      <c r="AN19" s="22">
        <f ca="1">IF(FIRE1122_raw!AN19="-","-",ROUND(FIRE1122_raw!AN19,0))</f>
        <v>40</v>
      </c>
      <c r="AO19" s="22"/>
      <c r="AP19" s="21">
        <f ca="1">ROUND(FIRE1122_raw!AP19,0)</f>
        <v>14</v>
      </c>
      <c r="AQ19" s="21">
        <f ca="1">ROUND(FIRE1122_raw!AQ19,0)</f>
        <v>18</v>
      </c>
      <c r="AR19" s="21">
        <f ca="1">ROUND(FIRE1122_raw!AR19,0)</f>
        <v>8</v>
      </c>
      <c r="AS19" s="21">
        <f ca="1">ROUND(FIRE1122_raw!AS19,0)</f>
        <v>7</v>
      </c>
      <c r="AT19" s="21">
        <f ca="1">ROUND(FIRE1122_raw!AT19,0)</f>
        <v>2</v>
      </c>
      <c r="AU19" s="21">
        <f ca="1">ROUND(FIRE1122_raw!AU19,0)</f>
        <v>0</v>
      </c>
      <c r="AV19" s="21">
        <f ca="1">IF(FIRE1122_raw!AV19="-","-",ROUND(FIRE1122_raw!AV19,0))</f>
        <v>33</v>
      </c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7" customFormat="1" ht="15" customHeight="1" x14ac:dyDescent="0.35">
      <c r="A20" s="24" t="s">
        <v>25</v>
      </c>
      <c r="B20" s="22">
        <f ca="1">ROUND(FIRE1122_raw!B20,0)</f>
        <v>4</v>
      </c>
      <c r="C20" s="22">
        <f ca="1">ROUND(FIRE1122_raw!C20,0)</f>
        <v>23</v>
      </c>
      <c r="D20" s="22">
        <f ca="1">ROUND(FIRE1122_raw!D20,0)</f>
        <v>6</v>
      </c>
      <c r="E20" s="22">
        <f ca="1">ROUND(FIRE1122_raw!E20,0)</f>
        <v>2</v>
      </c>
      <c r="F20" s="22">
        <f ca="1">ROUND(FIRE1122_raw!F20,0)</f>
        <v>0</v>
      </c>
      <c r="G20" s="22">
        <f ca="1">ROUND(FIRE1122_raw!G20,0)</f>
        <v>0</v>
      </c>
      <c r="H20" s="22">
        <f ca="1">IF(FIRE1122_raw!H20="-","-",ROUND(FIRE1122_raw!H20,0))</f>
        <v>32</v>
      </c>
      <c r="I20" s="22"/>
      <c r="J20" s="22">
        <f ca="1">ROUND(FIRE1122_raw!J20,0)</f>
        <v>18</v>
      </c>
      <c r="K20" s="22">
        <f ca="1">ROUND(FIRE1122_raw!K20,0)</f>
        <v>54</v>
      </c>
      <c r="L20" s="22">
        <f ca="1">ROUND(FIRE1122_raw!L20,0)</f>
        <v>28</v>
      </c>
      <c r="M20" s="22">
        <f ca="1">ROUND(FIRE1122_raw!M20,0)</f>
        <v>8</v>
      </c>
      <c r="N20" s="22">
        <f ca="1">ROUND(FIRE1122_raw!N20,0)</f>
        <v>0</v>
      </c>
      <c r="O20" s="22">
        <f ca="1">ROUND(FIRE1122_raw!O20,0)</f>
        <v>0</v>
      </c>
      <c r="P20" s="22">
        <f ca="1">IF(FIRE1122_raw!P20="-","-",ROUND(FIRE1122_raw!P20,0))</f>
        <v>33</v>
      </c>
      <c r="Q20" s="22"/>
      <c r="R20" s="21">
        <f ca="1">ROUND(FIRE1122_raw!R20,0)</f>
        <v>22</v>
      </c>
      <c r="S20" s="21">
        <f ca="1">ROUND(FIRE1122_raw!S20,0)</f>
        <v>77</v>
      </c>
      <c r="T20" s="21">
        <f ca="1">ROUND(FIRE1122_raw!T20,0)</f>
        <v>34</v>
      </c>
      <c r="U20" s="21">
        <f ca="1">ROUND(FIRE1122_raw!U20,0)</f>
        <v>10</v>
      </c>
      <c r="V20" s="21">
        <f ca="1">ROUND(FIRE1122_raw!V20,0)</f>
        <v>0</v>
      </c>
      <c r="W20" s="21">
        <f ca="1">ROUND(FIRE1122_raw!W20,0)</f>
        <v>0</v>
      </c>
      <c r="X20" s="21">
        <f ca="1">IF(FIRE1122_raw!X20="-","-",ROUND(FIRE1122_raw!X20,0))</f>
        <v>32</v>
      </c>
      <c r="Y20" s="22"/>
      <c r="Z20" s="22">
        <f ca="1">ROUND(FIRE1122_raw!Z20,0)</f>
        <v>0</v>
      </c>
      <c r="AA20" s="22">
        <f ca="1">ROUND(FIRE1122_raw!AA20,0)</f>
        <v>2</v>
      </c>
      <c r="AB20" s="22">
        <f ca="1">ROUND(FIRE1122_raw!AB20,0)</f>
        <v>0</v>
      </c>
      <c r="AC20" s="22">
        <f ca="1">ROUND(FIRE1122_raw!AC20,0)</f>
        <v>0</v>
      </c>
      <c r="AD20" s="22">
        <f ca="1">ROUND(FIRE1122_raw!AD20,0)</f>
        <v>0</v>
      </c>
      <c r="AE20" s="22">
        <f ca="1">ROUND(FIRE1122_raw!AE20,0)</f>
        <v>0</v>
      </c>
      <c r="AF20" s="22">
        <f ca="1">IF(FIRE1122_raw!AF20="-","-",ROUND(FIRE1122_raw!AF20,0))</f>
        <v>30</v>
      </c>
      <c r="AG20" s="22"/>
      <c r="AH20" s="22">
        <f ca="1">ROUND(FIRE1122_raw!AH20,0)</f>
        <v>1</v>
      </c>
      <c r="AI20" s="22">
        <f ca="1">ROUND(FIRE1122_raw!AI20,0)</f>
        <v>8</v>
      </c>
      <c r="AJ20" s="22">
        <f ca="1">ROUND(FIRE1122_raw!AJ20,0)</f>
        <v>8</v>
      </c>
      <c r="AK20" s="22">
        <f ca="1">ROUND(FIRE1122_raw!AK20,0)</f>
        <v>7</v>
      </c>
      <c r="AL20" s="22">
        <f ca="1">ROUND(FIRE1122_raw!AL20,0)</f>
        <v>2</v>
      </c>
      <c r="AM20" s="22">
        <f ca="1">ROUND(FIRE1122_raw!AM20,0)</f>
        <v>0</v>
      </c>
      <c r="AN20" s="22">
        <f ca="1">IF(FIRE1122_raw!AN20="-","-",ROUND(FIRE1122_raw!AN20,0))</f>
        <v>40</v>
      </c>
      <c r="AO20" s="22"/>
      <c r="AP20" s="21">
        <f ca="1">ROUND(FIRE1122_raw!AP20,0)</f>
        <v>23</v>
      </c>
      <c r="AQ20" s="21">
        <f ca="1">ROUND(FIRE1122_raw!AQ20,0)</f>
        <v>87</v>
      </c>
      <c r="AR20" s="21">
        <f ca="1">ROUND(FIRE1122_raw!AR20,0)</f>
        <v>42</v>
      </c>
      <c r="AS20" s="21">
        <f ca="1">ROUND(FIRE1122_raw!AS20,0)</f>
        <v>17</v>
      </c>
      <c r="AT20" s="21">
        <f ca="1">ROUND(FIRE1122_raw!AT20,0)</f>
        <v>2</v>
      </c>
      <c r="AU20" s="21">
        <f ca="1">ROUND(FIRE1122_raw!AU20,0)</f>
        <v>0</v>
      </c>
      <c r="AV20" s="21">
        <f ca="1">IF(FIRE1122_raw!AV20="-","-",ROUND(FIRE1122_raw!AV20,0))</f>
        <v>34</v>
      </c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7" customFormat="1" ht="15" customHeight="1" x14ac:dyDescent="0.35">
      <c r="A21" s="2" t="s">
        <v>26</v>
      </c>
      <c r="B21" s="22">
        <f ca="1">ROUND(FIRE1122_raw!B21,0)</f>
        <v>0</v>
      </c>
      <c r="C21" s="22">
        <f ca="1">ROUND(FIRE1122_raw!C21,0)</f>
        <v>13</v>
      </c>
      <c r="D21" s="22">
        <f ca="1">ROUND(FIRE1122_raw!D21,0)</f>
        <v>6</v>
      </c>
      <c r="E21" s="22">
        <f ca="1">ROUND(FIRE1122_raw!E21,0)</f>
        <v>1</v>
      </c>
      <c r="F21" s="22">
        <f ca="1">ROUND(FIRE1122_raw!F21,0)</f>
        <v>1</v>
      </c>
      <c r="G21" s="22">
        <f ca="1">ROUND(FIRE1122_raw!G21,0)</f>
        <v>0</v>
      </c>
      <c r="H21" s="22">
        <f ca="1">IF(FIRE1122_raw!H21="-","-",ROUND(FIRE1122_raw!H21,0))</f>
        <v>35</v>
      </c>
      <c r="I21" s="22"/>
      <c r="J21" s="22">
        <f ca="1">ROUND(FIRE1122_raw!J21,0)</f>
        <v>21</v>
      </c>
      <c r="K21" s="22">
        <f ca="1">ROUND(FIRE1122_raw!K21,0)</f>
        <v>34</v>
      </c>
      <c r="L21" s="22">
        <f ca="1">ROUND(FIRE1122_raw!L21,0)</f>
        <v>18</v>
      </c>
      <c r="M21" s="22">
        <f ca="1">ROUND(FIRE1122_raw!M21,0)</f>
        <v>4</v>
      </c>
      <c r="N21" s="22">
        <f ca="1">ROUND(FIRE1122_raw!N21,0)</f>
        <v>1</v>
      </c>
      <c r="O21" s="22">
        <f ca="1">ROUND(FIRE1122_raw!O21,0)</f>
        <v>0</v>
      </c>
      <c r="P21" s="22">
        <f ca="1">IF(FIRE1122_raw!P21="-","-",ROUND(FIRE1122_raw!P21,0))</f>
        <v>31</v>
      </c>
      <c r="Q21" s="22"/>
      <c r="R21" s="21">
        <f ca="1">ROUND(FIRE1122_raw!R21,0)</f>
        <v>21</v>
      </c>
      <c r="S21" s="21">
        <f ca="1">ROUND(FIRE1122_raw!S21,0)</f>
        <v>47</v>
      </c>
      <c r="T21" s="21">
        <f ca="1">ROUND(FIRE1122_raw!T21,0)</f>
        <v>24</v>
      </c>
      <c r="U21" s="21">
        <f ca="1">ROUND(FIRE1122_raw!U21,0)</f>
        <v>5</v>
      </c>
      <c r="V21" s="21">
        <f ca="1">ROUND(FIRE1122_raw!V21,0)</f>
        <v>2</v>
      </c>
      <c r="W21" s="21">
        <f ca="1">ROUND(FIRE1122_raw!W21,0)</f>
        <v>0</v>
      </c>
      <c r="X21" s="21">
        <f ca="1">IF(FIRE1122_raw!X21="-","-",ROUND(FIRE1122_raw!X21,0))</f>
        <v>32</v>
      </c>
      <c r="Y21" s="22"/>
      <c r="Z21" s="22">
        <f ca="1">ROUND(FIRE1122_raw!Z21,0)</f>
        <v>3</v>
      </c>
      <c r="AA21" s="22">
        <f ca="1">ROUND(FIRE1122_raw!AA21,0)</f>
        <v>1</v>
      </c>
      <c r="AB21" s="22">
        <f ca="1">ROUND(FIRE1122_raw!AB21,0)</f>
        <v>0</v>
      </c>
      <c r="AC21" s="22">
        <f ca="1">ROUND(FIRE1122_raw!AC21,0)</f>
        <v>0</v>
      </c>
      <c r="AD21" s="22">
        <f ca="1">ROUND(FIRE1122_raw!AD21,0)</f>
        <v>0</v>
      </c>
      <c r="AE21" s="22">
        <f ca="1">ROUND(FIRE1122_raw!AE21,0)</f>
        <v>0</v>
      </c>
      <c r="AF21" s="22">
        <f ca="1">IF(FIRE1122_raw!AF21="-","-",ROUND(FIRE1122_raw!AF21,0))</f>
        <v>23</v>
      </c>
      <c r="AG21" s="22"/>
      <c r="AH21" s="22">
        <f ca="1">ROUND(FIRE1122_raw!AH21,0)</f>
        <v>3</v>
      </c>
      <c r="AI21" s="22">
        <f ca="1">ROUND(FIRE1122_raw!AI21,0)</f>
        <v>7</v>
      </c>
      <c r="AJ21" s="22">
        <f ca="1">ROUND(FIRE1122_raw!AJ21,0)</f>
        <v>3</v>
      </c>
      <c r="AK21" s="22">
        <f ca="1">ROUND(FIRE1122_raw!AK21,0)</f>
        <v>11</v>
      </c>
      <c r="AL21" s="22">
        <f ca="1">ROUND(FIRE1122_raw!AL21,0)</f>
        <v>1</v>
      </c>
      <c r="AM21" s="22">
        <f ca="1">ROUND(FIRE1122_raw!AM21,0)</f>
        <v>0</v>
      </c>
      <c r="AN21" s="22">
        <f ca="1">IF(FIRE1122_raw!AN21="-","-",ROUND(FIRE1122_raw!AN21,0))</f>
        <v>40</v>
      </c>
      <c r="AO21" s="22"/>
      <c r="AP21" s="21">
        <f ca="1">ROUND(FIRE1122_raw!AP21,0)</f>
        <v>27</v>
      </c>
      <c r="AQ21" s="21">
        <f ca="1">ROUND(FIRE1122_raw!AQ21,0)</f>
        <v>55</v>
      </c>
      <c r="AR21" s="21">
        <f ca="1">ROUND(FIRE1122_raw!AR21,0)</f>
        <v>27</v>
      </c>
      <c r="AS21" s="21">
        <f ca="1">ROUND(FIRE1122_raw!AS21,0)</f>
        <v>16</v>
      </c>
      <c r="AT21" s="21">
        <f ca="1">ROUND(FIRE1122_raw!AT21,0)</f>
        <v>3</v>
      </c>
      <c r="AU21" s="21">
        <f ca="1">ROUND(FIRE1122_raw!AU21,0)</f>
        <v>0</v>
      </c>
      <c r="AV21" s="21">
        <f ca="1">IF(FIRE1122_raw!AV21="-","-",ROUND(FIRE1122_raw!AV21,0))</f>
        <v>33</v>
      </c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15" customHeight="1" x14ac:dyDescent="0.35">
      <c r="A22" s="2" t="s">
        <v>27</v>
      </c>
      <c r="B22" s="22">
        <f ca="1">ROUND(FIRE1122_raw!B22,0)</f>
        <v>11</v>
      </c>
      <c r="C22" s="22">
        <f ca="1">ROUND(FIRE1122_raw!C22,0)</f>
        <v>10</v>
      </c>
      <c r="D22" s="22">
        <f ca="1">ROUND(FIRE1122_raw!D22,0)</f>
        <v>1</v>
      </c>
      <c r="E22" s="22">
        <f ca="1">ROUND(FIRE1122_raw!E22,0)</f>
        <v>0</v>
      </c>
      <c r="F22" s="22">
        <f ca="1">ROUND(FIRE1122_raw!F22,0)</f>
        <v>0</v>
      </c>
      <c r="G22" s="22">
        <f ca="1">ROUND(FIRE1122_raw!G22,0)</f>
        <v>0</v>
      </c>
      <c r="H22" s="22">
        <f ca="1">IF(FIRE1122_raw!H22="-","-",ROUND(FIRE1122_raw!H22,0))</f>
        <v>25</v>
      </c>
      <c r="I22" s="22"/>
      <c r="J22" s="22">
        <f ca="1">ROUND(FIRE1122_raw!J22,0)</f>
        <v>7</v>
      </c>
      <c r="K22" s="22">
        <f ca="1">ROUND(FIRE1122_raw!K22,0)</f>
        <v>17</v>
      </c>
      <c r="L22" s="22">
        <f ca="1">ROUND(FIRE1122_raw!L22,0)</f>
        <v>3</v>
      </c>
      <c r="M22" s="22">
        <f ca="1">ROUND(FIRE1122_raw!M22,0)</f>
        <v>0</v>
      </c>
      <c r="N22" s="22">
        <f ca="1">ROUND(FIRE1122_raw!N22,0)</f>
        <v>0</v>
      </c>
      <c r="O22" s="22">
        <f ca="1">ROUND(FIRE1122_raw!O22,0)</f>
        <v>0</v>
      </c>
      <c r="P22" s="22">
        <f ca="1">IF(FIRE1122_raw!P22="-","-",ROUND(FIRE1122_raw!P22,0))</f>
        <v>29</v>
      </c>
      <c r="Q22" s="22"/>
      <c r="R22" s="21">
        <f ca="1">ROUND(FIRE1122_raw!R22,0)</f>
        <v>18</v>
      </c>
      <c r="S22" s="21">
        <f ca="1">ROUND(FIRE1122_raw!S22,0)</f>
        <v>27</v>
      </c>
      <c r="T22" s="21">
        <f ca="1">ROUND(FIRE1122_raw!T22,0)</f>
        <v>4</v>
      </c>
      <c r="U22" s="21">
        <f ca="1">ROUND(FIRE1122_raw!U22,0)</f>
        <v>0</v>
      </c>
      <c r="V22" s="21">
        <f ca="1">ROUND(FIRE1122_raw!V22,0)</f>
        <v>0</v>
      </c>
      <c r="W22" s="21">
        <f ca="1">ROUND(FIRE1122_raw!W22,0)</f>
        <v>0</v>
      </c>
      <c r="X22" s="21">
        <f ca="1">IF(FIRE1122_raw!X22="-","-",ROUND(FIRE1122_raw!X22,0))</f>
        <v>27</v>
      </c>
      <c r="Y22" s="22"/>
      <c r="Z22" s="22">
        <f ca="1">ROUND(FIRE1122_raw!Z22,0)</f>
        <v>0</v>
      </c>
      <c r="AA22" s="22">
        <f ca="1">ROUND(FIRE1122_raw!AA22,0)</f>
        <v>0</v>
      </c>
      <c r="AB22" s="22">
        <f ca="1">ROUND(FIRE1122_raw!AB22,0)</f>
        <v>0</v>
      </c>
      <c r="AC22" s="22">
        <f ca="1">ROUND(FIRE1122_raw!AC22,0)</f>
        <v>0</v>
      </c>
      <c r="AD22" s="22">
        <f ca="1">ROUND(FIRE1122_raw!AD22,0)</f>
        <v>0</v>
      </c>
      <c r="AE22" s="22">
        <f ca="1">ROUND(FIRE1122_raw!AE22,0)</f>
        <v>0</v>
      </c>
      <c r="AF22" s="22" t="str">
        <f ca="1">IF(FIRE1122_raw!AF22="-","-",ROUND(FIRE1122_raw!AF22,0))</f>
        <v>-</v>
      </c>
      <c r="AG22" s="22"/>
      <c r="AH22" s="22">
        <f ca="1">ROUND(FIRE1122_raw!AH22,0)</f>
        <v>4</v>
      </c>
      <c r="AI22" s="22">
        <f ca="1">ROUND(FIRE1122_raw!AI22,0)</f>
        <v>2</v>
      </c>
      <c r="AJ22" s="22">
        <f ca="1">ROUND(FIRE1122_raw!AJ22,0)</f>
        <v>3</v>
      </c>
      <c r="AK22" s="22">
        <f ca="1">ROUND(FIRE1122_raw!AK22,0)</f>
        <v>6</v>
      </c>
      <c r="AL22" s="22">
        <f ca="1">ROUND(FIRE1122_raw!AL22,0)</f>
        <v>3</v>
      </c>
      <c r="AM22" s="22">
        <f ca="1">ROUND(FIRE1122_raw!AM22,0)</f>
        <v>0</v>
      </c>
      <c r="AN22" s="22">
        <f ca="1">IF(FIRE1122_raw!AN22="-","-",ROUND(FIRE1122_raw!AN22,0))</f>
        <v>41</v>
      </c>
      <c r="AO22" s="22"/>
      <c r="AP22" s="21">
        <f ca="1">ROUND(FIRE1122_raw!AP22,0)</f>
        <v>22</v>
      </c>
      <c r="AQ22" s="21">
        <f ca="1">ROUND(FIRE1122_raw!AQ22,0)</f>
        <v>29</v>
      </c>
      <c r="AR22" s="21">
        <f ca="1">ROUND(FIRE1122_raw!AR22,0)</f>
        <v>7</v>
      </c>
      <c r="AS22" s="21">
        <f ca="1">ROUND(FIRE1122_raw!AS22,0)</f>
        <v>6</v>
      </c>
      <c r="AT22" s="21">
        <f ca="1">ROUND(FIRE1122_raw!AT22,0)</f>
        <v>3</v>
      </c>
      <c r="AU22" s="21">
        <f ca="1">ROUND(FIRE1122_raw!AU22,0)</f>
        <v>0</v>
      </c>
      <c r="AV22" s="21">
        <f ca="1">IF(FIRE1122_raw!AV22="-","-",ROUND(FIRE1122_raw!AV22,0))</f>
        <v>31</v>
      </c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7" customFormat="1" ht="15" customHeight="1" x14ac:dyDescent="0.35">
      <c r="A23" s="2" t="s">
        <v>28</v>
      </c>
      <c r="B23" s="22">
        <f ca="1">ROUND(FIRE1122_raw!B23,0)</f>
        <v>1</v>
      </c>
      <c r="C23" s="22">
        <f ca="1">ROUND(FIRE1122_raw!C23,0)</f>
        <v>4</v>
      </c>
      <c r="D23" s="22">
        <f ca="1">ROUND(FIRE1122_raw!D23,0)</f>
        <v>2</v>
      </c>
      <c r="E23" s="22">
        <f ca="1">ROUND(FIRE1122_raw!E23,0)</f>
        <v>0</v>
      </c>
      <c r="F23" s="22">
        <f ca="1">ROUND(FIRE1122_raw!F23,0)</f>
        <v>0</v>
      </c>
      <c r="G23" s="22">
        <f ca="1">ROUND(FIRE1122_raw!G23,0)</f>
        <v>1</v>
      </c>
      <c r="H23" s="22">
        <f ca="1">IF(FIRE1122_raw!H23="-","-",ROUND(FIRE1122_raw!H23,0))</f>
        <v>32</v>
      </c>
      <c r="I23" s="22"/>
      <c r="J23" s="22">
        <f ca="1">ROUND(FIRE1122_raw!J23,0)</f>
        <v>5</v>
      </c>
      <c r="K23" s="22">
        <f ca="1">ROUND(FIRE1122_raw!K23,0)</f>
        <v>16</v>
      </c>
      <c r="L23" s="22">
        <f ca="1">ROUND(FIRE1122_raw!L23,0)</f>
        <v>1</v>
      </c>
      <c r="M23" s="22">
        <f ca="1">ROUND(FIRE1122_raw!M23,0)</f>
        <v>0</v>
      </c>
      <c r="N23" s="22">
        <f ca="1">ROUND(FIRE1122_raw!N23,0)</f>
        <v>0</v>
      </c>
      <c r="O23" s="22">
        <f ca="1">ROUND(FIRE1122_raw!O23,0)</f>
        <v>0</v>
      </c>
      <c r="P23" s="22">
        <f ca="1">IF(FIRE1122_raw!P23="-","-",ROUND(FIRE1122_raw!P23,0))</f>
        <v>28</v>
      </c>
      <c r="Q23" s="22"/>
      <c r="R23" s="21">
        <f ca="1">ROUND(FIRE1122_raw!R23,0)</f>
        <v>6</v>
      </c>
      <c r="S23" s="21">
        <f ca="1">ROUND(FIRE1122_raw!S23,0)</f>
        <v>20</v>
      </c>
      <c r="T23" s="21">
        <f ca="1">ROUND(FIRE1122_raw!T23,0)</f>
        <v>3</v>
      </c>
      <c r="U23" s="21">
        <f ca="1">ROUND(FIRE1122_raw!U23,0)</f>
        <v>0</v>
      </c>
      <c r="V23" s="21">
        <f ca="1">ROUND(FIRE1122_raw!V23,0)</f>
        <v>0</v>
      </c>
      <c r="W23" s="21">
        <f ca="1">ROUND(FIRE1122_raw!W23,0)</f>
        <v>1</v>
      </c>
      <c r="X23" s="21">
        <f ca="1">IF(FIRE1122_raw!X23="-","-",ROUND(FIRE1122_raw!X23,0))</f>
        <v>29</v>
      </c>
      <c r="Y23" s="22"/>
      <c r="Z23" s="22">
        <f ca="1">ROUND(FIRE1122_raw!Z23,0)</f>
        <v>2</v>
      </c>
      <c r="AA23" s="22">
        <f ca="1">ROUND(FIRE1122_raw!AA23,0)</f>
        <v>1</v>
      </c>
      <c r="AB23" s="22">
        <f ca="1">ROUND(FIRE1122_raw!AB23,0)</f>
        <v>1</v>
      </c>
      <c r="AC23" s="22">
        <f ca="1">ROUND(FIRE1122_raw!AC23,0)</f>
        <v>0</v>
      </c>
      <c r="AD23" s="22">
        <f ca="1">ROUND(FIRE1122_raw!AD23,0)</f>
        <v>0</v>
      </c>
      <c r="AE23" s="22">
        <f ca="1">ROUND(FIRE1122_raw!AE23,0)</f>
        <v>0</v>
      </c>
      <c r="AF23" s="22">
        <f ca="1">IF(FIRE1122_raw!AF23="-","-",ROUND(FIRE1122_raw!AF23,0))</f>
        <v>28</v>
      </c>
      <c r="AG23" s="22"/>
      <c r="AH23" s="22">
        <f ca="1">ROUND(FIRE1122_raw!AH23,0)</f>
        <v>2</v>
      </c>
      <c r="AI23" s="22">
        <f ca="1">ROUND(FIRE1122_raw!AI23,0)</f>
        <v>3</v>
      </c>
      <c r="AJ23" s="22">
        <f ca="1">ROUND(FIRE1122_raw!AJ23,0)</f>
        <v>7</v>
      </c>
      <c r="AK23" s="22">
        <f ca="1">ROUND(FIRE1122_raw!AK23,0)</f>
        <v>8</v>
      </c>
      <c r="AL23" s="22">
        <f ca="1">ROUND(FIRE1122_raw!AL23,0)</f>
        <v>3</v>
      </c>
      <c r="AM23" s="22">
        <f ca="1">ROUND(FIRE1122_raw!AM23,0)</f>
        <v>0</v>
      </c>
      <c r="AN23" s="22">
        <f ca="1">IF(FIRE1122_raw!AN23="-","-",ROUND(FIRE1122_raw!AN23,0))</f>
        <v>43</v>
      </c>
      <c r="AO23" s="22"/>
      <c r="AP23" s="21">
        <f ca="1">ROUND(FIRE1122_raw!AP23,0)</f>
        <v>10</v>
      </c>
      <c r="AQ23" s="21">
        <f ca="1">ROUND(FIRE1122_raw!AQ23,0)</f>
        <v>24</v>
      </c>
      <c r="AR23" s="21">
        <f ca="1">ROUND(FIRE1122_raw!AR23,0)</f>
        <v>11</v>
      </c>
      <c r="AS23" s="21">
        <f ca="1">ROUND(FIRE1122_raw!AS23,0)</f>
        <v>8</v>
      </c>
      <c r="AT23" s="21">
        <f ca="1">ROUND(FIRE1122_raw!AT23,0)</f>
        <v>3</v>
      </c>
      <c r="AU23" s="21">
        <f ca="1">ROUND(FIRE1122_raw!AU23,0)</f>
        <v>1</v>
      </c>
      <c r="AV23" s="21">
        <f ca="1">IF(FIRE1122_raw!AV23="-","-",ROUND(FIRE1122_raw!AV23,0))</f>
        <v>35</v>
      </c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7" customFormat="1" ht="15" customHeight="1" x14ac:dyDescent="0.35">
      <c r="A24" s="2" t="s">
        <v>29</v>
      </c>
      <c r="B24" s="22">
        <f ca="1">ROUND(FIRE1122_raw!B24,0)</f>
        <v>1</v>
      </c>
      <c r="C24" s="22">
        <f ca="1">ROUND(FIRE1122_raw!C24,0)</f>
        <v>16</v>
      </c>
      <c r="D24" s="22">
        <f ca="1">ROUND(FIRE1122_raw!D24,0)</f>
        <v>4</v>
      </c>
      <c r="E24" s="22">
        <f ca="1">ROUND(FIRE1122_raw!E24,0)</f>
        <v>1</v>
      </c>
      <c r="F24" s="22">
        <f ca="1">ROUND(FIRE1122_raw!F24,0)</f>
        <v>0</v>
      </c>
      <c r="G24" s="22">
        <f ca="1">ROUND(FIRE1122_raw!G24,0)</f>
        <v>0</v>
      </c>
      <c r="H24" s="22">
        <f ca="1">IF(FIRE1122_raw!H24="-","-",ROUND(FIRE1122_raw!H24,0))</f>
        <v>32</v>
      </c>
      <c r="I24" s="22"/>
      <c r="J24" s="22">
        <f ca="1">ROUND(FIRE1122_raw!J24,0)</f>
        <v>24</v>
      </c>
      <c r="K24" s="22">
        <f ca="1">ROUND(FIRE1122_raw!K24,0)</f>
        <v>45</v>
      </c>
      <c r="L24" s="22">
        <f ca="1">ROUND(FIRE1122_raw!L24,0)</f>
        <v>11</v>
      </c>
      <c r="M24" s="22">
        <f ca="1">ROUND(FIRE1122_raw!M24,0)</f>
        <v>7</v>
      </c>
      <c r="N24" s="22">
        <f ca="1">ROUND(FIRE1122_raw!N24,0)</f>
        <v>1</v>
      </c>
      <c r="O24" s="22">
        <f ca="1">ROUND(FIRE1122_raw!O24,0)</f>
        <v>0</v>
      </c>
      <c r="P24" s="22">
        <f ca="1">IF(FIRE1122_raw!P24="-","-",ROUND(FIRE1122_raw!P24,0))</f>
        <v>31</v>
      </c>
      <c r="Q24" s="22"/>
      <c r="R24" s="21">
        <f ca="1">ROUND(FIRE1122_raw!R24,0)</f>
        <v>25</v>
      </c>
      <c r="S24" s="21">
        <f ca="1">ROUND(FIRE1122_raw!S24,0)</f>
        <v>61</v>
      </c>
      <c r="T24" s="21">
        <f ca="1">ROUND(FIRE1122_raw!T24,0)</f>
        <v>15</v>
      </c>
      <c r="U24" s="21">
        <f ca="1">ROUND(FIRE1122_raw!U24,0)</f>
        <v>8</v>
      </c>
      <c r="V24" s="21">
        <f ca="1">ROUND(FIRE1122_raw!V24,0)</f>
        <v>1</v>
      </c>
      <c r="W24" s="21">
        <f ca="1">ROUND(FIRE1122_raw!W24,0)</f>
        <v>0</v>
      </c>
      <c r="X24" s="21">
        <f ca="1">IF(FIRE1122_raw!X24="-","-",ROUND(FIRE1122_raw!X24,0))</f>
        <v>31</v>
      </c>
      <c r="Y24" s="22"/>
      <c r="Z24" s="22">
        <f ca="1">ROUND(FIRE1122_raw!Z24,0)</f>
        <v>1</v>
      </c>
      <c r="AA24" s="22">
        <f ca="1">ROUND(FIRE1122_raw!AA24,0)</f>
        <v>1</v>
      </c>
      <c r="AB24" s="22">
        <f ca="1">ROUND(FIRE1122_raw!AB24,0)</f>
        <v>0</v>
      </c>
      <c r="AC24" s="22">
        <f ca="1">ROUND(FIRE1122_raw!AC24,0)</f>
        <v>0</v>
      </c>
      <c r="AD24" s="22">
        <f ca="1">ROUND(FIRE1122_raw!AD24,0)</f>
        <v>0</v>
      </c>
      <c r="AE24" s="22">
        <f ca="1">ROUND(FIRE1122_raw!AE24,0)</f>
        <v>0</v>
      </c>
      <c r="AF24" s="22">
        <f ca="1">IF(FIRE1122_raw!AF24="-","-",ROUND(FIRE1122_raw!AF24,0))</f>
        <v>25</v>
      </c>
      <c r="AG24" s="22"/>
      <c r="AH24" s="22">
        <f ca="1">ROUND(FIRE1122_raw!AH24,0)</f>
        <v>8</v>
      </c>
      <c r="AI24" s="22">
        <f ca="1">ROUND(FIRE1122_raw!AI24,0)</f>
        <v>15</v>
      </c>
      <c r="AJ24" s="22">
        <f ca="1">ROUND(FIRE1122_raw!AJ24,0)</f>
        <v>13</v>
      </c>
      <c r="AK24" s="22">
        <f ca="1">ROUND(FIRE1122_raw!AK24,0)</f>
        <v>16</v>
      </c>
      <c r="AL24" s="22">
        <f ca="1">ROUND(FIRE1122_raw!AL24,0)</f>
        <v>9</v>
      </c>
      <c r="AM24" s="22">
        <f ca="1">ROUND(FIRE1122_raw!AM24,0)</f>
        <v>0</v>
      </c>
      <c r="AN24" s="22">
        <f ca="1">IF(FIRE1122_raw!AN24="-","-",ROUND(FIRE1122_raw!AN24,0))</f>
        <v>40</v>
      </c>
      <c r="AO24" s="22"/>
      <c r="AP24" s="21">
        <f ca="1">ROUND(FIRE1122_raw!AP24,0)</f>
        <v>34</v>
      </c>
      <c r="AQ24" s="21">
        <f ca="1">ROUND(FIRE1122_raw!AQ24,0)</f>
        <v>77</v>
      </c>
      <c r="AR24" s="21">
        <f ca="1">ROUND(FIRE1122_raw!AR24,0)</f>
        <v>28</v>
      </c>
      <c r="AS24" s="21">
        <f ca="1">ROUND(FIRE1122_raw!AS24,0)</f>
        <v>24</v>
      </c>
      <c r="AT24" s="21">
        <f ca="1">ROUND(FIRE1122_raw!AT24,0)</f>
        <v>10</v>
      </c>
      <c r="AU24" s="21">
        <f ca="1">ROUND(FIRE1122_raw!AU24,0)</f>
        <v>0</v>
      </c>
      <c r="AV24" s="21">
        <f ca="1">IF(FIRE1122_raw!AV24="-","-",ROUND(FIRE1122_raw!AV24,0))</f>
        <v>34</v>
      </c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15" customHeight="1" x14ac:dyDescent="0.35">
      <c r="A25" s="2" t="s">
        <v>30</v>
      </c>
      <c r="B25" s="22">
        <f ca="1">ROUND(FIRE1122_raw!B25,0)</f>
        <v>5</v>
      </c>
      <c r="C25" s="22">
        <f ca="1">ROUND(FIRE1122_raw!C25,0)</f>
        <v>24</v>
      </c>
      <c r="D25" s="22">
        <f ca="1">ROUND(FIRE1122_raw!D25,0)</f>
        <v>5</v>
      </c>
      <c r="E25" s="22">
        <f ca="1">ROUND(FIRE1122_raw!E25,0)</f>
        <v>1</v>
      </c>
      <c r="F25" s="22">
        <f ca="1">ROUND(FIRE1122_raw!F25,0)</f>
        <v>0</v>
      </c>
      <c r="G25" s="22">
        <f ca="1">ROUND(FIRE1122_raw!G25,0)</f>
        <v>0</v>
      </c>
      <c r="H25" s="22">
        <f ca="1">IF(FIRE1122_raw!H25="-","-",ROUND(FIRE1122_raw!H25,0))</f>
        <v>31</v>
      </c>
      <c r="I25" s="22"/>
      <c r="J25" s="22">
        <f ca="1">ROUND(FIRE1122_raw!J25,0)</f>
        <v>9</v>
      </c>
      <c r="K25" s="22">
        <f ca="1">ROUND(FIRE1122_raw!K25,0)</f>
        <v>20</v>
      </c>
      <c r="L25" s="22">
        <f ca="1">ROUND(FIRE1122_raw!L25,0)</f>
        <v>8</v>
      </c>
      <c r="M25" s="22">
        <f ca="1">ROUND(FIRE1122_raw!M25,0)</f>
        <v>1</v>
      </c>
      <c r="N25" s="22">
        <f ca="1">ROUND(FIRE1122_raw!N25,0)</f>
        <v>0</v>
      </c>
      <c r="O25" s="22">
        <f ca="1">ROUND(FIRE1122_raw!O25,0)</f>
        <v>0</v>
      </c>
      <c r="P25" s="22">
        <f ca="1">IF(FIRE1122_raw!P25="-","-",ROUND(FIRE1122_raw!P25,0))</f>
        <v>30</v>
      </c>
      <c r="Q25" s="22"/>
      <c r="R25" s="21">
        <f ca="1">ROUND(FIRE1122_raw!R25,0)</f>
        <v>14</v>
      </c>
      <c r="S25" s="21">
        <f ca="1">ROUND(FIRE1122_raw!S25,0)</f>
        <v>44</v>
      </c>
      <c r="T25" s="21">
        <f ca="1">ROUND(FIRE1122_raw!T25,0)</f>
        <v>13</v>
      </c>
      <c r="U25" s="21">
        <f ca="1">ROUND(FIRE1122_raw!U25,0)</f>
        <v>2</v>
      </c>
      <c r="V25" s="21">
        <f ca="1">ROUND(FIRE1122_raw!V25,0)</f>
        <v>0</v>
      </c>
      <c r="W25" s="21">
        <f ca="1">ROUND(FIRE1122_raw!W25,0)</f>
        <v>0</v>
      </c>
      <c r="X25" s="21">
        <f ca="1">IF(FIRE1122_raw!X25="-","-",ROUND(FIRE1122_raw!X25,0))</f>
        <v>31</v>
      </c>
      <c r="Y25" s="22"/>
      <c r="Z25" s="22">
        <f ca="1">ROUND(FIRE1122_raw!Z25,0)</f>
        <v>3</v>
      </c>
      <c r="AA25" s="22">
        <f ca="1">ROUND(FIRE1122_raw!AA25,0)</f>
        <v>1</v>
      </c>
      <c r="AB25" s="22">
        <f ca="1">ROUND(FIRE1122_raw!AB25,0)</f>
        <v>2</v>
      </c>
      <c r="AC25" s="22">
        <f ca="1">ROUND(FIRE1122_raw!AC25,0)</f>
        <v>0</v>
      </c>
      <c r="AD25" s="22">
        <f ca="1">ROUND(FIRE1122_raw!AD25,0)</f>
        <v>0</v>
      </c>
      <c r="AE25" s="22">
        <f ca="1">ROUND(FIRE1122_raw!AE25,0)</f>
        <v>0</v>
      </c>
      <c r="AF25" s="22">
        <f ca="1">IF(FIRE1122_raw!AF25="-","-",ROUND(FIRE1122_raw!AF25,0))</f>
        <v>29</v>
      </c>
      <c r="AG25" s="22"/>
      <c r="AH25" s="22">
        <f ca="1">ROUND(FIRE1122_raw!AH25,0)</f>
        <v>0</v>
      </c>
      <c r="AI25" s="22">
        <f ca="1">ROUND(FIRE1122_raw!AI25,0)</f>
        <v>5</v>
      </c>
      <c r="AJ25" s="22">
        <f ca="1">ROUND(FIRE1122_raw!AJ25,0)</f>
        <v>2</v>
      </c>
      <c r="AK25" s="22">
        <f ca="1">ROUND(FIRE1122_raw!AK25,0)</f>
        <v>1</v>
      </c>
      <c r="AL25" s="22">
        <f ca="1">ROUND(FIRE1122_raw!AL25,0)</f>
        <v>1</v>
      </c>
      <c r="AM25" s="22">
        <f ca="1">ROUND(FIRE1122_raw!AM25,0)</f>
        <v>0</v>
      </c>
      <c r="AN25" s="22">
        <f ca="1">IF(FIRE1122_raw!AN25="-","-",ROUND(FIRE1122_raw!AN25,0))</f>
        <v>38</v>
      </c>
      <c r="AO25" s="22"/>
      <c r="AP25" s="21">
        <f ca="1">ROUND(FIRE1122_raw!AP25,0)</f>
        <v>17</v>
      </c>
      <c r="AQ25" s="21">
        <f ca="1">ROUND(FIRE1122_raw!AQ25,0)</f>
        <v>50</v>
      </c>
      <c r="AR25" s="21">
        <f ca="1">ROUND(FIRE1122_raw!AR25,0)</f>
        <v>17</v>
      </c>
      <c r="AS25" s="21">
        <f ca="1">ROUND(FIRE1122_raw!AS25,0)</f>
        <v>3</v>
      </c>
      <c r="AT25" s="21">
        <f ca="1">ROUND(FIRE1122_raw!AT25,0)</f>
        <v>1</v>
      </c>
      <c r="AU25" s="21">
        <f ca="1">ROUND(FIRE1122_raw!AU25,0)</f>
        <v>0</v>
      </c>
      <c r="AV25" s="21">
        <f ca="1">IF(FIRE1122_raw!AV25="-","-",ROUND(FIRE1122_raw!AV25,0))</f>
        <v>31</v>
      </c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7" customFormat="1" ht="15" customHeight="1" x14ac:dyDescent="0.35">
      <c r="A26" s="2" t="s">
        <v>31</v>
      </c>
      <c r="B26" s="22">
        <f ca="1">ROUND(FIRE1122_raw!B26,0)</f>
        <v>7</v>
      </c>
      <c r="C26" s="22">
        <f ca="1">ROUND(FIRE1122_raw!C26,0)</f>
        <v>33</v>
      </c>
      <c r="D26" s="22">
        <f ca="1">ROUND(FIRE1122_raw!D26,0)</f>
        <v>8</v>
      </c>
      <c r="E26" s="22">
        <f ca="1">ROUND(FIRE1122_raw!E26,0)</f>
        <v>6</v>
      </c>
      <c r="F26" s="22">
        <f ca="1">ROUND(FIRE1122_raw!F26,0)</f>
        <v>2</v>
      </c>
      <c r="G26" s="22">
        <f ca="1">ROUND(FIRE1122_raw!G26,0)</f>
        <v>0</v>
      </c>
      <c r="H26" s="22">
        <f ca="1">IF(FIRE1122_raw!H26="-","-",ROUND(FIRE1122_raw!H26,0))</f>
        <v>33</v>
      </c>
      <c r="I26" s="22"/>
      <c r="J26" s="22">
        <f ca="1">ROUND(FIRE1122_raw!J26,0)</f>
        <v>18</v>
      </c>
      <c r="K26" s="22">
        <f ca="1">ROUND(FIRE1122_raw!K26,0)</f>
        <v>38</v>
      </c>
      <c r="L26" s="22">
        <f ca="1">ROUND(FIRE1122_raw!L26,0)</f>
        <v>31</v>
      </c>
      <c r="M26" s="22">
        <f ca="1">ROUND(FIRE1122_raw!M26,0)</f>
        <v>11</v>
      </c>
      <c r="N26" s="22">
        <f ca="1">ROUND(FIRE1122_raw!N26,0)</f>
        <v>1</v>
      </c>
      <c r="O26" s="22">
        <f ca="1">ROUND(FIRE1122_raw!O26,0)</f>
        <v>0</v>
      </c>
      <c r="P26" s="22">
        <f ca="1">IF(FIRE1122_raw!P26="-","-",ROUND(FIRE1122_raw!P26,0))</f>
        <v>34</v>
      </c>
      <c r="Q26" s="22"/>
      <c r="R26" s="21">
        <f ca="1">ROUND(FIRE1122_raw!R26,0)</f>
        <v>25</v>
      </c>
      <c r="S26" s="21">
        <f ca="1">ROUND(FIRE1122_raw!S26,0)</f>
        <v>71</v>
      </c>
      <c r="T26" s="21">
        <f ca="1">ROUND(FIRE1122_raw!T26,0)</f>
        <v>39</v>
      </c>
      <c r="U26" s="21">
        <f ca="1">ROUND(FIRE1122_raw!U26,0)</f>
        <v>17</v>
      </c>
      <c r="V26" s="21">
        <f ca="1">ROUND(FIRE1122_raw!V26,0)</f>
        <v>3</v>
      </c>
      <c r="W26" s="21">
        <f ca="1">ROUND(FIRE1122_raw!W26,0)</f>
        <v>0</v>
      </c>
      <c r="X26" s="21">
        <f ca="1">IF(FIRE1122_raw!X26="-","-",ROUND(FIRE1122_raw!X26,0))</f>
        <v>34</v>
      </c>
      <c r="Y26" s="22"/>
      <c r="Z26" s="22">
        <f ca="1">ROUND(FIRE1122_raw!Z26,0)</f>
        <v>1</v>
      </c>
      <c r="AA26" s="22">
        <f ca="1">ROUND(FIRE1122_raw!AA26,0)</f>
        <v>1</v>
      </c>
      <c r="AB26" s="22">
        <f ca="1">ROUND(FIRE1122_raw!AB26,0)</f>
        <v>0</v>
      </c>
      <c r="AC26" s="22">
        <f ca="1">ROUND(FIRE1122_raw!AC26,0)</f>
        <v>0</v>
      </c>
      <c r="AD26" s="22">
        <f ca="1">ROUND(FIRE1122_raw!AD26,0)</f>
        <v>0</v>
      </c>
      <c r="AE26" s="22">
        <f ca="1">ROUND(FIRE1122_raw!AE26,0)</f>
        <v>0</v>
      </c>
      <c r="AF26" s="22">
        <f ca="1">IF(FIRE1122_raw!AF26="-","-",ROUND(FIRE1122_raw!AF26,0))</f>
        <v>25</v>
      </c>
      <c r="AG26" s="22"/>
      <c r="AH26" s="22">
        <f ca="1">ROUND(FIRE1122_raw!AH26,0)</f>
        <v>8</v>
      </c>
      <c r="AI26" s="22">
        <f ca="1">ROUND(FIRE1122_raw!AI26,0)</f>
        <v>18</v>
      </c>
      <c r="AJ26" s="22">
        <f ca="1">ROUND(FIRE1122_raw!AJ26,0)</f>
        <v>10</v>
      </c>
      <c r="AK26" s="22">
        <f ca="1">ROUND(FIRE1122_raw!AK26,0)</f>
        <v>10</v>
      </c>
      <c r="AL26" s="22">
        <f ca="1">ROUND(FIRE1122_raw!AL26,0)</f>
        <v>6</v>
      </c>
      <c r="AM26" s="22">
        <f ca="1">ROUND(FIRE1122_raw!AM26,0)</f>
        <v>0</v>
      </c>
      <c r="AN26" s="22">
        <f ca="1">IF(FIRE1122_raw!AN26="-","-",ROUND(FIRE1122_raw!AN26,0))</f>
        <v>37</v>
      </c>
      <c r="AO26" s="22"/>
      <c r="AP26" s="21">
        <f ca="1">ROUND(FIRE1122_raw!AP26,0)</f>
        <v>34</v>
      </c>
      <c r="AQ26" s="21">
        <f ca="1">ROUND(FIRE1122_raw!AQ26,0)</f>
        <v>90</v>
      </c>
      <c r="AR26" s="21">
        <f ca="1">ROUND(FIRE1122_raw!AR26,0)</f>
        <v>49</v>
      </c>
      <c r="AS26" s="21">
        <f ca="1">ROUND(FIRE1122_raw!AS26,0)</f>
        <v>27</v>
      </c>
      <c r="AT26" s="21">
        <f ca="1">ROUND(FIRE1122_raw!AT26,0)</f>
        <v>9</v>
      </c>
      <c r="AU26" s="21">
        <f ca="1">ROUND(FIRE1122_raw!AU26,0)</f>
        <v>0</v>
      </c>
      <c r="AV26" s="21">
        <f ca="1">IF(FIRE1122_raw!AV26="-","-",ROUND(FIRE1122_raw!AV26,0))</f>
        <v>35</v>
      </c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7" customFormat="1" ht="15" customHeight="1" x14ac:dyDescent="0.35">
      <c r="A27" s="2" t="s">
        <v>32</v>
      </c>
      <c r="B27" s="22">
        <f ca="1">ROUND(FIRE1122_raw!B27,0)</f>
        <v>2</v>
      </c>
      <c r="C27" s="22">
        <f ca="1">ROUND(FIRE1122_raw!C27,0)</f>
        <v>9</v>
      </c>
      <c r="D27" s="22">
        <f ca="1">ROUND(FIRE1122_raw!D27,0)</f>
        <v>8</v>
      </c>
      <c r="E27" s="22">
        <f ca="1">ROUND(FIRE1122_raw!E27,0)</f>
        <v>1</v>
      </c>
      <c r="F27" s="22">
        <f ca="1">ROUND(FIRE1122_raw!F27,0)</f>
        <v>1</v>
      </c>
      <c r="G27" s="22">
        <f ca="1">ROUND(FIRE1122_raw!G27,0)</f>
        <v>0</v>
      </c>
      <c r="H27" s="22">
        <f ca="1">IF(FIRE1122_raw!H27="-","-",ROUND(FIRE1122_raw!H27,0))</f>
        <v>35</v>
      </c>
      <c r="I27" s="22"/>
      <c r="J27" s="22">
        <f ca="1">ROUND(FIRE1122_raw!J27,0)</f>
        <v>10</v>
      </c>
      <c r="K27" s="22">
        <f ca="1">ROUND(FIRE1122_raw!K27,0)</f>
        <v>13</v>
      </c>
      <c r="L27" s="22">
        <f ca="1">ROUND(FIRE1122_raw!L27,0)</f>
        <v>11</v>
      </c>
      <c r="M27" s="22">
        <f ca="1">ROUND(FIRE1122_raw!M27,0)</f>
        <v>3</v>
      </c>
      <c r="N27" s="22">
        <f ca="1">ROUND(FIRE1122_raw!N27,0)</f>
        <v>0</v>
      </c>
      <c r="O27" s="22">
        <f ca="1">ROUND(FIRE1122_raw!O27,0)</f>
        <v>0</v>
      </c>
      <c r="P27" s="22">
        <f ca="1">IF(FIRE1122_raw!P27="-","-",ROUND(FIRE1122_raw!P27,0))</f>
        <v>32</v>
      </c>
      <c r="Q27" s="22"/>
      <c r="R27" s="21">
        <f ca="1">ROUND(FIRE1122_raw!R27,0)</f>
        <v>12</v>
      </c>
      <c r="S27" s="21">
        <f ca="1">ROUND(FIRE1122_raw!S27,0)</f>
        <v>22</v>
      </c>
      <c r="T27" s="21">
        <f ca="1">ROUND(FIRE1122_raw!T27,0)</f>
        <v>19</v>
      </c>
      <c r="U27" s="21">
        <f ca="1">ROUND(FIRE1122_raw!U27,0)</f>
        <v>4</v>
      </c>
      <c r="V27" s="21">
        <f ca="1">ROUND(FIRE1122_raw!V27,0)</f>
        <v>1</v>
      </c>
      <c r="W27" s="21">
        <f ca="1">ROUND(FIRE1122_raw!W27,0)</f>
        <v>0</v>
      </c>
      <c r="X27" s="21">
        <f ca="1">IF(FIRE1122_raw!X27="-","-",ROUND(FIRE1122_raw!X27,0))</f>
        <v>33</v>
      </c>
      <c r="Y27" s="22"/>
      <c r="Z27" s="22">
        <f ca="1">ROUND(FIRE1122_raw!Z27,0)</f>
        <v>0</v>
      </c>
      <c r="AA27" s="22">
        <f ca="1">ROUND(FIRE1122_raw!AA27,0)</f>
        <v>1</v>
      </c>
      <c r="AB27" s="22">
        <f ca="1">ROUND(FIRE1122_raw!AB27,0)</f>
        <v>0</v>
      </c>
      <c r="AC27" s="22">
        <f ca="1">ROUND(FIRE1122_raw!AC27,0)</f>
        <v>0</v>
      </c>
      <c r="AD27" s="22">
        <f ca="1">ROUND(FIRE1122_raw!AD27,0)</f>
        <v>1</v>
      </c>
      <c r="AE27" s="22">
        <f ca="1">ROUND(FIRE1122_raw!AE27,0)</f>
        <v>0</v>
      </c>
      <c r="AF27" s="22">
        <f ca="1">IF(FIRE1122_raw!AF27="-","-",ROUND(FIRE1122_raw!AF27,0))</f>
        <v>43</v>
      </c>
      <c r="AG27" s="22"/>
      <c r="AH27" s="22">
        <f ca="1">ROUND(FIRE1122_raw!AH27,0)</f>
        <v>3</v>
      </c>
      <c r="AI27" s="22">
        <f ca="1">ROUND(FIRE1122_raw!AI27,0)</f>
        <v>2</v>
      </c>
      <c r="AJ27" s="22">
        <f ca="1">ROUND(FIRE1122_raw!AJ27,0)</f>
        <v>3</v>
      </c>
      <c r="AK27" s="22">
        <f ca="1">ROUND(FIRE1122_raw!AK27,0)</f>
        <v>2</v>
      </c>
      <c r="AL27" s="22">
        <f ca="1">ROUND(FIRE1122_raw!AL27,0)</f>
        <v>4</v>
      </c>
      <c r="AM27" s="22">
        <f ca="1">ROUND(FIRE1122_raw!AM27,0)</f>
        <v>0</v>
      </c>
      <c r="AN27" s="22">
        <f ca="1">IF(FIRE1122_raw!AN27="-","-",ROUND(FIRE1122_raw!AN27,0))</f>
        <v>40</v>
      </c>
      <c r="AO27" s="22"/>
      <c r="AP27" s="21">
        <f ca="1">ROUND(FIRE1122_raw!AP27,0)</f>
        <v>15</v>
      </c>
      <c r="AQ27" s="21">
        <f ca="1">ROUND(FIRE1122_raw!AQ27,0)</f>
        <v>25</v>
      </c>
      <c r="AR27" s="21">
        <f ca="1">ROUND(FIRE1122_raw!AR27,0)</f>
        <v>22</v>
      </c>
      <c r="AS27" s="21">
        <f ca="1">ROUND(FIRE1122_raw!AS27,0)</f>
        <v>6</v>
      </c>
      <c r="AT27" s="21">
        <f ca="1">ROUND(FIRE1122_raw!AT27,0)</f>
        <v>6</v>
      </c>
      <c r="AU27" s="21">
        <f ca="1">ROUND(FIRE1122_raw!AU27,0)</f>
        <v>0</v>
      </c>
      <c r="AV27" s="21">
        <f ca="1">IF(FIRE1122_raw!AV27="-","-",ROUND(FIRE1122_raw!AV27,0))</f>
        <v>35</v>
      </c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15" customHeight="1" x14ac:dyDescent="0.35">
      <c r="A28" s="2" t="s">
        <v>33</v>
      </c>
      <c r="B28" s="22">
        <f ca="1">ROUND(FIRE1122_raw!B28,0)</f>
        <v>12</v>
      </c>
      <c r="C28" s="22">
        <f ca="1">ROUND(FIRE1122_raw!C28,0)</f>
        <v>19</v>
      </c>
      <c r="D28" s="22">
        <f ca="1">ROUND(FIRE1122_raw!D28,0)</f>
        <v>3</v>
      </c>
      <c r="E28" s="22">
        <f ca="1">ROUND(FIRE1122_raw!E28,0)</f>
        <v>2</v>
      </c>
      <c r="F28" s="22">
        <f ca="1">ROUND(FIRE1122_raw!F28,0)</f>
        <v>1</v>
      </c>
      <c r="G28" s="22">
        <f ca="1">ROUND(FIRE1122_raw!G28,0)</f>
        <v>0</v>
      </c>
      <c r="H28" s="22">
        <f ca="1">IF(FIRE1122_raw!H28="-","-",ROUND(FIRE1122_raw!H28,0))</f>
        <v>29</v>
      </c>
      <c r="I28" s="22"/>
      <c r="J28" s="22">
        <f ca="1">ROUND(FIRE1122_raw!J28,0)</f>
        <v>8</v>
      </c>
      <c r="K28" s="22">
        <f ca="1">ROUND(FIRE1122_raw!K28,0)</f>
        <v>12</v>
      </c>
      <c r="L28" s="22">
        <f ca="1">ROUND(FIRE1122_raw!L28,0)</f>
        <v>10</v>
      </c>
      <c r="M28" s="22">
        <f ca="1">ROUND(FIRE1122_raw!M28,0)</f>
        <v>4</v>
      </c>
      <c r="N28" s="22">
        <f ca="1">ROUND(FIRE1122_raw!N28,0)</f>
        <v>1</v>
      </c>
      <c r="O28" s="22">
        <f ca="1">ROUND(FIRE1122_raw!O28,0)</f>
        <v>0</v>
      </c>
      <c r="P28" s="22">
        <f ca="1">IF(FIRE1122_raw!P28="-","-",ROUND(FIRE1122_raw!P28,0))</f>
        <v>34</v>
      </c>
      <c r="Q28" s="22"/>
      <c r="R28" s="21">
        <f ca="1">ROUND(FIRE1122_raw!R28,0)</f>
        <v>20</v>
      </c>
      <c r="S28" s="21">
        <f ca="1">ROUND(FIRE1122_raw!S28,0)</f>
        <v>31</v>
      </c>
      <c r="T28" s="21">
        <f ca="1">ROUND(FIRE1122_raw!T28,0)</f>
        <v>13</v>
      </c>
      <c r="U28" s="21">
        <f ca="1">ROUND(FIRE1122_raw!U28,0)</f>
        <v>6</v>
      </c>
      <c r="V28" s="21">
        <f ca="1">ROUND(FIRE1122_raw!V28,0)</f>
        <v>2</v>
      </c>
      <c r="W28" s="21">
        <f ca="1">ROUND(FIRE1122_raw!W28,0)</f>
        <v>0</v>
      </c>
      <c r="X28" s="21">
        <f ca="1">IF(FIRE1122_raw!X28="-","-",ROUND(FIRE1122_raw!X28,0))</f>
        <v>32</v>
      </c>
      <c r="Y28" s="22"/>
      <c r="Z28" s="22">
        <f ca="1">ROUND(FIRE1122_raw!Z28,0)</f>
        <v>0</v>
      </c>
      <c r="AA28" s="22">
        <f ca="1">ROUND(FIRE1122_raw!AA28,0)</f>
        <v>0</v>
      </c>
      <c r="AB28" s="22">
        <f ca="1">ROUND(FIRE1122_raw!AB28,0)</f>
        <v>0</v>
      </c>
      <c r="AC28" s="22">
        <f ca="1">ROUND(FIRE1122_raw!AC28,0)</f>
        <v>0</v>
      </c>
      <c r="AD28" s="22">
        <f ca="1">ROUND(FIRE1122_raw!AD28,0)</f>
        <v>0</v>
      </c>
      <c r="AE28" s="22">
        <f ca="1">ROUND(FIRE1122_raw!AE28,0)</f>
        <v>0</v>
      </c>
      <c r="AF28" s="22" t="str">
        <f ca="1">IF(FIRE1122_raw!AF28="-","-",ROUND(FIRE1122_raw!AF28,0))</f>
        <v>-</v>
      </c>
      <c r="AG28" s="22"/>
      <c r="AH28" s="22">
        <f ca="1">ROUND(FIRE1122_raw!AH28,0)</f>
        <v>3</v>
      </c>
      <c r="AI28" s="22">
        <f ca="1">ROUND(FIRE1122_raw!AI28,0)</f>
        <v>6</v>
      </c>
      <c r="AJ28" s="22">
        <f ca="1">ROUND(FIRE1122_raw!AJ28,0)</f>
        <v>4</v>
      </c>
      <c r="AK28" s="22">
        <f ca="1">ROUND(FIRE1122_raw!AK28,0)</f>
        <v>3</v>
      </c>
      <c r="AL28" s="22">
        <f ca="1">ROUND(FIRE1122_raw!AL28,0)</f>
        <v>4</v>
      </c>
      <c r="AM28" s="22">
        <f ca="1">ROUND(FIRE1122_raw!AM28,0)</f>
        <v>0</v>
      </c>
      <c r="AN28" s="22">
        <f ca="1">IF(FIRE1122_raw!AN28="-","-",ROUND(FIRE1122_raw!AN28,0))</f>
        <v>39</v>
      </c>
      <c r="AO28" s="22"/>
      <c r="AP28" s="21">
        <f ca="1">ROUND(FIRE1122_raw!AP28,0)</f>
        <v>23</v>
      </c>
      <c r="AQ28" s="21">
        <f ca="1">ROUND(FIRE1122_raw!AQ28,0)</f>
        <v>37</v>
      </c>
      <c r="AR28" s="21">
        <f ca="1">ROUND(FIRE1122_raw!AR28,0)</f>
        <v>17</v>
      </c>
      <c r="AS28" s="21">
        <f ca="1">ROUND(FIRE1122_raw!AS28,0)</f>
        <v>9</v>
      </c>
      <c r="AT28" s="21">
        <f ca="1">ROUND(FIRE1122_raw!AT28,0)</f>
        <v>6</v>
      </c>
      <c r="AU28" s="21">
        <f ca="1">ROUND(FIRE1122_raw!AU28,0)</f>
        <v>0</v>
      </c>
      <c r="AV28" s="21">
        <f ca="1">IF(FIRE1122_raw!AV28="-","-",ROUND(FIRE1122_raw!AV28,0))</f>
        <v>33</v>
      </c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7" customFormat="1" ht="15" customHeight="1" x14ac:dyDescent="0.35">
      <c r="A29" s="2" t="s">
        <v>34</v>
      </c>
      <c r="B29" s="22">
        <f ca="1">ROUND(FIRE1122_raw!B29,0)</f>
        <v>2</v>
      </c>
      <c r="C29" s="22">
        <f ca="1">ROUND(FIRE1122_raw!C29,0)</f>
        <v>15</v>
      </c>
      <c r="D29" s="22">
        <f ca="1">ROUND(FIRE1122_raw!D29,0)</f>
        <v>5</v>
      </c>
      <c r="E29" s="22">
        <f ca="1">ROUND(FIRE1122_raw!E29,0)</f>
        <v>0</v>
      </c>
      <c r="F29" s="22">
        <f ca="1">ROUND(FIRE1122_raw!F29,0)</f>
        <v>0</v>
      </c>
      <c r="G29" s="22">
        <f ca="1">ROUND(FIRE1122_raw!G29,0)</f>
        <v>0</v>
      </c>
      <c r="H29" s="22">
        <f ca="1">IF(FIRE1122_raw!H29="-","-",ROUND(FIRE1122_raw!H29,0))</f>
        <v>31</v>
      </c>
      <c r="I29" s="22"/>
      <c r="J29" s="22">
        <f ca="1">ROUND(FIRE1122_raw!J29,0)</f>
        <v>12</v>
      </c>
      <c r="K29" s="22">
        <f ca="1">ROUND(FIRE1122_raw!K29,0)</f>
        <v>25</v>
      </c>
      <c r="L29" s="22">
        <f ca="1">ROUND(FIRE1122_raw!L29,0)</f>
        <v>7</v>
      </c>
      <c r="M29" s="22">
        <f ca="1">ROUND(FIRE1122_raw!M29,0)</f>
        <v>2</v>
      </c>
      <c r="N29" s="22">
        <f ca="1">ROUND(FIRE1122_raw!N29,0)</f>
        <v>0</v>
      </c>
      <c r="O29" s="22">
        <f ca="1">ROUND(FIRE1122_raw!O29,0)</f>
        <v>0</v>
      </c>
      <c r="P29" s="22">
        <f ca="1">IF(FIRE1122_raw!P29="-","-",ROUND(FIRE1122_raw!P29,0))</f>
        <v>30</v>
      </c>
      <c r="Q29" s="22"/>
      <c r="R29" s="21">
        <f ca="1">ROUND(FIRE1122_raw!R29,0)</f>
        <v>14</v>
      </c>
      <c r="S29" s="21">
        <f ca="1">ROUND(FIRE1122_raw!S29,0)</f>
        <v>40</v>
      </c>
      <c r="T29" s="21">
        <f ca="1">ROUND(FIRE1122_raw!T29,0)</f>
        <v>12</v>
      </c>
      <c r="U29" s="21">
        <f ca="1">ROUND(FIRE1122_raw!U29,0)</f>
        <v>2</v>
      </c>
      <c r="V29" s="21">
        <f ca="1">ROUND(FIRE1122_raw!V29,0)</f>
        <v>0</v>
      </c>
      <c r="W29" s="21">
        <f ca="1">ROUND(FIRE1122_raw!W29,0)</f>
        <v>0</v>
      </c>
      <c r="X29" s="21">
        <f ca="1">IF(FIRE1122_raw!X29="-","-",ROUND(FIRE1122_raw!X29,0))</f>
        <v>30</v>
      </c>
      <c r="Y29" s="22"/>
      <c r="Z29" s="22">
        <f ca="1">ROUND(FIRE1122_raw!Z29,0)</f>
        <v>0</v>
      </c>
      <c r="AA29" s="22">
        <f ca="1">ROUND(FIRE1122_raw!AA29,0)</f>
        <v>1</v>
      </c>
      <c r="AB29" s="22">
        <f ca="1">ROUND(FIRE1122_raw!AB29,0)</f>
        <v>1</v>
      </c>
      <c r="AC29" s="22">
        <f ca="1">ROUND(FIRE1122_raw!AC29,0)</f>
        <v>0</v>
      </c>
      <c r="AD29" s="22">
        <f ca="1">ROUND(FIRE1122_raw!AD29,0)</f>
        <v>0</v>
      </c>
      <c r="AE29" s="22">
        <f ca="1">ROUND(FIRE1122_raw!AE29,0)</f>
        <v>0</v>
      </c>
      <c r="AF29" s="22">
        <f ca="1">IF(FIRE1122_raw!AF29="-","-",ROUND(FIRE1122_raw!AF29,0))</f>
        <v>35</v>
      </c>
      <c r="AG29" s="22"/>
      <c r="AH29" s="22">
        <f ca="1">ROUND(FIRE1122_raw!AH29,0)</f>
        <v>5</v>
      </c>
      <c r="AI29" s="22">
        <f ca="1">ROUND(FIRE1122_raw!AI29,0)</f>
        <v>10</v>
      </c>
      <c r="AJ29" s="22">
        <f ca="1">ROUND(FIRE1122_raw!AJ29,0)</f>
        <v>4</v>
      </c>
      <c r="AK29" s="22">
        <f ca="1">ROUND(FIRE1122_raw!AK29,0)</f>
        <v>9</v>
      </c>
      <c r="AL29" s="22">
        <f ca="1">ROUND(FIRE1122_raw!AL29,0)</f>
        <v>6</v>
      </c>
      <c r="AM29" s="22">
        <f ca="1">ROUND(FIRE1122_raw!AM29,0)</f>
        <v>0</v>
      </c>
      <c r="AN29" s="22">
        <f ca="1">IF(FIRE1122_raw!AN29="-","-",ROUND(FIRE1122_raw!AN29,0))</f>
        <v>40</v>
      </c>
      <c r="AO29" s="22"/>
      <c r="AP29" s="21">
        <f ca="1">ROUND(FIRE1122_raw!AP29,0)</f>
        <v>19</v>
      </c>
      <c r="AQ29" s="21">
        <f ca="1">ROUND(FIRE1122_raw!AQ29,0)</f>
        <v>51</v>
      </c>
      <c r="AR29" s="21">
        <f ca="1">ROUND(FIRE1122_raw!AR29,0)</f>
        <v>17</v>
      </c>
      <c r="AS29" s="21">
        <f ca="1">ROUND(FIRE1122_raw!AS29,0)</f>
        <v>11</v>
      </c>
      <c r="AT29" s="21">
        <f ca="1">ROUND(FIRE1122_raw!AT29,0)</f>
        <v>6</v>
      </c>
      <c r="AU29" s="21">
        <f ca="1">ROUND(FIRE1122_raw!AU29,0)</f>
        <v>0</v>
      </c>
      <c r="AV29" s="21">
        <f ca="1">IF(FIRE1122_raw!AV29="-","-",ROUND(FIRE1122_raw!AV29,0))</f>
        <v>34</v>
      </c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7" customFormat="1" ht="15" customHeight="1" x14ac:dyDescent="0.35">
      <c r="A30" s="2" t="s">
        <v>35</v>
      </c>
      <c r="B30" s="22">
        <f ca="1">ROUND(FIRE1122_raw!B30,0)</f>
        <v>0</v>
      </c>
      <c r="C30" s="22">
        <f ca="1">ROUND(FIRE1122_raw!C30,0)</f>
        <v>0</v>
      </c>
      <c r="D30" s="22">
        <f ca="1">ROUND(FIRE1122_raw!D30,0)</f>
        <v>0</v>
      </c>
      <c r="E30" s="22">
        <f ca="1">ROUND(FIRE1122_raw!E30,0)</f>
        <v>0</v>
      </c>
      <c r="F30" s="22">
        <f ca="1">ROUND(FIRE1122_raw!F30,0)</f>
        <v>0</v>
      </c>
      <c r="G30" s="22">
        <f ca="1">ROUND(FIRE1122_raw!G30,0)</f>
        <v>0</v>
      </c>
      <c r="H30" s="22" t="str">
        <f ca="1">IF(FIRE1122_raw!H30="-","-",ROUND(FIRE1122_raw!H30,0))</f>
        <v>-</v>
      </c>
      <c r="I30" s="22"/>
      <c r="J30" s="22">
        <f ca="1">ROUND(FIRE1122_raw!J30,0)</f>
        <v>0</v>
      </c>
      <c r="K30" s="22">
        <f ca="1">ROUND(FIRE1122_raw!K30,0)</f>
        <v>0</v>
      </c>
      <c r="L30" s="22">
        <f ca="1">ROUND(FIRE1122_raw!L30,0)</f>
        <v>0</v>
      </c>
      <c r="M30" s="22">
        <f ca="1">ROUND(FIRE1122_raw!M30,0)</f>
        <v>0</v>
      </c>
      <c r="N30" s="22">
        <f ca="1">ROUND(FIRE1122_raw!N30,0)</f>
        <v>0</v>
      </c>
      <c r="O30" s="22">
        <f ca="1">ROUND(FIRE1122_raw!O30,0)</f>
        <v>0</v>
      </c>
      <c r="P30" s="22" t="str">
        <f ca="1">IF(FIRE1122_raw!P30="-","-",ROUND(FIRE1122_raw!P30,0))</f>
        <v>-</v>
      </c>
      <c r="Q30" s="22"/>
      <c r="R30" s="21">
        <f ca="1">ROUND(FIRE1122_raw!R30,0)</f>
        <v>0</v>
      </c>
      <c r="S30" s="21">
        <f ca="1">ROUND(FIRE1122_raw!S30,0)</f>
        <v>0</v>
      </c>
      <c r="T30" s="21">
        <f ca="1">ROUND(FIRE1122_raw!T30,0)</f>
        <v>0</v>
      </c>
      <c r="U30" s="21">
        <f ca="1">ROUND(FIRE1122_raw!U30,0)</f>
        <v>0</v>
      </c>
      <c r="V30" s="21">
        <f ca="1">ROUND(FIRE1122_raw!V30,0)</f>
        <v>0</v>
      </c>
      <c r="W30" s="21">
        <f ca="1">ROUND(FIRE1122_raw!W30,0)</f>
        <v>0</v>
      </c>
      <c r="X30" s="21" t="str">
        <f ca="1">IF(FIRE1122_raw!X30="-","-",ROUND(FIRE1122_raw!X30,0))</f>
        <v>-</v>
      </c>
      <c r="Y30" s="22"/>
      <c r="Z30" s="22">
        <f ca="1">ROUND(FIRE1122_raw!Z30,0)</f>
        <v>0</v>
      </c>
      <c r="AA30" s="22">
        <f ca="1">ROUND(FIRE1122_raw!AA30,0)</f>
        <v>0</v>
      </c>
      <c r="AB30" s="22">
        <f ca="1">ROUND(FIRE1122_raw!AB30,0)</f>
        <v>0</v>
      </c>
      <c r="AC30" s="22">
        <f ca="1">ROUND(FIRE1122_raw!AC30,0)</f>
        <v>0</v>
      </c>
      <c r="AD30" s="22">
        <f ca="1">ROUND(FIRE1122_raw!AD30,0)</f>
        <v>0</v>
      </c>
      <c r="AE30" s="22">
        <f ca="1">ROUND(FIRE1122_raw!AE30,0)</f>
        <v>0</v>
      </c>
      <c r="AF30" s="22" t="str">
        <f ca="1">IF(FIRE1122_raw!AF30="-","-",ROUND(FIRE1122_raw!AF30,0))</f>
        <v>-</v>
      </c>
      <c r="AG30" s="22"/>
      <c r="AH30" s="22">
        <f ca="1">ROUND(FIRE1122_raw!AH30,0)</f>
        <v>0</v>
      </c>
      <c r="AI30" s="22">
        <f ca="1">ROUND(FIRE1122_raw!AI30,0)</f>
        <v>0</v>
      </c>
      <c r="AJ30" s="22">
        <f ca="1">ROUND(FIRE1122_raw!AJ30,0)</f>
        <v>0</v>
      </c>
      <c r="AK30" s="22">
        <f ca="1">ROUND(FIRE1122_raw!AK30,0)</f>
        <v>1</v>
      </c>
      <c r="AL30" s="22">
        <f ca="1">ROUND(FIRE1122_raw!AL30,0)</f>
        <v>1</v>
      </c>
      <c r="AM30" s="22">
        <f ca="1">ROUND(FIRE1122_raw!AM30,0)</f>
        <v>0</v>
      </c>
      <c r="AN30" s="22">
        <f ca="1">IF(FIRE1122_raw!AN30="-","-",ROUND(FIRE1122_raw!AN30,0))</f>
        <v>53</v>
      </c>
      <c r="AO30" s="22"/>
      <c r="AP30" s="21">
        <f ca="1">ROUND(FIRE1122_raw!AP30,0)</f>
        <v>0</v>
      </c>
      <c r="AQ30" s="21">
        <f ca="1">ROUND(FIRE1122_raw!AQ30,0)</f>
        <v>0</v>
      </c>
      <c r="AR30" s="21">
        <f ca="1">ROUND(FIRE1122_raw!AR30,0)</f>
        <v>0</v>
      </c>
      <c r="AS30" s="21">
        <f ca="1">ROUND(FIRE1122_raw!AS30,0)</f>
        <v>1</v>
      </c>
      <c r="AT30" s="21">
        <f ca="1">ROUND(FIRE1122_raw!AT30,0)</f>
        <v>1</v>
      </c>
      <c r="AU30" s="21">
        <f ca="1">ROUND(FIRE1122_raw!AU30,0)</f>
        <v>0</v>
      </c>
      <c r="AV30" s="21">
        <f ca="1">IF(FIRE1122_raw!AV30="-","-",ROUND(FIRE1122_raw!AV30,0))</f>
        <v>53</v>
      </c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15" customHeight="1" x14ac:dyDescent="0.35">
      <c r="A31" s="3" t="s">
        <v>36</v>
      </c>
      <c r="B31" s="22">
        <f ca="1">ROUND(FIRE1122_raw!B31,0)</f>
        <v>2</v>
      </c>
      <c r="C31" s="22">
        <f ca="1">ROUND(FIRE1122_raw!C31,0)</f>
        <v>21</v>
      </c>
      <c r="D31" s="22">
        <f ca="1">ROUND(FIRE1122_raw!D31,0)</f>
        <v>4</v>
      </c>
      <c r="E31" s="22">
        <f ca="1">ROUND(FIRE1122_raw!E31,0)</f>
        <v>2</v>
      </c>
      <c r="F31" s="22">
        <f ca="1">ROUND(FIRE1122_raw!F31,0)</f>
        <v>0</v>
      </c>
      <c r="G31" s="22">
        <f ca="1">ROUND(FIRE1122_raw!G31,0)</f>
        <v>0</v>
      </c>
      <c r="H31" s="22">
        <f ca="1">IF(FIRE1122_raw!H31="-","-",ROUND(FIRE1122_raw!H31,0))</f>
        <v>32</v>
      </c>
      <c r="I31" s="22"/>
      <c r="J31" s="22">
        <f ca="1">ROUND(FIRE1122_raw!J31,0)</f>
        <v>16</v>
      </c>
      <c r="K31" s="22">
        <f ca="1">ROUND(FIRE1122_raw!K31,0)</f>
        <v>30</v>
      </c>
      <c r="L31" s="22">
        <f ca="1">ROUND(FIRE1122_raw!L31,0)</f>
        <v>7</v>
      </c>
      <c r="M31" s="22">
        <f ca="1">ROUND(FIRE1122_raw!M31,0)</f>
        <v>2</v>
      </c>
      <c r="N31" s="22">
        <f ca="1">ROUND(FIRE1122_raw!N31,0)</f>
        <v>1</v>
      </c>
      <c r="O31" s="22">
        <f ca="1">ROUND(FIRE1122_raw!O31,0)</f>
        <v>0</v>
      </c>
      <c r="P31" s="22">
        <f ca="1">IF(FIRE1122_raw!P31="-","-",ROUND(FIRE1122_raw!P31,0))</f>
        <v>30</v>
      </c>
      <c r="Q31" s="22"/>
      <c r="R31" s="21">
        <f ca="1">ROUND(FIRE1122_raw!R31,0)</f>
        <v>18</v>
      </c>
      <c r="S31" s="21">
        <f ca="1">ROUND(FIRE1122_raw!S31,0)</f>
        <v>51</v>
      </c>
      <c r="T31" s="21">
        <f ca="1">ROUND(FIRE1122_raw!T31,0)</f>
        <v>11</v>
      </c>
      <c r="U31" s="21">
        <f ca="1">ROUND(FIRE1122_raw!U31,0)</f>
        <v>4</v>
      </c>
      <c r="V31" s="21">
        <f ca="1">ROUND(FIRE1122_raw!V31,0)</f>
        <v>1</v>
      </c>
      <c r="W31" s="21">
        <f ca="1">ROUND(FIRE1122_raw!W31,0)</f>
        <v>0</v>
      </c>
      <c r="X31" s="21">
        <f ca="1">IF(FIRE1122_raw!X31="-","-",ROUND(FIRE1122_raw!X31,0))</f>
        <v>31</v>
      </c>
      <c r="Y31" s="22"/>
      <c r="Z31" s="22">
        <f ca="1">ROUND(FIRE1122_raw!Z31,0)</f>
        <v>1</v>
      </c>
      <c r="AA31" s="22">
        <f ca="1">ROUND(FIRE1122_raw!AA31,0)</f>
        <v>4</v>
      </c>
      <c r="AB31" s="22">
        <f ca="1">ROUND(FIRE1122_raw!AB31,0)</f>
        <v>2</v>
      </c>
      <c r="AC31" s="22">
        <f ca="1">ROUND(FIRE1122_raw!AC31,0)</f>
        <v>1</v>
      </c>
      <c r="AD31" s="22">
        <f ca="1">ROUND(FIRE1122_raw!AD31,0)</f>
        <v>0</v>
      </c>
      <c r="AE31" s="22">
        <f ca="1">ROUND(FIRE1122_raw!AE31,0)</f>
        <v>0</v>
      </c>
      <c r="AF31" s="22">
        <f ca="1">IF(FIRE1122_raw!AF31="-","-",ROUND(FIRE1122_raw!AF31,0))</f>
        <v>34</v>
      </c>
      <c r="AG31" s="22"/>
      <c r="AH31" s="22">
        <f ca="1">ROUND(FIRE1122_raw!AH31,0)</f>
        <v>12</v>
      </c>
      <c r="AI31" s="22">
        <f ca="1">ROUND(FIRE1122_raw!AI31,0)</f>
        <v>13</v>
      </c>
      <c r="AJ31" s="22">
        <f ca="1">ROUND(FIRE1122_raw!AJ31,0)</f>
        <v>14</v>
      </c>
      <c r="AK31" s="22">
        <f ca="1">ROUND(FIRE1122_raw!AK31,0)</f>
        <v>9</v>
      </c>
      <c r="AL31" s="22">
        <f ca="1">ROUND(FIRE1122_raw!AL31,0)</f>
        <v>4</v>
      </c>
      <c r="AM31" s="22">
        <f ca="1">ROUND(FIRE1122_raw!AM31,0)</f>
        <v>0</v>
      </c>
      <c r="AN31" s="22">
        <f ca="1">IF(FIRE1122_raw!AN31="-","-",ROUND(FIRE1122_raw!AN31,0))</f>
        <v>36</v>
      </c>
      <c r="AO31" s="22"/>
      <c r="AP31" s="21">
        <f ca="1">ROUND(FIRE1122_raw!AP31,0)</f>
        <v>31</v>
      </c>
      <c r="AQ31" s="21">
        <f ca="1">ROUND(FIRE1122_raw!AQ31,0)</f>
        <v>68</v>
      </c>
      <c r="AR31" s="21">
        <f ca="1">ROUND(FIRE1122_raw!AR31,0)</f>
        <v>27</v>
      </c>
      <c r="AS31" s="21">
        <f ca="1">ROUND(FIRE1122_raw!AS31,0)</f>
        <v>14</v>
      </c>
      <c r="AT31" s="21">
        <f ca="1">ROUND(FIRE1122_raw!AT31,0)</f>
        <v>5</v>
      </c>
      <c r="AU31" s="21">
        <f ca="1">ROUND(FIRE1122_raw!AU31,0)</f>
        <v>0</v>
      </c>
      <c r="AV31" s="21">
        <f ca="1">IF(FIRE1122_raw!AV31="-","-",ROUND(FIRE1122_raw!AV31,0))</f>
        <v>33</v>
      </c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7" customFormat="1" ht="15" customHeight="1" x14ac:dyDescent="0.35">
      <c r="A32" s="3" t="s">
        <v>37</v>
      </c>
      <c r="B32" s="22">
        <f ca="1">ROUND(FIRE1122_raw!B32,0)</f>
        <v>4</v>
      </c>
      <c r="C32" s="22">
        <f ca="1">ROUND(FIRE1122_raw!C32,0)</f>
        <v>37</v>
      </c>
      <c r="D32" s="22">
        <f ca="1">ROUND(FIRE1122_raw!D32,0)</f>
        <v>9</v>
      </c>
      <c r="E32" s="22">
        <f ca="1">ROUND(FIRE1122_raw!E32,0)</f>
        <v>6</v>
      </c>
      <c r="F32" s="22">
        <f ca="1">ROUND(FIRE1122_raw!F32,0)</f>
        <v>0</v>
      </c>
      <c r="G32" s="22">
        <f ca="1">ROUND(FIRE1122_raw!G32,0)</f>
        <v>0</v>
      </c>
      <c r="H32" s="22">
        <f ca="1">IF(FIRE1122_raw!H32="-","-",ROUND(FIRE1122_raw!H32,0))</f>
        <v>33</v>
      </c>
      <c r="I32" s="22"/>
      <c r="J32" s="22">
        <f ca="1">ROUND(FIRE1122_raw!J32,0)</f>
        <v>18</v>
      </c>
      <c r="K32" s="22">
        <f ca="1">ROUND(FIRE1122_raw!K32,0)</f>
        <v>18</v>
      </c>
      <c r="L32" s="22">
        <f ca="1">ROUND(FIRE1122_raw!L32,0)</f>
        <v>12</v>
      </c>
      <c r="M32" s="22">
        <f ca="1">ROUND(FIRE1122_raw!M32,0)</f>
        <v>9</v>
      </c>
      <c r="N32" s="22">
        <f ca="1">ROUND(FIRE1122_raw!N32,0)</f>
        <v>0</v>
      </c>
      <c r="O32" s="22">
        <f ca="1">ROUND(FIRE1122_raw!O32,0)</f>
        <v>0</v>
      </c>
      <c r="P32" s="22">
        <f ca="1">IF(FIRE1122_raw!P32="-","-",ROUND(FIRE1122_raw!P32,0))</f>
        <v>32</v>
      </c>
      <c r="Q32" s="22"/>
      <c r="R32" s="21">
        <f ca="1">ROUND(FIRE1122_raw!R32,0)</f>
        <v>22</v>
      </c>
      <c r="S32" s="21">
        <f ca="1">ROUND(FIRE1122_raw!S32,0)</f>
        <v>55</v>
      </c>
      <c r="T32" s="21">
        <f ca="1">ROUND(FIRE1122_raw!T32,0)</f>
        <v>21</v>
      </c>
      <c r="U32" s="21">
        <f ca="1">ROUND(FIRE1122_raw!U32,0)</f>
        <v>15</v>
      </c>
      <c r="V32" s="21">
        <f ca="1">ROUND(FIRE1122_raw!V32,0)</f>
        <v>0</v>
      </c>
      <c r="W32" s="21">
        <f ca="1">ROUND(FIRE1122_raw!W32,0)</f>
        <v>0</v>
      </c>
      <c r="X32" s="21">
        <f ca="1">IF(FIRE1122_raw!X32="-","-",ROUND(FIRE1122_raw!X32,0))</f>
        <v>33</v>
      </c>
      <c r="Y32" s="22"/>
      <c r="Z32" s="22">
        <f ca="1">ROUND(FIRE1122_raw!Z32,0)</f>
        <v>0</v>
      </c>
      <c r="AA32" s="22">
        <f ca="1">ROUND(FIRE1122_raw!AA32,0)</f>
        <v>0</v>
      </c>
      <c r="AB32" s="22">
        <f ca="1">ROUND(FIRE1122_raw!AB32,0)</f>
        <v>0</v>
      </c>
      <c r="AC32" s="22">
        <f ca="1">ROUND(FIRE1122_raw!AC32,0)</f>
        <v>0</v>
      </c>
      <c r="AD32" s="22">
        <f ca="1">ROUND(FIRE1122_raw!AD32,0)</f>
        <v>0</v>
      </c>
      <c r="AE32" s="22">
        <f ca="1">ROUND(FIRE1122_raw!AE32,0)</f>
        <v>0</v>
      </c>
      <c r="AF32" s="22" t="str">
        <f ca="1">IF(FIRE1122_raw!AF32="-","-",ROUND(FIRE1122_raw!AF32,0))</f>
        <v>-</v>
      </c>
      <c r="AG32" s="22"/>
      <c r="AH32" s="22">
        <f ca="1">ROUND(FIRE1122_raw!AH32,0)</f>
        <v>11</v>
      </c>
      <c r="AI32" s="22">
        <f ca="1">ROUND(FIRE1122_raw!AI32,0)</f>
        <v>14</v>
      </c>
      <c r="AJ32" s="22">
        <f ca="1">ROUND(FIRE1122_raw!AJ32,0)</f>
        <v>14</v>
      </c>
      <c r="AK32" s="22">
        <f ca="1">ROUND(FIRE1122_raw!AK32,0)</f>
        <v>1</v>
      </c>
      <c r="AL32" s="22">
        <f ca="1">ROUND(FIRE1122_raw!AL32,0)</f>
        <v>5</v>
      </c>
      <c r="AM32" s="22">
        <f ca="1">ROUND(FIRE1122_raw!AM32,0)</f>
        <v>0</v>
      </c>
      <c r="AN32" s="22">
        <f ca="1">IF(FIRE1122_raw!AN32="-","-",ROUND(FIRE1122_raw!AN32,0))</f>
        <v>34</v>
      </c>
      <c r="AO32" s="22"/>
      <c r="AP32" s="21">
        <f ca="1">ROUND(FIRE1122_raw!AP32,0)</f>
        <v>33</v>
      </c>
      <c r="AQ32" s="21">
        <f ca="1">ROUND(FIRE1122_raw!AQ32,0)</f>
        <v>69</v>
      </c>
      <c r="AR32" s="21">
        <f ca="1">ROUND(FIRE1122_raw!AR32,0)</f>
        <v>35</v>
      </c>
      <c r="AS32" s="21">
        <f ca="1">ROUND(FIRE1122_raw!AS32,0)</f>
        <v>16</v>
      </c>
      <c r="AT32" s="21">
        <f ca="1">ROUND(FIRE1122_raw!AT32,0)</f>
        <v>5</v>
      </c>
      <c r="AU32" s="21">
        <f ca="1">ROUND(FIRE1122_raw!AU32,0)</f>
        <v>0</v>
      </c>
      <c r="AV32" s="21">
        <f ca="1">IF(FIRE1122_raw!AV32="-","-",ROUND(FIRE1122_raw!AV32,0))</f>
        <v>33</v>
      </c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7" customFormat="1" ht="15" customHeight="1" x14ac:dyDescent="0.35">
      <c r="A33" s="2" t="s">
        <v>38</v>
      </c>
      <c r="B33" s="22">
        <f ca="1">ROUND(FIRE1122_raw!B33,0)</f>
        <v>4</v>
      </c>
      <c r="C33" s="22">
        <f ca="1">ROUND(FIRE1122_raw!C33,0)</f>
        <v>17</v>
      </c>
      <c r="D33" s="22">
        <f ca="1">ROUND(FIRE1122_raw!D33,0)</f>
        <v>4</v>
      </c>
      <c r="E33" s="22">
        <f ca="1">ROUND(FIRE1122_raw!E33,0)</f>
        <v>0</v>
      </c>
      <c r="F33" s="22">
        <f ca="1">ROUND(FIRE1122_raw!F33,0)</f>
        <v>0</v>
      </c>
      <c r="G33" s="22">
        <f ca="1">ROUND(FIRE1122_raw!G33,0)</f>
        <v>0</v>
      </c>
      <c r="H33" s="22">
        <f ca="1">IF(FIRE1122_raw!H33="-","-",ROUND(FIRE1122_raw!H33,0))</f>
        <v>30</v>
      </c>
      <c r="I33" s="22"/>
      <c r="J33" s="22">
        <f ca="1">ROUND(FIRE1122_raw!J33,0)</f>
        <v>4</v>
      </c>
      <c r="K33" s="22">
        <f ca="1">ROUND(FIRE1122_raw!K33,0)</f>
        <v>13</v>
      </c>
      <c r="L33" s="22">
        <f ca="1">ROUND(FIRE1122_raw!L33,0)</f>
        <v>8</v>
      </c>
      <c r="M33" s="22">
        <f ca="1">ROUND(FIRE1122_raw!M33,0)</f>
        <v>2</v>
      </c>
      <c r="N33" s="22">
        <f ca="1">ROUND(FIRE1122_raw!N33,0)</f>
        <v>0</v>
      </c>
      <c r="O33" s="22">
        <f ca="1">ROUND(FIRE1122_raw!O33,0)</f>
        <v>0</v>
      </c>
      <c r="P33" s="22">
        <f ca="1">IF(FIRE1122_raw!P33="-","-",ROUND(FIRE1122_raw!P33,0))</f>
        <v>33</v>
      </c>
      <c r="Q33" s="22"/>
      <c r="R33" s="21">
        <f ca="1">ROUND(FIRE1122_raw!R33,0)</f>
        <v>8</v>
      </c>
      <c r="S33" s="21">
        <f ca="1">ROUND(FIRE1122_raw!S33,0)</f>
        <v>30</v>
      </c>
      <c r="T33" s="21">
        <f ca="1">ROUND(FIRE1122_raw!T33,0)</f>
        <v>12</v>
      </c>
      <c r="U33" s="21">
        <f ca="1">ROUND(FIRE1122_raw!U33,0)</f>
        <v>2</v>
      </c>
      <c r="V33" s="21">
        <f ca="1">ROUND(FIRE1122_raw!V33,0)</f>
        <v>0</v>
      </c>
      <c r="W33" s="21">
        <f ca="1">ROUND(FIRE1122_raw!W33,0)</f>
        <v>0</v>
      </c>
      <c r="X33" s="21">
        <f ca="1">IF(FIRE1122_raw!X33="-","-",ROUND(FIRE1122_raw!X33,0))</f>
        <v>32</v>
      </c>
      <c r="Y33" s="22"/>
      <c r="Z33" s="22">
        <f ca="1">ROUND(FIRE1122_raw!Z33,0)</f>
        <v>0</v>
      </c>
      <c r="AA33" s="22">
        <f ca="1">ROUND(FIRE1122_raw!AA33,0)</f>
        <v>2</v>
      </c>
      <c r="AB33" s="22">
        <f ca="1">ROUND(FIRE1122_raw!AB33,0)</f>
        <v>0</v>
      </c>
      <c r="AC33" s="22">
        <f ca="1">ROUND(FIRE1122_raw!AC33,0)</f>
        <v>0</v>
      </c>
      <c r="AD33" s="22">
        <f ca="1">ROUND(FIRE1122_raw!AD33,0)</f>
        <v>0</v>
      </c>
      <c r="AE33" s="22">
        <f ca="1">ROUND(FIRE1122_raw!AE33,0)</f>
        <v>0</v>
      </c>
      <c r="AF33" s="22">
        <f ca="1">IF(FIRE1122_raw!AF33="-","-",ROUND(FIRE1122_raw!AF33,0))</f>
        <v>30</v>
      </c>
      <c r="AG33" s="22"/>
      <c r="AH33" s="22">
        <f ca="1">ROUND(FIRE1122_raw!AH33,0)</f>
        <v>1</v>
      </c>
      <c r="AI33" s="22">
        <f ca="1">ROUND(FIRE1122_raw!AI33,0)</f>
        <v>4</v>
      </c>
      <c r="AJ33" s="22">
        <f ca="1">ROUND(FIRE1122_raw!AJ33,0)</f>
        <v>2</v>
      </c>
      <c r="AK33" s="22">
        <f ca="1">ROUND(FIRE1122_raw!AK33,0)</f>
        <v>5</v>
      </c>
      <c r="AL33" s="22">
        <f ca="1">ROUND(FIRE1122_raw!AL33,0)</f>
        <v>0</v>
      </c>
      <c r="AM33" s="22">
        <f ca="1">ROUND(FIRE1122_raw!AM33,0)</f>
        <v>0</v>
      </c>
      <c r="AN33" s="22">
        <f ca="1">IF(FIRE1122_raw!AN33="-","-",ROUND(FIRE1122_raw!AN33,0))</f>
        <v>39</v>
      </c>
      <c r="AO33" s="22"/>
      <c r="AP33" s="21">
        <f ca="1">ROUND(FIRE1122_raw!AP33,0)</f>
        <v>9</v>
      </c>
      <c r="AQ33" s="21">
        <f ca="1">ROUND(FIRE1122_raw!AQ33,0)</f>
        <v>36</v>
      </c>
      <c r="AR33" s="21">
        <f ca="1">ROUND(FIRE1122_raw!AR33,0)</f>
        <v>14</v>
      </c>
      <c r="AS33" s="21">
        <f ca="1">ROUND(FIRE1122_raw!AS33,0)</f>
        <v>7</v>
      </c>
      <c r="AT33" s="21">
        <f ca="1">ROUND(FIRE1122_raw!AT33,0)</f>
        <v>0</v>
      </c>
      <c r="AU33" s="21">
        <f ca="1">ROUND(FIRE1122_raw!AU33,0)</f>
        <v>0</v>
      </c>
      <c r="AV33" s="21">
        <f ca="1">IF(FIRE1122_raw!AV33="-","-",ROUND(FIRE1122_raw!AV33,0))</f>
        <v>33</v>
      </c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15" customHeight="1" x14ac:dyDescent="0.35">
      <c r="A34" s="3" t="s">
        <v>39</v>
      </c>
      <c r="B34" s="22">
        <f ca="1">ROUND(FIRE1122_raw!B34,0)</f>
        <v>0</v>
      </c>
      <c r="C34" s="22">
        <f ca="1">ROUND(FIRE1122_raw!C34,0)</f>
        <v>4</v>
      </c>
      <c r="D34" s="22">
        <f ca="1">ROUND(FIRE1122_raw!D34,0)</f>
        <v>3</v>
      </c>
      <c r="E34" s="22">
        <f ca="1">ROUND(FIRE1122_raw!E34,0)</f>
        <v>3</v>
      </c>
      <c r="F34" s="22">
        <f ca="1">ROUND(FIRE1122_raw!F34,0)</f>
        <v>0</v>
      </c>
      <c r="G34" s="22">
        <f ca="1">ROUND(FIRE1122_raw!G34,0)</f>
        <v>0</v>
      </c>
      <c r="H34" s="22">
        <f ca="1">IF(FIRE1122_raw!H34="-","-",ROUND(FIRE1122_raw!H34,0))</f>
        <v>39</v>
      </c>
      <c r="I34" s="22"/>
      <c r="J34" s="22">
        <f ca="1">ROUND(FIRE1122_raw!J34,0)</f>
        <v>14</v>
      </c>
      <c r="K34" s="22">
        <f ca="1">ROUND(FIRE1122_raw!K34,0)</f>
        <v>23</v>
      </c>
      <c r="L34" s="22">
        <f ca="1">ROUND(FIRE1122_raw!L34,0)</f>
        <v>5</v>
      </c>
      <c r="M34" s="22">
        <f ca="1">ROUND(FIRE1122_raw!M34,0)</f>
        <v>3</v>
      </c>
      <c r="N34" s="22">
        <f ca="1">ROUND(FIRE1122_raw!N34,0)</f>
        <v>0</v>
      </c>
      <c r="O34" s="22">
        <f ca="1">ROUND(FIRE1122_raw!O34,0)</f>
        <v>0</v>
      </c>
      <c r="P34" s="22">
        <f ca="1">IF(FIRE1122_raw!P34="-","-",ROUND(FIRE1122_raw!P34,0))</f>
        <v>29</v>
      </c>
      <c r="Q34" s="22"/>
      <c r="R34" s="21">
        <f ca="1">ROUND(FIRE1122_raw!R34,0)</f>
        <v>14</v>
      </c>
      <c r="S34" s="21">
        <f ca="1">ROUND(FIRE1122_raw!S34,0)</f>
        <v>27</v>
      </c>
      <c r="T34" s="21">
        <f ca="1">ROUND(FIRE1122_raw!T34,0)</f>
        <v>8</v>
      </c>
      <c r="U34" s="21">
        <f ca="1">ROUND(FIRE1122_raw!U34,0)</f>
        <v>6</v>
      </c>
      <c r="V34" s="21">
        <f ca="1">ROUND(FIRE1122_raw!V34,0)</f>
        <v>0</v>
      </c>
      <c r="W34" s="21">
        <f ca="1">ROUND(FIRE1122_raw!W34,0)</f>
        <v>0</v>
      </c>
      <c r="X34" s="21">
        <f ca="1">IF(FIRE1122_raw!X34="-","-",ROUND(FIRE1122_raw!X34,0))</f>
        <v>31</v>
      </c>
      <c r="Y34" s="22"/>
      <c r="Z34" s="22">
        <f ca="1">ROUND(FIRE1122_raw!Z34,0)</f>
        <v>2</v>
      </c>
      <c r="AA34" s="22">
        <f ca="1">ROUND(FIRE1122_raw!AA34,0)</f>
        <v>0</v>
      </c>
      <c r="AB34" s="22">
        <f ca="1">ROUND(FIRE1122_raw!AB34,0)</f>
        <v>0</v>
      </c>
      <c r="AC34" s="22">
        <f ca="1">ROUND(FIRE1122_raw!AC34,0)</f>
        <v>0</v>
      </c>
      <c r="AD34" s="22">
        <f ca="1">ROUND(FIRE1122_raw!AD34,0)</f>
        <v>0</v>
      </c>
      <c r="AE34" s="22">
        <f ca="1">ROUND(FIRE1122_raw!AE34,0)</f>
        <v>0</v>
      </c>
      <c r="AF34" s="22">
        <f ca="1">IF(FIRE1122_raw!AF34="-","-",ROUND(FIRE1122_raw!AF34,0))</f>
        <v>20</v>
      </c>
      <c r="AG34" s="22"/>
      <c r="AH34" s="22">
        <f ca="1">ROUND(FIRE1122_raw!AH34,0)</f>
        <v>0</v>
      </c>
      <c r="AI34" s="22">
        <f ca="1">ROUND(FIRE1122_raw!AI34,0)</f>
        <v>3</v>
      </c>
      <c r="AJ34" s="22">
        <f ca="1">ROUND(FIRE1122_raw!AJ34,0)</f>
        <v>0</v>
      </c>
      <c r="AK34" s="22">
        <f ca="1">ROUND(FIRE1122_raw!AK34,0)</f>
        <v>0</v>
      </c>
      <c r="AL34" s="22">
        <f ca="1">ROUND(FIRE1122_raw!AL34,0)</f>
        <v>0</v>
      </c>
      <c r="AM34" s="22">
        <f ca="1">ROUND(FIRE1122_raw!AM34,0)</f>
        <v>0</v>
      </c>
      <c r="AN34" s="22">
        <f ca="1">IF(FIRE1122_raw!AN34="-","-",ROUND(FIRE1122_raw!AN34,0))</f>
        <v>30</v>
      </c>
      <c r="AO34" s="22"/>
      <c r="AP34" s="21">
        <f ca="1">ROUND(FIRE1122_raw!AP34,0)</f>
        <v>16</v>
      </c>
      <c r="AQ34" s="21">
        <f ca="1">ROUND(FIRE1122_raw!AQ34,0)</f>
        <v>30</v>
      </c>
      <c r="AR34" s="21">
        <f ca="1">ROUND(FIRE1122_raw!AR34,0)</f>
        <v>8</v>
      </c>
      <c r="AS34" s="21">
        <f ca="1">ROUND(FIRE1122_raw!AS34,0)</f>
        <v>6</v>
      </c>
      <c r="AT34" s="21">
        <f ca="1">ROUND(FIRE1122_raw!AT34,0)</f>
        <v>0</v>
      </c>
      <c r="AU34" s="21">
        <f ca="1">ROUND(FIRE1122_raw!AU34,0)</f>
        <v>0</v>
      </c>
      <c r="AV34" s="21">
        <f ca="1">IF(FIRE1122_raw!AV34="-","-",ROUND(FIRE1122_raw!AV34,0))</f>
        <v>31</v>
      </c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7" customFormat="1" ht="15" customHeight="1" x14ac:dyDescent="0.35">
      <c r="A35" s="3" t="s">
        <v>40</v>
      </c>
      <c r="B35" s="22">
        <f ca="1">ROUND(FIRE1122_raw!B35,0)</f>
        <v>4</v>
      </c>
      <c r="C35" s="22">
        <f ca="1">ROUND(FIRE1122_raw!C35,0)</f>
        <v>12</v>
      </c>
      <c r="D35" s="22">
        <f ca="1">ROUND(FIRE1122_raw!D35,0)</f>
        <v>3</v>
      </c>
      <c r="E35" s="22">
        <f ca="1">ROUND(FIRE1122_raw!E35,0)</f>
        <v>0</v>
      </c>
      <c r="F35" s="22">
        <f ca="1">ROUND(FIRE1122_raw!F35,0)</f>
        <v>0</v>
      </c>
      <c r="G35" s="22">
        <f ca="1">ROUND(FIRE1122_raw!G35,0)</f>
        <v>0</v>
      </c>
      <c r="H35" s="22">
        <f ca="1">IF(FIRE1122_raw!H35="-","-",ROUND(FIRE1122_raw!H35,0))</f>
        <v>30</v>
      </c>
      <c r="I35" s="22"/>
      <c r="J35" s="22">
        <f ca="1">ROUND(FIRE1122_raw!J35,0)</f>
        <v>15</v>
      </c>
      <c r="K35" s="22">
        <f ca="1">ROUND(FIRE1122_raw!K35,0)</f>
        <v>29</v>
      </c>
      <c r="L35" s="22">
        <f ca="1">ROUND(FIRE1122_raw!L35,0)</f>
        <v>8</v>
      </c>
      <c r="M35" s="22">
        <f ca="1">ROUND(FIRE1122_raw!M35,0)</f>
        <v>3</v>
      </c>
      <c r="N35" s="22">
        <f ca="1">ROUND(FIRE1122_raw!N35,0)</f>
        <v>1</v>
      </c>
      <c r="O35" s="22">
        <f ca="1">ROUND(FIRE1122_raw!O35,0)</f>
        <v>0</v>
      </c>
      <c r="P35" s="22">
        <f ca="1">IF(FIRE1122_raw!P35="-","-",ROUND(FIRE1122_raw!P35,0))</f>
        <v>30</v>
      </c>
      <c r="Q35" s="22"/>
      <c r="R35" s="21">
        <f ca="1">ROUND(FIRE1122_raw!R35,0)</f>
        <v>19</v>
      </c>
      <c r="S35" s="21">
        <f ca="1">ROUND(FIRE1122_raw!S35,0)</f>
        <v>41</v>
      </c>
      <c r="T35" s="21">
        <f ca="1">ROUND(FIRE1122_raw!T35,0)</f>
        <v>11</v>
      </c>
      <c r="U35" s="21">
        <f ca="1">ROUND(FIRE1122_raw!U35,0)</f>
        <v>3</v>
      </c>
      <c r="V35" s="21">
        <f ca="1">ROUND(FIRE1122_raw!V35,0)</f>
        <v>1</v>
      </c>
      <c r="W35" s="21">
        <f ca="1">ROUND(FIRE1122_raw!W35,0)</f>
        <v>0</v>
      </c>
      <c r="X35" s="21">
        <f ca="1">IF(FIRE1122_raw!X35="-","-",ROUND(FIRE1122_raw!X35,0))</f>
        <v>30</v>
      </c>
      <c r="Y35" s="22"/>
      <c r="Z35" s="22">
        <f ca="1">ROUND(FIRE1122_raw!Z35,0)</f>
        <v>0</v>
      </c>
      <c r="AA35" s="22">
        <f ca="1">ROUND(FIRE1122_raw!AA35,0)</f>
        <v>2</v>
      </c>
      <c r="AB35" s="22">
        <f ca="1">ROUND(FIRE1122_raw!AB35,0)</f>
        <v>1</v>
      </c>
      <c r="AC35" s="22">
        <f ca="1">ROUND(FIRE1122_raw!AC35,0)</f>
        <v>1</v>
      </c>
      <c r="AD35" s="22">
        <f ca="1">ROUND(FIRE1122_raw!AD35,0)</f>
        <v>0</v>
      </c>
      <c r="AE35" s="22">
        <f ca="1">ROUND(FIRE1122_raw!AE35,0)</f>
        <v>0</v>
      </c>
      <c r="AF35" s="22">
        <f ca="1">IF(FIRE1122_raw!AF35="-","-",ROUND(FIRE1122_raw!AF35,0))</f>
        <v>38</v>
      </c>
      <c r="AG35" s="22"/>
      <c r="AH35" s="22">
        <f ca="1">ROUND(FIRE1122_raw!AH35,0)</f>
        <v>1</v>
      </c>
      <c r="AI35" s="22">
        <f ca="1">ROUND(FIRE1122_raw!AI35,0)</f>
        <v>2</v>
      </c>
      <c r="AJ35" s="22">
        <f ca="1">ROUND(FIRE1122_raw!AJ35,0)</f>
        <v>4</v>
      </c>
      <c r="AK35" s="22">
        <f ca="1">ROUND(FIRE1122_raw!AK35,0)</f>
        <v>6</v>
      </c>
      <c r="AL35" s="22">
        <f ca="1">ROUND(FIRE1122_raw!AL35,0)</f>
        <v>3</v>
      </c>
      <c r="AM35" s="22">
        <f ca="1">ROUND(FIRE1122_raw!AM35,0)</f>
        <v>0</v>
      </c>
      <c r="AN35" s="22">
        <f ca="1">IF(FIRE1122_raw!AN35="-","-",ROUND(FIRE1122_raw!AN35,0))</f>
        <v>45</v>
      </c>
      <c r="AO35" s="22"/>
      <c r="AP35" s="21">
        <f ca="1">ROUND(FIRE1122_raw!AP35,0)</f>
        <v>20</v>
      </c>
      <c r="AQ35" s="21">
        <f ca="1">ROUND(FIRE1122_raw!AQ35,0)</f>
        <v>45</v>
      </c>
      <c r="AR35" s="21">
        <f ca="1">ROUND(FIRE1122_raw!AR35,0)</f>
        <v>16</v>
      </c>
      <c r="AS35" s="21">
        <f ca="1">ROUND(FIRE1122_raw!AS35,0)</f>
        <v>10</v>
      </c>
      <c r="AT35" s="21">
        <f ca="1">ROUND(FIRE1122_raw!AT35,0)</f>
        <v>4</v>
      </c>
      <c r="AU35" s="21">
        <f ca="1">ROUND(FIRE1122_raw!AU35,0)</f>
        <v>0</v>
      </c>
      <c r="AV35" s="21">
        <f ca="1">IF(FIRE1122_raw!AV35="-","-",ROUND(FIRE1122_raw!AV35,0))</f>
        <v>33</v>
      </c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7" customFormat="1" ht="15" customHeight="1" x14ac:dyDescent="0.35">
      <c r="A36" s="2" t="s">
        <v>41</v>
      </c>
      <c r="B36" s="22">
        <f ca="1">ROUND(FIRE1122_raw!B36,0)</f>
        <v>0</v>
      </c>
      <c r="C36" s="22">
        <f ca="1">ROUND(FIRE1122_raw!C36,0)</f>
        <v>0</v>
      </c>
      <c r="D36" s="22">
        <f ca="1">ROUND(FIRE1122_raw!D36,0)</f>
        <v>0</v>
      </c>
      <c r="E36" s="22">
        <f ca="1">ROUND(FIRE1122_raw!E36,0)</f>
        <v>0</v>
      </c>
      <c r="F36" s="22">
        <f ca="1">ROUND(FIRE1122_raw!F36,0)</f>
        <v>0</v>
      </c>
      <c r="G36" s="22">
        <f ca="1">ROUND(FIRE1122_raw!G36,0)</f>
        <v>0</v>
      </c>
      <c r="H36" s="22" t="str">
        <f ca="1">IF(FIRE1122_raw!H36="-","-",ROUND(FIRE1122_raw!H36,0))</f>
        <v>-</v>
      </c>
      <c r="I36" s="22"/>
      <c r="J36" s="22">
        <f ca="1">ROUND(FIRE1122_raw!J36,0)</f>
        <v>0</v>
      </c>
      <c r="K36" s="22">
        <f ca="1">ROUND(FIRE1122_raw!K36,0)</f>
        <v>0</v>
      </c>
      <c r="L36" s="22">
        <f ca="1">ROUND(FIRE1122_raw!L36,0)</f>
        <v>0</v>
      </c>
      <c r="M36" s="22">
        <f ca="1">ROUND(FIRE1122_raw!M36,0)</f>
        <v>0</v>
      </c>
      <c r="N36" s="22">
        <f ca="1">ROUND(FIRE1122_raw!N36,0)</f>
        <v>0</v>
      </c>
      <c r="O36" s="22">
        <f ca="1">ROUND(FIRE1122_raw!O36,0)</f>
        <v>0</v>
      </c>
      <c r="P36" s="22" t="str">
        <f ca="1">IF(FIRE1122_raw!P36="-","-",ROUND(FIRE1122_raw!P36,0))</f>
        <v>-</v>
      </c>
      <c r="Q36" s="22"/>
      <c r="R36" s="21">
        <f ca="1">ROUND(FIRE1122_raw!R36,0)</f>
        <v>0</v>
      </c>
      <c r="S36" s="21">
        <f ca="1">ROUND(FIRE1122_raw!S36,0)</f>
        <v>0</v>
      </c>
      <c r="T36" s="21">
        <f ca="1">ROUND(FIRE1122_raw!T36,0)</f>
        <v>0</v>
      </c>
      <c r="U36" s="21">
        <f ca="1">ROUND(FIRE1122_raw!U36,0)</f>
        <v>0</v>
      </c>
      <c r="V36" s="21">
        <f ca="1">ROUND(FIRE1122_raw!V36,0)</f>
        <v>0</v>
      </c>
      <c r="W36" s="21">
        <f ca="1">ROUND(FIRE1122_raw!W36,0)</f>
        <v>0</v>
      </c>
      <c r="X36" s="21" t="str">
        <f ca="1">IF(FIRE1122_raw!X36="-","-",ROUND(FIRE1122_raw!X36,0))</f>
        <v>-</v>
      </c>
      <c r="Y36" s="22"/>
      <c r="Z36" s="22">
        <f ca="1">ROUND(FIRE1122_raw!Z36,0)</f>
        <v>1</v>
      </c>
      <c r="AA36" s="22">
        <f ca="1">ROUND(FIRE1122_raw!AA36,0)</f>
        <v>4</v>
      </c>
      <c r="AB36" s="22">
        <f ca="1">ROUND(FIRE1122_raw!AB36,0)</f>
        <v>5</v>
      </c>
      <c r="AC36" s="22">
        <f ca="1">ROUND(FIRE1122_raw!AC36,0)</f>
        <v>0</v>
      </c>
      <c r="AD36" s="22">
        <f ca="1">ROUND(FIRE1122_raw!AD36,0)</f>
        <v>0</v>
      </c>
      <c r="AE36" s="22">
        <f ca="1">ROUND(FIRE1122_raw!AE36,0)</f>
        <v>0</v>
      </c>
      <c r="AF36" s="22">
        <f ca="1">IF(FIRE1122_raw!AF36="-","-",ROUND(FIRE1122_raw!AF36,0))</f>
        <v>34</v>
      </c>
      <c r="AG36" s="22"/>
      <c r="AH36" s="22">
        <f ca="1">ROUND(FIRE1122_raw!AH36,0)</f>
        <v>0</v>
      </c>
      <c r="AI36" s="22">
        <f ca="1">ROUND(FIRE1122_raw!AI36,0)</f>
        <v>0</v>
      </c>
      <c r="AJ36" s="22">
        <f ca="1">ROUND(FIRE1122_raw!AJ36,0)</f>
        <v>0</v>
      </c>
      <c r="AK36" s="22">
        <f ca="1">ROUND(FIRE1122_raw!AK36,0)</f>
        <v>0</v>
      </c>
      <c r="AL36" s="22">
        <f ca="1">ROUND(FIRE1122_raw!AL36,0)</f>
        <v>0</v>
      </c>
      <c r="AM36" s="22">
        <f ca="1">ROUND(FIRE1122_raw!AM36,0)</f>
        <v>0</v>
      </c>
      <c r="AN36" s="22" t="str">
        <f ca="1">IF(FIRE1122_raw!AN36="-","-",ROUND(FIRE1122_raw!AN36,0))</f>
        <v>-</v>
      </c>
      <c r="AO36" s="22"/>
      <c r="AP36" s="21">
        <f ca="1">ROUND(FIRE1122_raw!AP36,0)</f>
        <v>1</v>
      </c>
      <c r="AQ36" s="21">
        <f ca="1">ROUND(FIRE1122_raw!AQ36,0)</f>
        <v>4</v>
      </c>
      <c r="AR36" s="21">
        <f ca="1">ROUND(FIRE1122_raw!AR36,0)</f>
        <v>5</v>
      </c>
      <c r="AS36" s="21">
        <f ca="1">ROUND(FIRE1122_raw!AS36,0)</f>
        <v>0</v>
      </c>
      <c r="AT36" s="21">
        <f ca="1">ROUND(FIRE1122_raw!AT36,0)</f>
        <v>0</v>
      </c>
      <c r="AU36" s="21">
        <f ca="1">ROUND(FIRE1122_raw!AU36,0)</f>
        <v>0</v>
      </c>
      <c r="AV36" s="21">
        <f ca="1">IF(FIRE1122_raw!AV36="-","-",ROUND(FIRE1122_raw!AV36,0))</f>
        <v>34</v>
      </c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15" customHeight="1" x14ac:dyDescent="0.35">
      <c r="A37" s="3" t="s">
        <v>42</v>
      </c>
      <c r="B37" s="22">
        <f ca="1">ROUND(FIRE1122_raw!B37,0)</f>
        <v>0</v>
      </c>
      <c r="C37" s="22">
        <f ca="1">ROUND(FIRE1122_raw!C37,0)</f>
        <v>1</v>
      </c>
      <c r="D37" s="22">
        <f ca="1">ROUND(FIRE1122_raw!D37,0)</f>
        <v>1</v>
      </c>
      <c r="E37" s="22">
        <f ca="1">ROUND(FIRE1122_raw!E37,0)</f>
        <v>2</v>
      </c>
      <c r="F37" s="22">
        <f ca="1">ROUND(FIRE1122_raw!F37,0)</f>
        <v>0</v>
      </c>
      <c r="G37" s="22">
        <f ca="1">ROUND(FIRE1122_raw!G37,0)</f>
        <v>0</v>
      </c>
      <c r="H37" s="22">
        <f ca="1">IF(FIRE1122_raw!H37="-","-",ROUND(FIRE1122_raw!H37,0))</f>
        <v>43</v>
      </c>
      <c r="I37" s="22"/>
      <c r="J37" s="22">
        <f ca="1">ROUND(FIRE1122_raw!J37,0)</f>
        <v>12</v>
      </c>
      <c r="K37" s="22">
        <f ca="1">ROUND(FIRE1122_raw!K37,0)</f>
        <v>31</v>
      </c>
      <c r="L37" s="22">
        <f ca="1">ROUND(FIRE1122_raw!L37,0)</f>
        <v>9</v>
      </c>
      <c r="M37" s="22">
        <f ca="1">ROUND(FIRE1122_raw!M37,0)</f>
        <v>1</v>
      </c>
      <c r="N37" s="22">
        <f ca="1">ROUND(FIRE1122_raw!N37,0)</f>
        <v>0</v>
      </c>
      <c r="O37" s="22">
        <f ca="1">ROUND(FIRE1122_raw!O37,0)</f>
        <v>0</v>
      </c>
      <c r="P37" s="22">
        <f ca="1">IF(FIRE1122_raw!P37="-","-",ROUND(FIRE1122_raw!P37,0))</f>
        <v>30</v>
      </c>
      <c r="Q37" s="22"/>
      <c r="R37" s="21">
        <f ca="1">ROUND(FIRE1122_raw!R37,0)</f>
        <v>12</v>
      </c>
      <c r="S37" s="21">
        <f ca="1">ROUND(FIRE1122_raw!S37,0)</f>
        <v>32</v>
      </c>
      <c r="T37" s="21">
        <f ca="1">ROUND(FIRE1122_raw!T37,0)</f>
        <v>10</v>
      </c>
      <c r="U37" s="21">
        <f ca="1">ROUND(FIRE1122_raw!U37,0)</f>
        <v>3</v>
      </c>
      <c r="V37" s="21">
        <f ca="1">ROUND(FIRE1122_raw!V37,0)</f>
        <v>0</v>
      </c>
      <c r="W37" s="21">
        <f ca="1">ROUND(FIRE1122_raw!W37,0)</f>
        <v>0</v>
      </c>
      <c r="X37" s="21">
        <f ca="1">IF(FIRE1122_raw!X37="-","-",ROUND(FIRE1122_raw!X37,0))</f>
        <v>31</v>
      </c>
      <c r="Y37" s="22"/>
      <c r="Z37" s="22">
        <f ca="1">ROUND(FIRE1122_raw!Z37,0)</f>
        <v>0</v>
      </c>
      <c r="AA37" s="22">
        <f ca="1">ROUND(FIRE1122_raw!AA37,0)</f>
        <v>2</v>
      </c>
      <c r="AB37" s="22">
        <f ca="1">ROUND(FIRE1122_raw!AB37,0)</f>
        <v>0</v>
      </c>
      <c r="AC37" s="22">
        <f ca="1">ROUND(FIRE1122_raw!AC37,0)</f>
        <v>0</v>
      </c>
      <c r="AD37" s="22">
        <f ca="1">ROUND(FIRE1122_raw!AD37,0)</f>
        <v>1</v>
      </c>
      <c r="AE37" s="22">
        <f ca="1">ROUND(FIRE1122_raw!AE37,0)</f>
        <v>0</v>
      </c>
      <c r="AF37" s="22">
        <f ca="1">IF(FIRE1122_raw!AF37="-","-",ROUND(FIRE1122_raw!AF37,0))</f>
        <v>39</v>
      </c>
      <c r="AG37" s="22"/>
      <c r="AH37" s="22">
        <f ca="1">ROUND(FIRE1122_raw!AH37,0)</f>
        <v>0</v>
      </c>
      <c r="AI37" s="22">
        <f ca="1">ROUND(FIRE1122_raw!AI37,0)</f>
        <v>6</v>
      </c>
      <c r="AJ37" s="22">
        <f ca="1">ROUND(FIRE1122_raw!AJ37,0)</f>
        <v>8</v>
      </c>
      <c r="AK37" s="22">
        <f ca="1">ROUND(FIRE1122_raw!AK37,0)</f>
        <v>5</v>
      </c>
      <c r="AL37" s="22">
        <f ca="1">ROUND(FIRE1122_raw!AL37,0)</f>
        <v>1</v>
      </c>
      <c r="AM37" s="22">
        <f ca="1">ROUND(FIRE1122_raw!AM37,0)</f>
        <v>0</v>
      </c>
      <c r="AN37" s="22">
        <f ca="1">IF(FIRE1122_raw!AN37="-","-",ROUND(FIRE1122_raw!AN37,0))</f>
        <v>41</v>
      </c>
      <c r="AO37" s="22"/>
      <c r="AP37" s="21">
        <f ca="1">ROUND(FIRE1122_raw!AP37,0)</f>
        <v>12</v>
      </c>
      <c r="AQ37" s="21">
        <f ca="1">ROUND(FIRE1122_raw!AQ37,0)</f>
        <v>40</v>
      </c>
      <c r="AR37" s="21">
        <f ca="1">ROUND(FIRE1122_raw!AR37,0)</f>
        <v>18</v>
      </c>
      <c r="AS37" s="21">
        <f ca="1">ROUND(FIRE1122_raw!AS37,0)</f>
        <v>8</v>
      </c>
      <c r="AT37" s="21">
        <f ca="1">ROUND(FIRE1122_raw!AT37,0)</f>
        <v>2</v>
      </c>
      <c r="AU37" s="21">
        <f ca="1">ROUND(FIRE1122_raw!AU37,0)</f>
        <v>0</v>
      </c>
      <c r="AV37" s="21">
        <f ca="1">IF(FIRE1122_raw!AV37="-","-",ROUND(FIRE1122_raw!AV37,0))</f>
        <v>34</v>
      </c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7" customFormat="1" ht="15" customHeight="1" x14ac:dyDescent="0.35">
      <c r="A38" s="3" t="s">
        <v>43</v>
      </c>
      <c r="B38" s="22">
        <f ca="1">ROUND(FIRE1122_raw!B38,0)</f>
        <v>2</v>
      </c>
      <c r="C38" s="22">
        <f ca="1">ROUND(FIRE1122_raw!C38,0)</f>
        <v>8</v>
      </c>
      <c r="D38" s="22">
        <f ca="1">ROUND(FIRE1122_raw!D38,0)</f>
        <v>3</v>
      </c>
      <c r="E38" s="22">
        <f ca="1">ROUND(FIRE1122_raw!E38,0)</f>
        <v>0</v>
      </c>
      <c r="F38" s="22">
        <f ca="1">ROUND(FIRE1122_raw!F38,0)</f>
        <v>0</v>
      </c>
      <c r="G38" s="22">
        <f ca="1">ROUND(FIRE1122_raw!G38,0)</f>
        <v>0</v>
      </c>
      <c r="H38" s="22">
        <f ca="1">IF(FIRE1122_raw!H38="-","-",ROUND(FIRE1122_raw!H38,0))</f>
        <v>31</v>
      </c>
      <c r="I38" s="22"/>
      <c r="J38" s="22">
        <f ca="1">ROUND(FIRE1122_raw!J38,0)</f>
        <v>5</v>
      </c>
      <c r="K38" s="22">
        <f ca="1">ROUND(FIRE1122_raw!K38,0)</f>
        <v>23</v>
      </c>
      <c r="L38" s="22">
        <f ca="1">ROUND(FIRE1122_raw!L38,0)</f>
        <v>5</v>
      </c>
      <c r="M38" s="22">
        <f ca="1">ROUND(FIRE1122_raw!M38,0)</f>
        <v>1</v>
      </c>
      <c r="N38" s="22">
        <f ca="1">ROUND(FIRE1122_raw!N38,0)</f>
        <v>0</v>
      </c>
      <c r="O38" s="22">
        <f ca="1">ROUND(FIRE1122_raw!O38,0)</f>
        <v>0</v>
      </c>
      <c r="P38" s="22">
        <f ca="1">IF(FIRE1122_raw!P38="-","-",ROUND(FIRE1122_raw!P38,0))</f>
        <v>31</v>
      </c>
      <c r="Q38" s="22"/>
      <c r="R38" s="21">
        <f ca="1">ROUND(FIRE1122_raw!R38,0)</f>
        <v>7</v>
      </c>
      <c r="S38" s="21">
        <f ca="1">ROUND(FIRE1122_raw!S38,0)</f>
        <v>31</v>
      </c>
      <c r="T38" s="21">
        <f ca="1">ROUND(FIRE1122_raw!T38,0)</f>
        <v>8</v>
      </c>
      <c r="U38" s="21">
        <f ca="1">ROUND(FIRE1122_raw!U38,0)</f>
        <v>1</v>
      </c>
      <c r="V38" s="21">
        <f ca="1">ROUND(FIRE1122_raw!V38,0)</f>
        <v>0</v>
      </c>
      <c r="W38" s="21">
        <f ca="1">ROUND(FIRE1122_raw!W38,0)</f>
        <v>0</v>
      </c>
      <c r="X38" s="21">
        <f ca="1">IF(FIRE1122_raw!X38="-","-",ROUND(FIRE1122_raw!X38,0))</f>
        <v>31</v>
      </c>
      <c r="Y38" s="22"/>
      <c r="Z38" s="22">
        <f ca="1">ROUND(FIRE1122_raw!Z38,0)</f>
        <v>0</v>
      </c>
      <c r="AA38" s="22">
        <f ca="1">ROUND(FIRE1122_raw!AA38,0)</f>
        <v>0</v>
      </c>
      <c r="AB38" s="22">
        <f ca="1">ROUND(FIRE1122_raw!AB38,0)</f>
        <v>0</v>
      </c>
      <c r="AC38" s="22">
        <f ca="1">ROUND(FIRE1122_raw!AC38,0)</f>
        <v>0</v>
      </c>
      <c r="AD38" s="22">
        <f ca="1">ROUND(FIRE1122_raw!AD38,0)</f>
        <v>0</v>
      </c>
      <c r="AE38" s="22">
        <f ca="1">ROUND(FIRE1122_raw!AE38,0)</f>
        <v>0</v>
      </c>
      <c r="AF38" s="22" t="str">
        <f ca="1">IF(FIRE1122_raw!AF38="-","-",ROUND(FIRE1122_raw!AF38,0))</f>
        <v>-</v>
      </c>
      <c r="AG38" s="22"/>
      <c r="AH38" s="22">
        <f ca="1">ROUND(FIRE1122_raw!AH38,0)</f>
        <v>2</v>
      </c>
      <c r="AI38" s="22">
        <f ca="1">ROUND(FIRE1122_raw!AI38,0)</f>
        <v>1</v>
      </c>
      <c r="AJ38" s="22">
        <f ca="1">ROUND(FIRE1122_raw!AJ38,0)</f>
        <v>2</v>
      </c>
      <c r="AK38" s="22">
        <f ca="1">ROUND(FIRE1122_raw!AK38,0)</f>
        <v>3</v>
      </c>
      <c r="AL38" s="22">
        <f ca="1">ROUND(FIRE1122_raw!AL38,0)</f>
        <v>2</v>
      </c>
      <c r="AM38" s="22">
        <f ca="1">ROUND(FIRE1122_raw!AM38,0)</f>
        <v>0</v>
      </c>
      <c r="AN38" s="22">
        <f ca="1">IF(FIRE1122_raw!AN38="-","-",ROUND(FIRE1122_raw!AN38,0))</f>
        <v>41</v>
      </c>
      <c r="AO38" s="22"/>
      <c r="AP38" s="21">
        <f ca="1">ROUND(FIRE1122_raw!AP38,0)</f>
        <v>9</v>
      </c>
      <c r="AQ38" s="21">
        <f ca="1">ROUND(FIRE1122_raw!AQ38,0)</f>
        <v>32</v>
      </c>
      <c r="AR38" s="21">
        <f ca="1">ROUND(FIRE1122_raw!AR38,0)</f>
        <v>10</v>
      </c>
      <c r="AS38" s="21">
        <f ca="1">ROUND(FIRE1122_raw!AS38,0)</f>
        <v>4</v>
      </c>
      <c r="AT38" s="21">
        <f ca="1">ROUND(FIRE1122_raw!AT38,0)</f>
        <v>2</v>
      </c>
      <c r="AU38" s="21">
        <f ca="1">ROUND(FIRE1122_raw!AU38,0)</f>
        <v>0</v>
      </c>
      <c r="AV38" s="21">
        <f ca="1">IF(FIRE1122_raw!AV38="-","-",ROUND(FIRE1122_raw!AV38,0))</f>
        <v>33</v>
      </c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7" customFormat="1" ht="15" customHeight="1" x14ac:dyDescent="0.35">
      <c r="A39" s="3" t="s">
        <v>44</v>
      </c>
      <c r="B39" s="22">
        <f ca="1">ROUND(FIRE1122_raw!B39,0)</f>
        <v>0</v>
      </c>
      <c r="C39" s="22">
        <f ca="1">ROUND(FIRE1122_raw!C39,0)</f>
        <v>1</v>
      </c>
      <c r="D39" s="22">
        <f ca="1">ROUND(FIRE1122_raw!D39,0)</f>
        <v>0</v>
      </c>
      <c r="E39" s="22">
        <f ca="1">ROUND(FIRE1122_raw!E39,0)</f>
        <v>0</v>
      </c>
      <c r="F39" s="22">
        <f ca="1">ROUND(FIRE1122_raw!F39,0)</f>
        <v>0</v>
      </c>
      <c r="G39" s="22">
        <f ca="1">ROUND(FIRE1122_raw!G39,0)</f>
        <v>0</v>
      </c>
      <c r="H39" s="22">
        <f ca="1">IF(FIRE1122_raw!H39="-","-",ROUND(FIRE1122_raw!H39,0))</f>
        <v>30</v>
      </c>
      <c r="I39" s="22"/>
      <c r="J39" s="22">
        <f ca="1">ROUND(FIRE1122_raw!J39,0)</f>
        <v>5</v>
      </c>
      <c r="K39" s="22">
        <f ca="1">ROUND(FIRE1122_raw!K39,0)</f>
        <v>10</v>
      </c>
      <c r="L39" s="22">
        <f ca="1">ROUND(FIRE1122_raw!L39,0)</f>
        <v>1</v>
      </c>
      <c r="M39" s="22">
        <f ca="1">ROUND(FIRE1122_raw!M39,0)</f>
        <v>2</v>
      </c>
      <c r="N39" s="22">
        <f ca="1">ROUND(FIRE1122_raw!N39,0)</f>
        <v>0</v>
      </c>
      <c r="O39" s="22">
        <f ca="1">ROUND(FIRE1122_raw!O39,0)</f>
        <v>0</v>
      </c>
      <c r="P39" s="22">
        <f ca="1">IF(FIRE1122_raw!P39="-","-",ROUND(FIRE1122_raw!P39,0))</f>
        <v>30</v>
      </c>
      <c r="Q39" s="22"/>
      <c r="R39" s="21">
        <f ca="1">ROUND(FIRE1122_raw!R39,0)</f>
        <v>5</v>
      </c>
      <c r="S39" s="21">
        <f ca="1">ROUND(FIRE1122_raw!S39,0)</f>
        <v>11</v>
      </c>
      <c r="T39" s="21">
        <f ca="1">ROUND(FIRE1122_raw!T39,0)</f>
        <v>1</v>
      </c>
      <c r="U39" s="21">
        <f ca="1">ROUND(FIRE1122_raw!U39,0)</f>
        <v>2</v>
      </c>
      <c r="V39" s="21">
        <f ca="1">ROUND(FIRE1122_raw!V39,0)</f>
        <v>0</v>
      </c>
      <c r="W39" s="21">
        <f ca="1">ROUND(FIRE1122_raw!W39,0)</f>
        <v>0</v>
      </c>
      <c r="X39" s="21">
        <f ca="1">IF(FIRE1122_raw!X39="-","-",ROUND(FIRE1122_raw!X39,0))</f>
        <v>30</v>
      </c>
      <c r="Y39" s="22"/>
      <c r="Z39" s="22">
        <f ca="1">ROUND(FIRE1122_raw!Z39,0)</f>
        <v>0</v>
      </c>
      <c r="AA39" s="22">
        <f ca="1">ROUND(FIRE1122_raw!AA39,0)</f>
        <v>0</v>
      </c>
      <c r="AB39" s="22">
        <f ca="1">ROUND(FIRE1122_raw!AB39,0)</f>
        <v>0</v>
      </c>
      <c r="AC39" s="22">
        <f ca="1">ROUND(FIRE1122_raw!AC39,0)</f>
        <v>1</v>
      </c>
      <c r="AD39" s="22">
        <f ca="1">ROUND(FIRE1122_raw!AD39,0)</f>
        <v>0</v>
      </c>
      <c r="AE39" s="22">
        <f ca="1">ROUND(FIRE1122_raw!AE39,0)</f>
        <v>0</v>
      </c>
      <c r="AF39" s="22">
        <f ca="1">IF(FIRE1122_raw!AF39="-","-",ROUND(FIRE1122_raw!AF39,0))</f>
        <v>51</v>
      </c>
      <c r="AG39" s="22"/>
      <c r="AH39" s="22">
        <f ca="1">ROUND(FIRE1122_raw!AH39,0)</f>
        <v>0</v>
      </c>
      <c r="AI39" s="22">
        <f ca="1">ROUND(FIRE1122_raw!AI39,0)</f>
        <v>1</v>
      </c>
      <c r="AJ39" s="22">
        <f ca="1">ROUND(FIRE1122_raw!AJ39,0)</f>
        <v>2</v>
      </c>
      <c r="AK39" s="22">
        <f ca="1">ROUND(FIRE1122_raw!AK39,0)</f>
        <v>1</v>
      </c>
      <c r="AL39" s="22">
        <f ca="1">ROUND(FIRE1122_raw!AL39,0)</f>
        <v>0</v>
      </c>
      <c r="AM39" s="22">
        <f ca="1">ROUND(FIRE1122_raw!AM39,0)</f>
        <v>0</v>
      </c>
      <c r="AN39" s="22">
        <f ca="1">IF(FIRE1122_raw!AN39="-","-",ROUND(FIRE1122_raw!AN39,0))</f>
        <v>40</v>
      </c>
      <c r="AO39" s="22"/>
      <c r="AP39" s="21">
        <f ca="1">ROUND(FIRE1122_raw!AP39,0)</f>
        <v>5</v>
      </c>
      <c r="AQ39" s="21">
        <f ca="1">ROUND(FIRE1122_raw!AQ39,0)</f>
        <v>12</v>
      </c>
      <c r="AR39" s="21">
        <f ca="1">ROUND(FIRE1122_raw!AR39,0)</f>
        <v>3</v>
      </c>
      <c r="AS39" s="21">
        <f ca="1">ROUND(FIRE1122_raw!AS39,0)</f>
        <v>4</v>
      </c>
      <c r="AT39" s="21">
        <f ca="1">ROUND(FIRE1122_raw!AT39,0)</f>
        <v>0</v>
      </c>
      <c r="AU39" s="21">
        <f ca="1">ROUND(FIRE1122_raw!AU39,0)</f>
        <v>0</v>
      </c>
      <c r="AV39" s="21">
        <f ca="1">IF(FIRE1122_raw!AV39="-","-",ROUND(FIRE1122_raw!AV39,0))</f>
        <v>33</v>
      </c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15" customHeight="1" x14ac:dyDescent="0.35">
      <c r="A40" s="2" t="s">
        <v>45</v>
      </c>
      <c r="B40" s="22">
        <f ca="1">ROUND(FIRE1122_raw!B40,0)</f>
        <v>1</v>
      </c>
      <c r="C40" s="22">
        <f ca="1">ROUND(FIRE1122_raw!C40,0)</f>
        <v>9</v>
      </c>
      <c r="D40" s="22">
        <f ca="1">ROUND(FIRE1122_raw!D40,0)</f>
        <v>2</v>
      </c>
      <c r="E40" s="22">
        <f ca="1">ROUND(FIRE1122_raw!E40,0)</f>
        <v>1</v>
      </c>
      <c r="F40" s="22">
        <f ca="1">ROUND(FIRE1122_raw!F40,0)</f>
        <v>0</v>
      </c>
      <c r="G40" s="22">
        <f ca="1">ROUND(FIRE1122_raw!G40,0)</f>
        <v>0</v>
      </c>
      <c r="H40" s="22">
        <f ca="1">IF(FIRE1122_raw!H40="-","-",ROUND(FIRE1122_raw!H40,0))</f>
        <v>32</v>
      </c>
      <c r="I40" s="22"/>
      <c r="J40" s="22">
        <f ca="1">ROUND(FIRE1122_raw!J40,0)</f>
        <v>7</v>
      </c>
      <c r="K40" s="22">
        <f ca="1">ROUND(FIRE1122_raw!K40,0)</f>
        <v>15</v>
      </c>
      <c r="L40" s="22">
        <f ca="1">ROUND(FIRE1122_raw!L40,0)</f>
        <v>12</v>
      </c>
      <c r="M40" s="22">
        <f ca="1">ROUND(FIRE1122_raw!M40,0)</f>
        <v>2</v>
      </c>
      <c r="N40" s="22">
        <f ca="1">ROUND(FIRE1122_raw!N40,0)</f>
        <v>0</v>
      </c>
      <c r="O40" s="22">
        <f ca="1">ROUND(FIRE1122_raw!O40,0)</f>
        <v>0</v>
      </c>
      <c r="P40" s="22">
        <f ca="1">IF(FIRE1122_raw!P40="-","-",ROUND(FIRE1122_raw!P40,0))</f>
        <v>33</v>
      </c>
      <c r="Q40" s="22"/>
      <c r="R40" s="21">
        <f ca="1">ROUND(FIRE1122_raw!R40,0)</f>
        <v>8</v>
      </c>
      <c r="S40" s="21">
        <f ca="1">ROUND(FIRE1122_raw!S40,0)</f>
        <v>24</v>
      </c>
      <c r="T40" s="21">
        <f ca="1">ROUND(FIRE1122_raw!T40,0)</f>
        <v>14</v>
      </c>
      <c r="U40" s="21">
        <f ca="1">ROUND(FIRE1122_raw!U40,0)</f>
        <v>3</v>
      </c>
      <c r="V40" s="21">
        <f ca="1">ROUND(FIRE1122_raw!V40,0)</f>
        <v>0</v>
      </c>
      <c r="W40" s="21">
        <f ca="1">ROUND(FIRE1122_raw!W40,0)</f>
        <v>0</v>
      </c>
      <c r="X40" s="21">
        <f ca="1">IF(FIRE1122_raw!X40="-","-",ROUND(FIRE1122_raw!X40,0))</f>
        <v>33</v>
      </c>
      <c r="Y40" s="22"/>
      <c r="Z40" s="22">
        <f ca="1">ROUND(FIRE1122_raw!Z40,0)</f>
        <v>0</v>
      </c>
      <c r="AA40" s="22">
        <f ca="1">ROUND(FIRE1122_raw!AA40,0)</f>
        <v>1</v>
      </c>
      <c r="AB40" s="22">
        <f ca="1">ROUND(FIRE1122_raw!AB40,0)</f>
        <v>0</v>
      </c>
      <c r="AC40" s="22">
        <f ca="1">ROUND(FIRE1122_raw!AC40,0)</f>
        <v>0</v>
      </c>
      <c r="AD40" s="22">
        <f ca="1">ROUND(FIRE1122_raw!AD40,0)</f>
        <v>0</v>
      </c>
      <c r="AE40" s="22">
        <f ca="1">ROUND(FIRE1122_raw!AE40,0)</f>
        <v>0</v>
      </c>
      <c r="AF40" s="22">
        <f ca="1">IF(FIRE1122_raw!AF40="-","-",ROUND(FIRE1122_raw!AF40,0))</f>
        <v>30</v>
      </c>
      <c r="AG40" s="22"/>
      <c r="AH40" s="22">
        <f ca="1">ROUND(FIRE1122_raw!AH40,0)</f>
        <v>4</v>
      </c>
      <c r="AI40" s="22">
        <f ca="1">ROUND(FIRE1122_raw!AI40,0)</f>
        <v>5</v>
      </c>
      <c r="AJ40" s="22">
        <f ca="1">ROUND(FIRE1122_raw!AJ40,0)</f>
        <v>5</v>
      </c>
      <c r="AK40" s="22">
        <f ca="1">ROUND(FIRE1122_raw!AK40,0)</f>
        <v>4</v>
      </c>
      <c r="AL40" s="22">
        <f ca="1">ROUND(FIRE1122_raw!AL40,0)</f>
        <v>1</v>
      </c>
      <c r="AM40" s="22">
        <f ca="1">ROUND(FIRE1122_raw!AM40,0)</f>
        <v>0</v>
      </c>
      <c r="AN40" s="22">
        <f ca="1">IF(FIRE1122_raw!AN40="-","-",ROUND(FIRE1122_raw!AN40,0))</f>
        <v>36</v>
      </c>
      <c r="AO40" s="22"/>
      <c r="AP40" s="21">
        <f ca="1">ROUND(FIRE1122_raw!AP40,0)</f>
        <v>12</v>
      </c>
      <c r="AQ40" s="21">
        <f ca="1">ROUND(FIRE1122_raw!AQ40,0)</f>
        <v>30</v>
      </c>
      <c r="AR40" s="21">
        <f ca="1">ROUND(FIRE1122_raw!AR40,0)</f>
        <v>19</v>
      </c>
      <c r="AS40" s="21">
        <f ca="1">ROUND(FIRE1122_raw!AS40,0)</f>
        <v>7</v>
      </c>
      <c r="AT40" s="21">
        <f ca="1">ROUND(FIRE1122_raw!AT40,0)</f>
        <v>1</v>
      </c>
      <c r="AU40" s="21">
        <f ca="1">ROUND(FIRE1122_raw!AU40,0)</f>
        <v>0</v>
      </c>
      <c r="AV40" s="21">
        <f ca="1">IF(FIRE1122_raw!AV40="-","-",ROUND(FIRE1122_raw!AV40,0))</f>
        <v>34</v>
      </c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7" customFormat="1" ht="15" customHeight="1" x14ac:dyDescent="0.35">
      <c r="A41" s="2" t="s">
        <v>46</v>
      </c>
      <c r="B41" s="22">
        <f ca="1">ROUND(FIRE1122_raw!B41,0)</f>
        <v>0</v>
      </c>
      <c r="C41" s="22">
        <f ca="1">ROUND(FIRE1122_raw!C41,0)</f>
        <v>0</v>
      </c>
      <c r="D41" s="22">
        <f ca="1">ROUND(FIRE1122_raw!D41,0)</f>
        <v>0</v>
      </c>
      <c r="E41" s="22">
        <f ca="1">ROUND(FIRE1122_raw!E41,0)</f>
        <v>0</v>
      </c>
      <c r="F41" s="22">
        <f ca="1">ROUND(FIRE1122_raw!F41,0)</f>
        <v>0</v>
      </c>
      <c r="G41" s="22">
        <f ca="1">ROUND(FIRE1122_raw!G41,0)</f>
        <v>0</v>
      </c>
      <c r="H41" s="22" t="str">
        <f ca="1">IF(FIRE1122_raw!H41="-","-",ROUND(FIRE1122_raw!H41,0))</f>
        <v>-</v>
      </c>
      <c r="I41" s="22"/>
      <c r="J41" s="22">
        <f ca="1">ROUND(FIRE1122_raw!J41,0)</f>
        <v>12</v>
      </c>
      <c r="K41" s="22">
        <f ca="1">ROUND(FIRE1122_raw!K41,0)</f>
        <v>31</v>
      </c>
      <c r="L41" s="22">
        <f ca="1">ROUND(FIRE1122_raw!L41,0)</f>
        <v>23</v>
      </c>
      <c r="M41" s="22">
        <f ca="1">ROUND(FIRE1122_raw!M41,0)</f>
        <v>8</v>
      </c>
      <c r="N41" s="22">
        <f ca="1">ROUND(FIRE1122_raw!N41,0)</f>
        <v>0</v>
      </c>
      <c r="O41" s="22">
        <f ca="1">ROUND(FIRE1122_raw!O41,0)</f>
        <v>0</v>
      </c>
      <c r="P41" s="22">
        <f ca="1">IF(FIRE1122_raw!P41="-","-",ROUND(FIRE1122_raw!P41,0))</f>
        <v>34</v>
      </c>
      <c r="Q41" s="22"/>
      <c r="R41" s="21">
        <f ca="1">ROUND(FIRE1122_raw!R41,0)</f>
        <v>12</v>
      </c>
      <c r="S41" s="21">
        <f ca="1">ROUND(FIRE1122_raw!S41,0)</f>
        <v>31</v>
      </c>
      <c r="T41" s="21">
        <f ca="1">ROUND(FIRE1122_raw!T41,0)</f>
        <v>23</v>
      </c>
      <c r="U41" s="21">
        <f ca="1">ROUND(FIRE1122_raw!U41,0)</f>
        <v>8</v>
      </c>
      <c r="V41" s="21">
        <f ca="1">ROUND(FIRE1122_raw!V41,0)</f>
        <v>0</v>
      </c>
      <c r="W41" s="21">
        <f ca="1">ROUND(FIRE1122_raw!W41,0)</f>
        <v>0</v>
      </c>
      <c r="X41" s="21">
        <f ca="1">IF(FIRE1122_raw!X41="-","-",ROUND(FIRE1122_raw!X41,0))</f>
        <v>34</v>
      </c>
      <c r="Y41" s="22"/>
      <c r="Z41" s="22">
        <f ca="1">ROUND(FIRE1122_raw!Z41,0)</f>
        <v>0</v>
      </c>
      <c r="AA41" s="22">
        <f ca="1">ROUND(FIRE1122_raw!AA41,0)</f>
        <v>0</v>
      </c>
      <c r="AB41" s="22">
        <f ca="1">ROUND(FIRE1122_raw!AB41,0)</f>
        <v>0</v>
      </c>
      <c r="AC41" s="22">
        <f ca="1">ROUND(FIRE1122_raw!AC41,0)</f>
        <v>0</v>
      </c>
      <c r="AD41" s="22">
        <f ca="1">ROUND(FIRE1122_raw!AD41,0)</f>
        <v>0</v>
      </c>
      <c r="AE41" s="22">
        <f ca="1">ROUND(FIRE1122_raw!AE41,0)</f>
        <v>0</v>
      </c>
      <c r="AF41" s="22" t="str">
        <f ca="1">IF(FIRE1122_raw!AF41="-","-",ROUND(FIRE1122_raw!AF41,0))</f>
        <v>-</v>
      </c>
      <c r="AG41" s="22"/>
      <c r="AH41" s="22">
        <f ca="1">ROUND(FIRE1122_raw!AH41,0)</f>
        <v>0</v>
      </c>
      <c r="AI41" s="22">
        <f ca="1">ROUND(FIRE1122_raw!AI41,0)</f>
        <v>2</v>
      </c>
      <c r="AJ41" s="22">
        <f ca="1">ROUND(FIRE1122_raw!AJ41,0)</f>
        <v>0</v>
      </c>
      <c r="AK41" s="22">
        <f ca="1">ROUND(FIRE1122_raw!AK41,0)</f>
        <v>1</v>
      </c>
      <c r="AL41" s="22">
        <f ca="1">ROUND(FIRE1122_raw!AL41,0)</f>
        <v>1</v>
      </c>
      <c r="AM41" s="22">
        <f ca="1">ROUND(FIRE1122_raw!AM41,0)</f>
        <v>0</v>
      </c>
      <c r="AN41" s="22">
        <f ca="1">IF(FIRE1122_raw!AN41="-","-",ROUND(FIRE1122_raw!AN41,0))</f>
        <v>42</v>
      </c>
      <c r="AO41" s="22"/>
      <c r="AP41" s="21">
        <f ca="1">ROUND(FIRE1122_raw!AP41,0)</f>
        <v>12</v>
      </c>
      <c r="AQ41" s="21">
        <f ca="1">ROUND(FIRE1122_raw!AQ41,0)</f>
        <v>33</v>
      </c>
      <c r="AR41" s="21">
        <f ca="1">ROUND(FIRE1122_raw!AR41,0)</f>
        <v>23</v>
      </c>
      <c r="AS41" s="21">
        <f ca="1">ROUND(FIRE1122_raw!AS41,0)</f>
        <v>9</v>
      </c>
      <c r="AT41" s="21">
        <f ca="1">ROUND(FIRE1122_raw!AT41,0)</f>
        <v>1</v>
      </c>
      <c r="AU41" s="21">
        <f ca="1">ROUND(FIRE1122_raw!AU41,0)</f>
        <v>0</v>
      </c>
      <c r="AV41" s="21">
        <f ca="1">IF(FIRE1122_raw!AV41="-","-",ROUND(FIRE1122_raw!AV41,0))</f>
        <v>34</v>
      </c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7" customFormat="1" ht="15" customHeight="1" x14ac:dyDescent="0.35">
      <c r="A42" s="2" t="s">
        <v>47</v>
      </c>
      <c r="B42" s="22">
        <f ca="1">ROUND(FIRE1122_raw!B42,0)</f>
        <v>0</v>
      </c>
      <c r="C42" s="22">
        <f ca="1">ROUND(FIRE1122_raw!C42,0)</f>
        <v>1</v>
      </c>
      <c r="D42" s="22">
        <f ca="1">ROUND(FIRE1122_raw!D42,0)</f>
        <v>3</v>
      </c>
      <c r="E42" s="22">
        <f ca="1">ROUND(FIRE1122_raw!E42,0)</f>
        <v>1</v>
      </c>
      <c r="F42" s="22">
        <f ca="1">ROUND(FIRE1122_raw!F42,0)</f>
        <v>0</v>
      </c>
      <c r="G42" s="22">
        <f ca="1">ROUND(FIRE1122_raw!G42,0)</f>
        <v>0</v>
      </c>
      <c r="H42" s="22">
        <f ca="1">IF(FIRE1122_raw!H42="-","-",ROUND(FIRE1122_raw!H42,0))</f>
        <v>40</v>
      </c>
      <c r="I42" s="22"/>
      <c r="J42" s="22">
        <f ca="1">ROUND(FIRE1122_raw!J42,0)</f>
        <v>5</v>
      </c>
      <c r="K42" s="22">
        <f ca="1">ROUND(FIRE1122_raw!K42,0)</f>
        <v>12</v>
      </c>
      <c r="L42" s="22">
        <f ca="1">ROUND(FIRE1122_raw!L42,0)</f>
        <v>9</v>
      </c>
      <c r="M42" s="22">
        <f ca="1">ROUND(FIRE1122_raw!M42,0)</f>
        <v>0</v>
      </c>
      <c r="N42" s="22">
        <f ca="1">ROUND(FIRE1122_raw!N42,0)</f>
        <v>0</v>
      </c>
      <c r="O42" s="22">
        <f ca="1">ROUND(FIRE1122_raw!O42,0)</f>
        <v>0</v>
      </c>
      <c r="P42" s="22">
        <f ca="1">IF(FIRE1122_raw!P42="-","-",ROUND(FIRE1122_raw!P42,0))</f>
        <v>32</v>
      </c>
      <c r="Q42" s="22"/>
      <c r="R42" s="21">
        <f ca="1">ROUND(FIRE1122_raw!R42,0)</f>
        <v>5</v>
      </c>
      <c r="S42" s="21">
        <f ca="1">ROUND(FIRE1122_raw!S42,0)</f>
        <v>13</v>
      </c>
      <c r="T42" s="21">
        <f ca="1">ROUND(FIRE1122_raw!T42,0)</f>
        <v>12</v>
      </c>
      <c r="U42" s="21">
        <f ca="1">ROUND(FIRE1122_raw!U42,0)</f>
        <v>1</v>
      </c>
      <c r="V42" s="21">
        <f ca="1">ROUND(FIRE1122_raw!V42,0)</f>
        <v>0</v>
      </c>
      <c r="W42" s="21">
        <f ca="1">ROUND(FIRE1122_raw!W42,0)</f>
        <v>0</v>
      </c>
      <c r="X42" s="21">
        <f ca="1">IF(FIRE1122_raw!X42="-","-",ROUND(FIRE1122_raw!X42,0))</f>
        <v>33</v>
      </c>
      <c r="Y42" s="22"/>
      <c r="Z42" s="22">
        <f ca="1">ROUND(FIRE1122_raw!Z42,0)</f>
        <v>0</v>
      </c>
      <c r="AA42" s="22">
        <f ca="1">ROUND(FIRE1122_raw!AA42,0)</f>
        <v>0</v>
      </c>
      <c r="AB42" s="22">
        <f ca="1">ROUND(FIRE1122_raw!AB42,0)</f>
        <v>1</v>
      </c>
      <c r="AC42" s="22">
        <f ca="1">ROUND(FIRE1122_raw!AC42,0)</f>
        <v>0</v>
      </c>
      <c r="AD42" s="22">
        <f ca="1">ROUND(FIRE1122_raw!AD42,0)</f>
        <v>0</v>
      </c>
      <c r="AE42" s="22">
        <f ca="1">ROUND(FIRE1122_raw!AE42,0)</f>
        <v>0</v>
      </c>
      <c r="AF42" s="22">
        <f ca="1">IF(FIRE1122_raw!AF42="-","-",ROUND(FIRE1122_raw!AF42,0))</f>
        <v>41</v>
      </c>
      <c r="AG42" s="22"/>
      <c r="AH42" s="22">
        <f ca="1">ROUND(FIRE1122_raw!AH42,0)</f>
        <v>2</v>
      </c>
      <c r="AI42" s="22">
        <f ca="1">ROUND(FIRE1122_raw!AI42,0)</f>
        <v>2</v>
      </c>
      <c r="AJ42" s="22">
        <f ca="1">ROUND(FIRE1122_raw!AJ42,0)</f>
        <v>3</v>
      </c>
      <c r="AK42" s="22">
        <f ca="1">ROUND(FIRE1122_raw!AK42,0)</f>
        <v>2</v>
      </c>
      <c r="AL42" s="22">
        <f ca="1">ROUND(FIRE1122_raw!AL42,0)</f>
        <v>0</v>
      </c>
      <c r="AM42" s="22">
        <f ca="1">ROUND(FIRE1122_raw!AM42,0)</f>
        <v>0</v>
      </c>
      <c r="AN42" s="22">
        <f ca="1">IF(FIRE1122_raw!AN42="-","-",ROUND(FIRE1122_raw!AN42,0))</f>
        <v>36</v>
      </c>
      <c r="AO42" s="22"/>
      <c r="AP42" s="21">
        <f ca="1">ROUND(FIRE1122_raw!AP42,0)</f>
        <v>7</v>
      </c>
      <c r="AQ42" s="21">
        <f ca="1">ROUND(FIRE1122_raw!AQ42,0)</f>
        <v>15</v>
      </c>
      <c r="AR42" s="21">
        <f ca="1">ROUND(FIRE1122_raw!AR42,0)</f>
        <v>16</v>
      </c>
      <c r="AS42" s="21">
        <f ca="1">ROUND(FIRE1122_raw!AS42,0)</f>
        <v>3</v>
      </c>
      <c r="AT42" s="21">
        <f ca="1">ROUND(FIRE1122_raw!AT42,0)</f>
        <v>0</v>
      </c>
      <c r="AU42" s="21">
        <f ca="1">ROUND(FIRE1122_raw!AU42,0)</f>
        <v>0</v>
      </c>
      <c r="AV42" s="21">
        <f ca="1">IF(FIRE1122_raw!AV42="-","-",ROUND(FIRE1122_raw!AV42,0))</f>
        <v>34</v>
      </c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15" customHeight="1" x14ac:dyDescent="0.35">
      <c r="A43" s="2" t="s">
        <v>48</v>
      </c>
      <c r="B43" s="22">
        <f ca="1">ROUND(FIRE1122_raw!B43,0)</f>
        <v>3</v>
      </c>
      <c r="C43" s="22">
        <f ca="1">ROUND(FIRE1122_raw!C43,0)</f>
        <v>4</v>
      </c>
      <c r="D43" s="22">
        <f ca="1">ROUND(FIRE1122_raw!D43,0)</f>
        <v>1</v>
      </c>
      <c r="E43" s="22">
        <f ca="1">ROUND(FIRE1122_raw!E43,0)</f>
        <v>0</v>
      </c>
      <c r="F43" s="22">
        <f ca="1">ROUND(FIRE1122_raw!F43,0)</f>
        <v>0</v>
      </c>
      <c r="G43" s="22">
        <f ca="1">ROUND(FIRE1122_raw!G43,0)</f>
        <v>0</v>
      </c>
      <c r="H43" s="22">
        <f ca="1">IF(FIRE1122_raw!H43="-","-",ROUND(FIRE1122_raw!H43,0))</f>
        <v>28</v>
      </c>
      <c r="I43" s="22"/>
      <c r="J43" s="22">
        <f ca="1">ROUND(FIRE1122_raw!J43,0)</f>
        <v>4</v>
      </c>
      <c r="K43" s="22">
        <f ca="1">ROUND(FIRE1122_raw!K43,0)</f>
        <v>10</v>
      </c>
      <c r="L43" s="22">
        <f ca="1">ROUND(FIRE1122_raw!L43,0)</f>
        <v>2</v>
      </c>
      <c r="M43" s="22">
        <f ca="1">ROUND(FIRE1122_raw!M43,0)</f>
        <v>0</v>
      </c>
      <c r="N43" s="22">
        <f ca="1">ROUND(FIRE1122_raw!N43,0)</f>
        <v>0</v>
      </c>
      <c r="O43" s="22">
        <f ca="1">ROUND(FIRE1122_raw!O43,0)</f>
        <v>0</v>
      </c>
      <c r="P43" s="22">
        <f ca="1">IF(FIRE1122_raw!P43="-","-",ROUND(FIRE1122_raw!P43,0))</f>
        <v>29</v>
      </c>
      <c r="Q43" s="22"/>
      <c r="R43" s="21">
        <f ca="1">ROUND(FIRE1122_raw!R43,0)</f>
        <v>7</v>
      </c>
      <c r="S43" s="21">
        <f ca="1">ROUND(FIRE1122_raw!S43,0)</f>
        <v>14</v>
      </c>
      <c r="T43" s="21">
        <f ca="1">ROUND(FIRE1122_raw!T43,0)</f>
        <v>3</v>
      </c>
      <c r="U43" s="21">
        <f ca="1">ROUND(FIRE1122_raw!U43,0)</f>
        <v>0</v>
      </c>
      <c r="V43" s="21">
        <f ca="1">ROUND(FIRE1122_raw!V43,0)</f>
        <v>0</v>
      </c>
      <c r="W43" s="21">
        <f ca="1">ROUND(FIRE1122_raw!W43,0)</f>
        <v>0</v>
      </c>
      <c r="X43" s="21">
        <f ca="1">IF(FIRE1122_raw!X43="-","-",ROUND(FIRE1122_raw!X43,0))</f>
        <v>28</v>
      </c>
      <c r="Y43" s="22"/>
      <c r="Z43" s="22">
        <f ca="1">ROUND(FIRE1122_raw!Z43,0)</f>
        <v>0</v>
      </c>
      <c r="AA43" s="22">
        <f ca="1">ROUND(FIRE1122_raw!AA43,0)</f>
        <v>0</v>
      </c>
      <c r="AB43" s="22">
        <f ca="1">ROUND(FIRE1122_raw!AB43,0)</f>
        <v>0</v>
      </c>
      <c r="AC43" s="22">
        <f ca="1">ROUND(FIRE1122_raw!AC43,0)</f>
        <v>0</v>
      </c>
      <c r="AD43" s="22">
        <f ca="1">ROUND(FIRE1122_raw!AD43,0)</f>
        <v>0</v>
      </c>
      <c r="AE43" s="22">
        <f ca="1">ROUND(FIRE1122_raw!AE43,0)</f>
        <v>0</v>
      </c>
      <c r="AF43" s="22" t="str">
        <f ca="1">IF(FIRE1122_raw!AF43="-","-",ROUND(FIRE1122_raw!AF43,0))</f>
        <v>-</v>
      </c>
      <c r="AG43" s="22"/>
      <c r="AH43" s="22">
        <f ca="1">ROUND(FIRE1122_raw!AH43,0)</f>
        <v>1</v>
      </c>
      <c r="AI43" s="22">
        <f ca="1">ROUND(FIRE1122_raw!AI43,0)</f>
        <v>3</v>
      </c>
      <c r="AJ43" s="22">
        <f ca="1">ROUND(FIRE1122_raw!AJ43,0)</f>
        <v>3</v>
      </c>
      <c r="AK43" s="22">
        <f ca="1">ROUND(FIRE1122_raw!AK43,0)</f>
        <v>3</v>
      </c>
      <c r="AL43" s="22">
        <f ca="1">ROUND(FIRE1122_raw!AL43,0)</f>
        <v>0</v>
      </c>
      <c r="AM43" s="22">
        <f ca="1">ROUND(FIRE1122_raw!AM43,0)</f>
        <v>0</v>
      </c>
      <c r="AN43" s="22">
        <f ca="1">IF(FIRE1122_raw!AN43="-","-",ROUND(FIRE1122_raw!AN43,0))</f>
        <v>38</v>
      </c>
      <c r="AO43" s="22"/>
      <c r="AP43" s="21">
        <f ca="1">ROUND(FIRE1122_raw!AP43,0)</f>
        <v>8</v>
      </c>
      <c r="AQ43" s="21">
        <f ca="1">ROUND(FIRE1122_raw!AQ43,0)</f>
        <v>17</v>
      </c>
      <c r="AR43" s="21">
        <f ca="1">ROUND(FIRE1122_raw!AR43,0)</f>
        <v>6</v>
      </c>
      <c r="AS43" s="21">
        <f ca="1">ROUND(FIRE1122_raw!AS43,0)</f>
        <v>3</v>
      </c>
      <c r="AT43" s="21">
        <f ca="1">ROUND(FIRE1122_raw!AT43,0)</f>
        <v>0</v>
      </c>
      <c r="AU43" s="21">
        <f ca="1">ROUND(FIRE1122_raw!AU43,0)</f>
        <v>0</v>
      </c>
      <c r="AV43" s="21">
        <f ca="1">IF(FIRE1122_raw!AV43="-","-",ROUND(FIRE1122_raw!AV43,0))</f>
        <v>31</v>
      </c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7" customFormat="1" ht="15" customHeight="1" x14ac:dyDescent="0.35">
      <c r="A44" s="2" t="s">
        <v>49</v>
      </c>
      <c r="B44" s="22">
        <f ca="1">ROUND(FIRE1122_raw!B44,0)</f>
        <v>0</v>
      </c>
      <c r="C44" s="22">
        <f ca="1">ROUND(FIRE1122_raw!C44,0)</f>
        <v>1</v>
      </c>
      <c r="D44" s="22">
        <f ca="1">ROUND(FIRE1122_raw!D44,0)</f>
        <v>1</v>
      </c>
      <c r="E44" s="22">
        <f ca="1">ROUND(FIRE1122_raw!E44,0)</f>
        <v>0</v>
      </c>
      <c r="F44" s="22">
        <f ca="1">ROUND(FIRE1122_raw!F44,0)</f>
        <v>0</v>
      </c>
      <c r="G44" s="22">
        <f ca="1">ROUND(FIRE1122_raw!G44,0)</f>
        <v>0</v>
      </c>
      <c r="H44" s="22">
        <f ca="1">IF(FIRE1122_raw!H44="-","-",ROUND(FIRE1122_raw!H44,0))</f>
        <v>35</v>
      </c>
      <c r="I44" s="22"/>
      <c r="J44" s="22">
        <f ca="1">ROUND(FIRE1122_raw!J44,0)</f>
        <v>10</v>
      </c>
      <c r="K44" s="22">
        <f ca="1">ROUND(FIRE1122_raw!K44,0)</f>
        <v>20</v>
      </c>
      <c r="L44" s="22">
        <f ca="1">ROUND(FIRE1122_raw!L44,0)</f>
        <v>13</v>
      </c>
      <c r="M44" s="22">
        <f ca="1">ROUND(FIRE1122_raw!M44,0)</f>
        <v>6</v>
      </c>
      <c r="N44" s="22">
        <f ca="1">ROUND(FIRE1122_raw!N44,0)</f>
        <v>0</v>
      </c>
      <c r="O44" s="22">
        <f ca="1">ROUND(FIRE1122_raw!O44,0)</f>
        <v>0</v>
      </c>
      <c r="P44" s="22">
        <f ca="1">IF(FIRE1122_raw!P44="-","-",ROUND(FIRE1122_raw!P44,0))</f>
        <v>33</v>
      </c>
      <c r="Q44" s="22"/>
      <c r="R44" s="21">
        <f ca="1">ROUND(FIRE1122_raw!R44,0)</f>
        <v>10</v>
      </c>
      <c r="S44" s="21">
        <f ca="1">ROUND(FIRE1122_raw!S44,0)</f>
        <v>21</v>
      </c>
      <c r="T44" s="21">
        <f ca="1">ROUND(FIRE1122_raw!T44,0)</f>
        <v>14</v>
      </c>
      <c r="U44" s="21">
        <f ca="1">ROUND(FIRE1122_raw!U44,0)</f>
        <v>6</v>
      </c>
      <c r="V44" s="21">
        <f ca="1">ROUND(FIRE1122_raw!V44,0)</f>
        <v>0</v>
      </c>
      <c r="W44" s="21">
        <f ca="1">ROUND(FIRE1122_raw!W44,0)</f>
        <v>0</v>
      </c>
      <c r="X44" s="21">
        <f ca="1">IF(FIRE1122_raw!X44="-","-",ROUND(FIRE1122_raw!X44,0))</f>
        <v>33</v>
      </c>
      <c r="Y44" s="22"/>
      <c r="Z44" s="22">
        <f ca="1">ROUND(FIRE1122_raw!Z44,0)</f>
        <v>0</v>
      </c>
      <c r="AA44" s="22">
        <f ca="1">ROUND(FIRE1122_raw!AA44,0)</f>
        <v>0</v>
      </c>
      <c r="AB44" s="22">
        <f ca="1">ROUND(FIRE1122_raw!AB44,0)</f>
        <v>0</v>
      </c>
      <c r="AC44" s="22">
        <f ca="1">ROUND(FIRE1122_raw!AC44,0)</f>
        <v>0</v>
      </c>
      <c r="AD44" s="22">
        <f ca="1">ROUND(FIRE1122_raw!AD44,0)</f>
        <v>0</v>
      </c>
      <c r="AE44" s="22">
        <f ca="1">ROUND(FIRE1122_raw!AE44,0)</f>
        <v>0</v>
      </c>
      <c r="AF44" s="22" t="str">
        <f ca="1">IF(FIRE1122_raw!AF44="-","-",ROUND(FIRE1122_raw!AF44,0))</f>
        <v>-</v>
      </c>
      <c r="AG44" s="22"/>
      <c r="AH44" s="22">
        <f ca="1">ROUND(FIRE1122_raw!AH44,0)</f>
        <v>1</v>
      </c>
      <c r="AI44" s="22">
        <f ca="1">ROUND(FIRE1122_raw!AI44,0)</f>
        <v>3</v>
      </c>
      <c r="AJ44" s="22">
        <f ca="1">ROUND(FIRE1122_raw!AJ44,0)</f>
        <v>0</v>
      </c>
      <c r="AK44" s="22">
        <f ca="1">ROUND(FIRE1122_raw!AK44,0)</f>
        <v>1</v>
      </c>
      <c r="AL44" s="22">
        <f ca="1">ROUND(FIRE1122_raw!AL44,0)</f>
        <v>1</v>
      </c>
      <c r="AM44" s="22">
        <f ca="1">ROUND(FIRE1122_raw!AM44,0)</f>
        <v>0</v>
      </c>
      <c r="AN44" s="22">
        <f ca="1">IF(FIRE1122_raw!AN44="-","-",ROUND(FIRE1122_raw!AN44,0))</f>
        <v>36</v>
      </c>
      <c r="AO44" s="22"/>
      <c r="AP44" s="21">
        <f ca="1">ROUND(FIRE1122_raw!AP44,0)</f>
        <v>11</v>
      </c>
      <c r="AQ44" s="21">
        <f ca="1">ROUND(FIRE1122_raw!AQ44,0)</f>
        <v>24</v>
      </c>
      <c r="AR44" s="21">
        <f ca="1">ROUND(FIRE1122_raw!AR44,0)</f>
        <v>14</v>
      </c>
      <c r="AS44" s="21">
        <f ca="1">ROUND(FIRE1122_raw!AS44,0)</f>
        <v>7</v>
      </c>
      <c r="AT44" s="21">
        <f ca="1">ROUND(FIRE1122_raw!AT44,0)</f>
        <v>1</v>
      </c>
      <c r="AU44" s="21">
        <f ca="1">ROUND(FIRE1122_raw!AU44,0)</f>
        <v>0</v>
      </c>
      <c r="AV44" s="21">
        <f ca="1">IF(FIRE1122_raw!AV44="-","-",ROUND(FIRE1122_raw!AV44,0))</f>
        <v>34</v>
      </c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7" customFormat="1" ht="15" customHeight="1" x14ac:dyDescent="0.35">
      <c r="A45" s="2" t="s">
        <v>50</v>
      </c>
      <c r="B45" s="22">
        <f ca="1">ROUND(FIRE1122_raw!B45,0)</f>
        <v>1</v>
      </c>
      <c r="C45" s="22">
        <f ca="1">ROUND(FIRE1122_raw!C45,0)</f>
        <v>2</v>
      </c>
      <c r="D45" s="22">
        <f ca="1">ROUND(FIRE1122_raw!D45,0)</f>
        <v>2</v>
      </c>
      <c r="E45" s="22">
        <f ca="1">ROUND(FIRE1122_raw!E45,0)</f>
        <v>2</v>
      </c>
      <c r="F45" s="22">
        <f ca="1">ROUND(FIRE1122_raw!F45,0)</f>
        <v>1</v>
      </c>
      <c r="G45" s="22">
        <f ca="1">ROUND(FIRE1122_raw!G45,0)</f>
        <v>0</v>
      </c>
      <c r="H45" s="22">
        <f ca="1">IF(FIRE1122_raw!H45="-","-",ROUND(FIRE1122_raw!H45,0))</f>
        <v>40</v>
      </c>
      <c r="I45" s="22"/>
      <c r="J45" s="22">
        <f ca="1">ROUND(FIRE1122_raw!J45,0)</f>
        <v>3</v>
      </c>
      <c r="K45" s="22">
        <f ca="1">ROUND(FIRE1122_raw!K45,0)</f>
        <v>0</v>
      </c>
      <c r="L45" s="22">
        <f ca="1">ROUND(FIRE1122_raw!L45,0)</f>
        <v>2</v>
      </c>
      <c r="M45" s="22">
        <f ca="1">ROUND(FIRE1122_raw!M45,0)</f>
        <v>3</v>
      </c>
      <c r="N45" s="22">
        <f ca="1">ROUND(FIRE1122_raw!N45,0)</f>
        <v>1</v>
      </c>
      <c r="O45" s="22">
        <f ca="1">ROUND(FIRE1122_raw!O45,0)</f>
        <v>0</v>
      </c>
      <c r="P45" s="22">
        <f ca="1">IF(FIRE1122_raw!P45="-","-",ROUND(FIRE1122_raw!P45,0))</f>
        <v>39</v>
      </c>
      <c r="Q45" s="22"/>
      <c r="R45" s="21">
        <f ca="1">ROUND(FIRE1122_raw!R45,0)</f>
        <v>4</v>
      </c>
      <c r="S45" s="21">
        <f ca="1">ROUND(FIRE1122_raw!S45,0)</f>
        <v>2</v>
      </c>
      <c r="T45" s="21">
        <f ca="1">ROUND(FIRE1122_raw!T45,0)</f>
        <v>4</v>
      </c>
      <c r="U45" s="21">
        <f ca="1">ROUND(FIRE1122_raw!U45,0)</f>
        <v>5</v>
      </c>
      <c r="V45" s="21">
        <f ca="1">ROUND(FIRE1122_raw!V45,0)</f>
        <v>2</v>
      </c>
      <c r="W45" s="21">
        <f ca="1">ROUND(FIRE1122_raw!W45,0)</f>
        <v>0</v>
      </c>
      <c r="X45" s="21">
        <f ca="1">IF(FIRE1122_raw!X45="-","-",ROUND(FIRE1122_raw!X45,0))</f>
        <v>39</v>
      </c>
      <c r="Y45" s="22"/>
      <c r="Z45" s="22">
        <f ca="1">ROUND(FIRE1122_raw!Z45,0)</f>
        <v>1</v>
      </c>
      <c r="AA45" s="22">
        <f ca="1">ROUND(FIRE1122_raw!AA45,0)</f>
        <v>2</v>
      </c>
      <c r="AB45" s="22">
        <f ca="1">ROUND(FIRE1122_raw!AB45,0)</f>
        <v>0</v>
      </c>
      <c r="AC45" s="22">
        <f ca="1">ROUND(FIRE1122_raw!AC45,0)</f>
        <v>0</v>
      </c>
      <c r="AD45" s="22">
        <f ca="1">ROUND(FIRE1122_raw!AD45,0)</f>
        <v>0</v>
      </c>
      <c r="AE45" s="22">
        <f ca="1">ROUND(FIRE1122_raw!AE45,0)</f>
        <v>0</v>
      </c>
      <c r="AF45" s="22">
        <f ca="1">IF(FIRE1122_raw!AF45="-","-",ROUND(FIRE1122_raw!AF45,0))</f>
        <v>27</v>
      </c>
      <c r="AG45" s="22"/>
      <c r="AH45" s="22">
        <f ca="1">ROUND(FIRE1122_raw!AH45,0)</f>
        <v>0</v>
      </c>
      <c r="AI45" s="22">
        <f ca="1">ROUND(FIRE1122_raw!AI45,0)</f>
        <v>0</v>
      </c>
      <c r="AJ45" s="22">
        <f ca="1">ROUND(FIRE1122_raw!AJ45,0)</f>
        <v>0</v>
      </c>
      <c r="AK45" s="22">
        <f ca="1">ROUND(FIRE1122_raw!AK45,0)</f>
        <v>1</v>
      </c>
      <c r="AL45" s="22">
        <f ca="1">ROUND(FIRE1122_raw!AL45,0)</f>
        <v>0</v>
      </c>
      <c r="AM45" s="22">
        <f ca="1">ROUND(FIRE1122_raw!AM45,0)</f>
        <v>0</v>
      </c>
      <c r="AN45" s="22">
        <f ca="1">IF(FIRE1122_raw!AN45="-","-",ROUND(FIRE1122_raw!AN45,0))</f>
        <v>51</v>
      </c>
      <c r="AO45" s="22"/>
      <c r="AP45" s="21">
        <f ca="1">ROUND(FIRE1122_raw!AP45,0)</f>
        <v>5</v>
      </c>
      <c r="AQ45" s="21">
        <f ca="1">ROUND(FIRE1122_raw!AQ45,0)</f>
        <v>4</v>
      </c>
      <c r="AR45" s="21">
        <f ca="1">ROUND(FIRE1122_raw!AR45,0)</f>
        <v>4</v>
      </c>
      <c r="AS45" s="21">
        <f ca="1">ROUND(FIRE1122_raw!AS45,0)</f>
        <v>6</v>
      </c>
      <c r="AT45" s="21">
        <f ca="1">ROUND(FIRE1122_raw!AT45,0)</f>
        <v>2</v>
      </c>
      <c r="AU45" s="21">
        <f ca="1">ROUND(FIRE1122_raw!AU45,0)</f>
        <v>0</v>
      </c>
      <c r="AV45" s="21">
        <f ca="1">IF(FIRE1122_raw!AV45="-","-",ROUND(FIRE1122_raw!AV45,0))</f>
        <v>38</v>
      </c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15" customHeight="1" x14ac:dyDescent="0.35">
      <c r="A46" s="2" t="s">
        <v>51</v>
      </c>
      <c r="B46" s="22">
        <f ca="1">ROUND(FIRE1122_raw!B46,0)</f>
        <v>3</v>
      </c>
      <c r="C46" s="22">
        <f ca="1">ROUND(FIRE1122_raw!C46,0)</f>
        <v>19</v>
      </c>
      <c r="D46" s="22">
        <f ca="1">ROUND(FIRE1122_raw!D46,0)</f>
        <v>5</v>
      </c>
      <c r="E46" s="22">
        <f ca="1">ROUND(FIRE1122_raw!E46,0)</f>
        <v>3</v>
      </c>
      <c r="F46" s="22">
        <f ca="1">ROUND(FIRE1122_raw!F46,0)</f>
        <v>1</v>
      </c>
      <c r="G46" s="22">
        <f ca="1">ROUND(FIRE1122_raw!G46,0)</f>
        <v>0</v>
      </c>
      <c r="H46" s="22">
        <f ca="1">IF(FIRE1122_raw!H46="-","-",ROUND(FIRE1122_raw!H46,0))</f>
        <v>34</v>
      </c>
      <c r="I46" s="22"/>
      <c r="J46" s="22">
        <f ca="1">ROUND(FIRE1122_raw!J46,0)</f>
        <v>3</v>
      </c>
      <c r="K46" s="22">
        <f ca="1">ROUND(FIRE1122_raw!K46,0)</f>
        <v>11</v>
      </c>
      <c r="L46" s="22">
        <f ca="1">ROUND(FIRE1122_raw!L46,0)</f>
        <v>2</v>
      </c>
      <c r="M46" s="22">
        <f ca="1">ROUND(FIRE1122_raw!M46,0)</f>
        <v>4</v>
      </c>
      <c r="N46" s="22">
        <f ca="1">ROUND(FIRE1122_raw!N46,0)</f>
        <v>0</v>
      </c>
      <c r="O46" s="22">
        <f ca="1">ROUND(FIRE1122_raw!O46,0)</f>
        <v>0</v>
      </c>
      <c r="P46" s="22">
        <f ca="1">IF(FIRE1122_raw!P46="-","-",ROUND(FIRE1122_raw!P46,0))</f>
        <v>34</v>
      </c>
      <c r="Q46" s="22"/>
      <c r="R46" s="21">
        <f ca="1">ROUND(FIRE1122_raw!R46,0)</f>
        <v>6</v>
      </c>
      <c r="S46" s="21">
        <f ca="1">ROUND(FIRE1122_raw!S46,0)</f>
        <v>30</v>
      </c>
      <c r="T46" s="21">
        <f ca="1">ROUND(FIRE1122_raw!T46,0)</f>
        <v>7</v>
      </c>
      <c r="U46" s="21">
        <f ca="1">ROUND(FIRE1122_raw!U46,0)</f>
        <v>7</v>
      </c>
      <c r="V46" s="21">
        <f ca="1">ROUND(FIRE1122_raw!V46,0)</f>
        <v>1</v>
      </c>
      <c r="W46" s="21">
        <f ca="1">ROUND(FIRE1122_raw!W46,0)</f>
        <v>0</v>
      </c>
      <c r="X46" s="21">
        <f ca="1">IF(FIRE1122_raw!X46="-","-",ROUND(FIRE1122_raw!X46,0))</f>
        <v>34</v>
      </c>
      <c r="Y46" s="22"/>
      <c r="Z46" s="22">
        <f ca="1">ROUND(FIRE1122_raw!Z46,0)</f>
        <v>0</v>
      </c>
      <c r="AA46" s="22">
        <f ca="1">ROUND(FIRE1122_raw!AA46,0)</f>
        <v>2</v>
      </c>
      <c r="AB46" s="22">
        <f ca="1">ROUND(FIRE1122_raw!AB46,0)</f>
        <v>0</v>
      </c>
      <c r="AC46" s="22">
        <f ca="1">ROUND(FIRE1122_raw!AC46,0)</f>
        <v>1</v>
      </c>
      <c r="AD46" s="22">
        <f ca="1">ROUND(FIRE1122_raw!AD46,0)</f>
        <v>0</v>
      </c>
      <c r="AE46" s="22">
        <f ca="1">ROUND(FIRE1122_raw!AE46,0)</f>
        <v>0</v>
      </c>
      <c r="AF46" s="22">
        <f ca="1">IF(FIRE1122_raw!AF46="-","-",ROUND(FIRE1122_raw!AF46,0))</f>
        <v>37</v>
      </c>
      <c r="AG46" s="22"/>
      <c r="AH46" s="22">
        <f ca="1">ROUND(FIRE1122_raw!AH46,0)</f>
        <v>1</v>
      </c>
      <c r="AI46" s="22">
        <f ca="1">ROUND(FIRE1122_raw!AI46,0)</f>
        <v>5</v>
      </c>
      <c r="AJ46" s="22">
        <f ca="1">ROUND(FIRE1122_raw!AJ46,0)</f>
        <v>9</v>
      </c>
      <c r="AK46" s="22">
        <f ca="1">ROUND(FIRE1122_raw!AK46,0)</f>
        <v>3</v>
      </c>
      <c r="AL46" s="22">
        <f ca="1">ROUND(FIRE1122_raw!AL46,0)</f>
        <v>2</v>
      </c>
      <c r="AM46" s="22">
        <f ca="1">ROUND(FIRE1122_raw!AM46,0)</f>
        <v>0</v>
      </c>
      <c r="AN46" s="22">
        <f ca="1">IF(FIRE1122_raw!AN46="-","-",ROUND(FIRE1122_raw!AN46,0))</f>
        <v>40</v>
      </c>
      <c r="AO46" s="22"/>
      <c r="AP46" s="21">
        <f ca="1">ROUND(FIRE1122_raw!AP46,0)</f>
        <v>7</v>
      </c>
      <c r="AQ46" s="21">
        <f ca="1">ROUND(FIRE1122_raw!AQ46,0)</f>
        <v>37</v>
      </c>
      <c r="AR46" s="21">
        <f ca="1">ROUND(FIRE1122_raw!AR46,0)</f>
        <v>16</v>
      </c>
      <c r="AS46" s="21">
        <f ca="1">ROUND(FIRE1122_raw!AS46,0)</f>
        <v>11</v>
      </c>
      <c r="AT46" s="21">
        <f ca="1">ROUND(FIRE1122_raw!AT46,0)</f>
        <v>3</v>
      </c>
      <c r="AU46" s="21">
        <f ca="1">ROUND(FIRE1122_raw!AU46,0)</f>
        <v>0</v>
      </c>
      <c r="AV46" s="21">
        <f ca="1">IF(FIRE1122_raw!AV46="-","-",ROUND(FIRE1122_raw!AV46,0))</f>
        <v>35</v>
      </c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7" customFormat="1" ht="15" customHeight="1" x14ac:dyDescent="0.35">
      <c r="A47" s="2" t="s">
        <v>52</v>
      </c>
      <c r="B47" s="22">
        <f ca="1">ROUND(FIRE1122_raw!B47,0)</f>
        <v>4</v>
      </c>
      <c r="C47" s="22">
        <f ca="1">ROUND(FIRE1122_raw!C47,0)</f>
        <v>16</v>
      </c>
      <c r="D47" s="22">
        <f ca="1">ROUND(FIRE1122_raw!D47,0)</f>
        <v>4</v>
      </c>
      <c r="E47" s="22">
        <f ca="1">ROUND(FIRE1122_raw!E47,0)</f>
        <v>0</v>
      </c>
      <c r="F47" s="22">
        <f ca="1">ROUND(FIRE1122_raw!F47,0)</f>
        <v>0</v>
      </c>
      <c r="G47" s="22">
        <f ca="1">ROUND(FIRE1122_raw!G47,0)</f>
        <v>0</v>
      </c>
      <c r="H47" s="22">
        <f ca="1">IF(FIRE1122_raw!H47="-","-",ROUND(FIRE1122_raw!H47,0))</f>
        <v>30</v>
      </c>
      <c r="I47" s="22"/>
      <c r="J47" s="22">
        <f ca="1">ROUND(FIRE1122_raw!J47,0)</f>
        <v>19</v>
      </c>
      <c r="K47" s="22">
        <f ca="1">ROUND(FIRE1122_raw!K47,0)</f>
        <v>20</v>
      </c>
      <c r="L47" s="22">
        <f ca="1">ROUND(FIRE1122_raw!L47,0)</f>
        <v>5</v>
      </c>
      <c r="M47" s="22">
        <f ca="1">ROUND(FIRE1122_raw!M47,0)</f>
        <v>1</v>
      </c>
      <c r="N47" s="22">
        <f ca="1">ROUND(FIRE1122_raw!N47,0)</f>
        <v>0</v>
      </c>
      <c r="O47" s="22">
        <f ca="1">ROUND(FIRE1122_raw!O47,0)</f>
        <v>2</v>
      </c>
      <c r="P47" s="22">
        <f ca="1">IF(FIRE1122_raw!P47="-","-",ROUND(FIRE1122_raw!P47,0))</f>
        <v>27</v>
      </c>
      <c r="Q47" s="22"/>
      <c r="R47" s="21">
        <f ca="1">ROUND(FIRE1122_raw!R47,0)</f>
        <v>23</v>
      </c>
      <c r="S47" s="21">
        <f ca="1">ROUND(FIRE1122_raw!S47,0)</f>
        <v>36</v>
      </c>
      <c r="T47" s="21">
        <f ca="1">ROUND(FIRE1122_raw!T47,0)</f>
        <v>9</v>
      </c>
      <c r="U47" s="21">
        <f ca="1">ROUND(FIRE1122_raw!U47,0)</f>
        <v>1</v>
      </c>
      <c r="V47" s="21">
        <f ca="1">ROUND(FIRE1122_raw!V47,0)</f>
        <v>0</v>
      </c>
      <c r="W47" s="21">
        <f ca="1">ROUND(FIRE1122_raw!W47,0)</f>
        <v>2</v>
      </c>
      <c r="X47" s="21">
        <f ca="1">IF(FIRE1122_raw!X47="-","-",ROUND(FIRE1122_raw!X47,0))</f>
        <v>28</v>
      </c>
      <c r="Y47" s="22"/>
      <c r="Z47" s="22">
        <f ca="1">ROUND(FIRE1122_raw!Z47,0)</f>
        <v>0</v>
      </c>
      <c r="AA47" s="22">
        <f ca="1">ROUND(FIRE1122_raw!AA47,0)</f>
        <v>0</v>
      </c>
      <c r="AB47" s="22">
        <f ca="1">ROUND(FIRE1122_raw!AB47,0)</f>
        <v>0</v>
      </c>
      <c r="AC47" s="22">
        <f ca="1">ROUND(FIRE1122_raw!AC47,0)</f>
        <v>0</v>
      </c>
      <c r="AD47" s="22">
        <f ca="1">ROUND(FIRE1122_raw!AD47,0)</f>
        <v>0</v>
      </c>
      <c r="AE47" s="22">
        <f ca="1">ROUND(FIRE1122_raw!AE47,0)</f>
        <v>0</v>
      </c>
      <c r="AF47" s="22" t="str">
        <f ca="1">IF(FIRE1122_raw!AF47="-","-",ROUND(FIRE1122_raw!AF47,0))</f>
        <v>-</v>
      </c>
      <c r="AG47" s="22"/>
      <c r="AH47" s="22">
        <f ca="1">ROUND(FIRE1122_raw!AH47,0)</f>
        <v>1</v>
      </c>
      <c r="AI47" s="22">
        <f ca="1">ROUND(FIRE1122_raw!AI47,0)</f>
        <v>1</v>
      </c>
      <c r="AJ47" s="22">
        <f ca="1">ROUND(FIRE1122_raw!AJ47,0)</f>
        <v>2</v>
      </c>
      <c r="AK47" s="22">
        <f ca="1">ROUND(FIRE1122_raw!AK47,0)</f>
        <v>2</v>
      </c>
      <c r="AL47" s="22">
        <f ca="1">ROUND(FIRE1122_raw!AL47,0)</f>
        <v>4</v>
      </c>
      <c r="AM47" s="22">
        <f ca="1">ROUND(FIRE1122_raw!AM47,0)</f>
        <v>0</v>
      </c>
      <c r="AN47" s="22">
        <f ca="1">IF(FIRE1122_raw!AN47="-","-",ROUND(FIRE1122_raw!AN47,0))</f>
        <v>46</v>
      </c>
      <c r="AO47" s="22"/>
      <c r="AP47" s="21">
        <f ca="1">ROUND(FIRE1122_raw!AP47,0)</f>
        <v>24</v>
      </c>
      <c r="AQ47" s="21">
        <f ca="1">ROUND(FIRE1122_raw!AQ47,0)</f>
        <v>37</v>
      </c>
      <c r="AR47" s="21">
        <f ca="1">ROUND(FIRE1122_raw!AR47,0)</f>
        <v>11</v>
      </c>
      <c r="AS47" s="21">
        <f ca="1">ROUND(FIRE1122_raw!AS47,0)</f>
        <v>3</v>
      </c>
      <c r="AT47" s="21">
        <f ca="1">ROUND(FIRE1122_raw!AT47,0)</f>
        <v>4</v>
      </c>
      <c r="AU47" s="21">
        <f ca="1">ROUND(FIRE1122_raw!AU47,0)</f>
        <v>2</v>
      </c>
      <c r="AV47" s="21">
        <f ca="1">IF(FIRE1122_raw!AV47="-","-",ROUND(FIRE1122_raw!AV47,0))</f>
        <v>31</v>
      </c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7" customFormat="1" ht="15" customHeight="1" x14ac:dyDescent="0.35">
      <c r="A48" s="2" t="s">
        <v>53</v>
      </c>
      <c r="B48" s="22">
        <f ca="1">ROUND(FIRE1122_raw!B48,0)</f>
        <v>0</v>
      </c>
      <c r="C48" s="22">
        <f ca="1">ROUND(FIRE1122_raw!C48,0)</f>
        <v>0</v>
      </c>
      <c r="D48" s="22">
        <f ca="1">ROUND(FIRE1122_raw!D48,0)</f>
        <v>0</v>
      </c>
      <c r="E48" s="22">
        <f ca="1">ROUND(FIRE1122_raw!E48,0)</f>
        <v>0</v>
      </c>
      <c r="F48" s="22">
        <f ca="1">ROUND(FIRE1122_raw!F48,0)</f>
        <v>0</v>
      </c>
      <c r="G48" s="22">
        <f ca="1">ROUND(FIRE1122_raw!G48,0)</f>
        <v>0</v>
      </c>
      <c r="H48" s="22" t="str">
        <f ca="1">IF(FIRE1122_raw!H48="-","-",ROUND(FIRE1122_raw!H48,0))</f>
        <v>-</v>
      </c>
      <c r="I48" s="22"/>
      <c r="J48" s="22">
        <f ca="1">ROUND(FIRE1122_raw!J48,0)</f>
        <v>0</v>
      </c>
      <c r="K48" s="22">
        <f ca="1">ROUND(FIRE1122_raw!K48,0)</f>
        <v>1</v>
      </c>
      <c r="L48" s="22">
        <f ca="1">ROUND(FIRE1122_raw!L48,0)</f>
        <v>1</v>
      </c>
      <c r="M48" s="22">
        <f ca="1">ROUND(FIRE1122_raw!M48,0)</f>
        <v>0</v>
      </c>
      <c r="N48" s="22">
        <f ca="1">ROUND(FIRE1122_raw!N48,0)</f>
        <v>0</v>
      </c>
      <c r="O48" s="22">
        <f ca="1">ROUND(FIRE1122_raw!O48,0)</f>
        <v>0</v>
      </c>
      <c r="P48" s="22">
        <f ca="1">IF(FIRE1122_raw!P48="-","-",ROUND(FIRE1122_raw!P48,0))</f>
        <v>35</v>
      </c>
      <c r="Q48" s="22"/>
      <c r="R48" s="21">
        <f ca="1">ROUND(FIRE1122_raw!R48,0)</f>
        <v>0</v>
      </c>
      <c r="S48" s="21">
        <f ca="1">ROUND(FIRE1122_raw!S48,0)</f>
        <v>1</v>
      </c>
      <c r="T48" s="21">
        <f ca="1">ROUND(FIRE1122_raw!T48,0)</f>
        <v>1</v>
      </c>
      <c r="U48" s="21">
        <f ca="1">ROUND(FIRE1122_raw!U48,0)</f>
        <v>0</v>
      </c>
      <c r="V48" s="21">
        <f ca="1">ROUND(FIRE1122_raw!V48,0)</f>
        <v>0</v>
      </c>
      <c r="W48" s="21">
        <f ca="1">ROUND(FIRE1122_raw!W48,0)</f>
        <v>0</v>
      </c>
      <c r="X48" s="21">
        <f ca="1">IF(FIRE1122_raw!X48="-","-",ROUND(FIRE1122_raw!X48,0))</f>
        <v>35</v>
      </c>
      <c r="Y48" s="22"/>
      <c r="Z48" s="22">
        <f ca="1">ROUND(FIRE1122_raw!Z48,0)</f>
        <v>0</v>
      </c>
      <c r="AA48" s="22">
        <f ca="1">ROUND(FIRE1122_raw!AA48,0)</f>
        <v>0</v>
      </c>
      <c r="AB48" s="22">
        <f ca="1">ROUND(FIRE1122_raw!AB48,0)</f>
        <v>0</v>
      </c>
      <c r="AC48" s="22">
        <f ca="1">ROUND(FIRE1122_raw!AC48,0)</f>
        <v>0</v>
      </c>
      <c r="AD48" s="22">
        <f ca="1">ROUND(FIRE1122_raw!AD48,0)</f>
        <v>0</v>
      </c>
      <c r="AE48" s="22">
        <f ca="1">ROUND(FIRE1122_raw!AE48,0)</f>
        <v>0</v>
      </c>
      <c r="AF48" s="22" t="str">
        <f ca="1">IF(FIRE1122_raw!AF48="-","-",ROUND(FIRE1122_raw!AF48,0))</f>
        <v>-</v>
      </c>
      <c r="AG48" s="22"/>
      <c r="AH48" s="22">
        <f ca="1">ROUND(FIRE1122_raw!AH48,0)</f>
        <v>0</v>
      </c>
      <c r="AI48" s="22">
        <f ca="1">ROUND(FIRE1122_raw!AI48,0)</f>
        <v>0</v>
      </c>
      <c r="AJ48" s="22">
        <f ca="1">ROUND(FIRE1122_raw!AJ48,0)</f>
        <v>0</v>
      </c>
      <c r="AK48" s="22">
        <f ca="1">ROUND(FIRE1122_raw!AK48,0)</f>
        <v>0</v>
      </c>
      <c r="AL48" s="22">
        <f ca="1">ROUND(FIRE1122_raw!AL48,0)</f>
        <v>0</v>
      </c>
      <c r="AM48" s="22">
        <f ca="1">ROUND(FIRE1122_raw!AM48,0)</f>
        <v>0</v>
      </c>
      <c r="AN48" s="22" t="str">
        <f ca="1">IF(FIRE1122_raw!AN48="-","-",ROUND(FIRE1122_raw!AN48,0))</f>
        <v>-</v>
      </c>
      <c r="AO48" s="22"/>
      <c r="AP48" s="21">
        <f ca="1">ROUND(FIRE1122_raw!AP48,0)</f>
        <v>0</v>
      </c>
      <c r="AQ48" s="21">
        <f ca="1">ROUND(FIRE1122_raw!AQ48,0)</f>
        <v>1</v>
      </c>
      <c r="AR48" s="21">
        <f ca="1">ROUND(FIRE1122_raw!AR48,0)</f>
        <v>1</v>
      </c>
      <c r="AS48" s="21">
        <f ca="1">ROUND(FIRE1122_raw!AS48,0)</f>
        <v>0</v>
      </c>
      <c r="AT48" s="21">
        <f ca="1">ROUND(FIRE1122_raw!AT48,0)</f>
        <v>0</v>
      </c>
      <c r="AU48" s="21">
        <f ca="1">ROUND(FIRE1122_raw!AU48,0)</f>
        <v>0</v>
      </c>
      <c r="AV48" s="21">
        <f ca="1">IF(FIRE1122_raw!AV48="-","-",ROUND(FIRE1122_raw!AV48,0))</f>
        <v>35</v>
      </c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15" customHeight="1" x14ac:dyDescent="0.35">
      <c r="A49" s="20" t="s">
        <v>54</v>
      </c>
      <c r="B49" s="21">
        <f ca="1">ROUND(FIRE1122_raw!B49,0)</f>
        <v>99</v>
      </c>
      <c r="C49" s="21">
        <f ca="1">ROUND(FIRE1122_raw!C49,0)</f>
        <v>273</v>
      </c>
      <c r="D49" s="21">
        <f ca="1">ROUND(FIRE1122_raw!D49,0)</f>
        <v>57</v>
      </c>
      <c r="E49" s="21">
        <f ca="1">ROUND(FIRE1122_raw!E49,0)</f>
        <v>10</v>
      </c>
      <c r="F49" s="21">
        <f ca="1">ROUND(FIRE1122_raw!F49,0)</f>
        <v>1</v>
      </c>
      <c r="G49" s="21">
        <f ca="1">ROUND(FIRE1122_raw!G49,0)</f>
        <v>0</v>
      </c>
      <c r="H49" s="21">
        <f ca="1">IF(FIRE1122_raw!H49="-","-",ROUND(FIRE1122_raw!H49,0))</f>
        <v>30</v>
      </c>
      <c r="I49" s="21"/>
      <c r="J49" s="21">
        <f ca="1">ROUND(FIRE1122_raw!J49,0)</f>
        <v>10</v>
      </c>
      <c r="K49" s="21">
        <f ca="1">ROUND(FIRE1122_raw!K49,0)</f>
        <v>27</v>
      </c>
      <c r="L49" s="21">
        <f ca="1">ROUND(FIRE1122_raw!L49,0)</f>
        <v>11</v>
      </c>
      <c r="M49" s="21">
        <f ca="1">ROUND(FIRE1122_raw!M49,0)</f>
        <v>7</v>
      </c>
      <c r="N49" s="21">
        <f ca="1">ROUND(FIRE1122_raw!N49,0)</f>
        <v>0</v>
      </c>
      <c r="O49" s="21">
        <f ca="1">ROUND(FIRE1122_raw!O49,0)</f>
        <v>0</v>
      </c>
      <c r="P49" s="21">
        <f ca="1">IF(FIRE1122_raw!P49="-","-",ROUND(FIRE1122_raw!P49,0))</f>
        <v>33</v>
      </c>
      <c r="Q49" s="21"/>
      <c r="R49" s="21">
        <f ca="1">ROUND(FIRE1122_raw!R49,0)</f>
        <v>109</v>
      </c>
      <c r="S49" s="21">
        <f ca="1">ROUND(FIRE1122_raw!S49,0)</f>
        <v>300</v>
      </c>
      <c r="T49" s="21">
        <f ca="1">ROUND(FIRE1122_raw!T49,0)</f>
        <v>68</v>
      </c>
      <c r="U49" s="21">
        <f ca="1">ROUND(FIRE1122_raw!U49,0)</f>
        <v>17</v>
      </c>
      <c r="V49" s="21">
        <f ca="1">ROUND(FIRE1122_raw!V49,0)</f>
        <v>1</v>
      </c>
      <c r="W49" s="21">
        <f ca="1">ROUND(FIRE1122_raw!W49,0)</f>
        <v>0</v>
      </c>
      <c r="X49" s="21">
        <f ca="1">IF(FIRE1122_raw!X49="-","-",ROUND(FIRE1122_raw!X49,0))</f>
        <v>30</v>
      </c>
      <c r="Y49" s="21"/>
      <c r="Z49" s="21">
        <f ca="1">ROUND(FIRE1122_raw!Z49,0)</f>
        <v>5</v>
      </c>
      <c r="AA49" s="21">
        <f ca="1">ROUND(FIRE1122_raw!AA49,0)</f>
        <v>17</v>
      </c>
      <c r="AB49" s="21">
        <f ca="1">ROUND(FIRE1122_raw!AB49,0)</f>
        <v>8</v>
      </c>
      <c r="AC49" s="21">
        <f ca="1">ROUND(FIRE1122_raw!AC49,0)</f>
        <v>3</v>
      </c>
      <c r="AD49" s="21">
        <f ca="1">ROUND(FIRE1122_raw!AD49,0)</f>
        <v>0</v>
      </c>
      <c r="AE49" s="21">
        <f ca="1">ROUND(FIRE1122_raw!AE49,0)</f>
        <v>0</v>
      </c>
      <c r="AF49" s="21">
        <f ca="1">IF(FIRE1122_raw!AF49="-","-",ROUND(FIRE1122_raw!AF49,0))</f>
        <v>33</v>
      </c>
      <c r="AG49" s="21"/>
      <c r="AH49" s="21">
        <f ca="1">ROUND(FIRE1122_raw!AH49,0)</f>
        <v>53</v>
      </c>
      <c r="AI49" s="21">
        <f ca="1">ROUND(FIRE1122_raw!AI49,0)</f>
        <v>100</v>
      </c>
      <c r="AJ49" s="21">
        <f ca="1">ROUND(FIRE1122_raw!AJ49,0)</f>
        <v>66</v>
      </c>
      <c r="AK49" s="21">
        <f ca="1">ROUND(FIRE1122_raw!AK49,0)</f>
        <v>60</v>
      </c>
      <c r="AL49" s="21">
        <f ca="1">ROUND(FIRE1122_raw!AL49,0)</f>
        <v>23</v>
      </c>
      <c r="AM49" s="21">
        <f ca="1">ROUND(FIRE1122_raw!AM49,0)</f>
        <v>0</v>
      </c>
      <c r="AN49" s="21">
        <f ca="1">IF(FIRE1122_raw!AN49="-","-",ROUND(FIRE1122_raw!AN49,0))</f>
        <v>37</v>
      </c>
      <c r="AO49" s="21"/>
      <c r="AP49" s="21">
        <f ca="1">ROUND(FIRE1122_raw!AP49,0)</f>
        <v>167</v>
      </c>
      <c r="AQ49" s="21">
        <f ca="1">ROUND(FIRE1122_raw!AQ49,0)</f>
        <v>417</v>
      </c>
      <c r="AR49" s="21">
        <f ca="1">ROUND(FIRE1122_raw!AR49,0)</f>
        <v>142</v>
      </c>
      <c r="AS49" s="21">
        <f ca="1">ROUND(FIRE1122_raw!AS49,0)</f>
        <v>80</v>
      </c>
      <c r="AT49" s="21">
        <f ca="1">ROUND(FIRE1122_raw!AT49,0)</f>
        <v>24</v>
      </c>
      <c r="AU49" s="21">
        <f ca="1">ROUND(FIRE1122_raw!AU49,0)</f>
        <v>0</v>
      </c>
      <c r="AV49" s="21">
        <f ca="1">IF(FIRE1122_raw!AV49="-","-",ROUND(FIRE1122_raw!AV49,0))</f>
        <v>33</v>
      </c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7" customFormat="1" ht="15" customHeight="1" x14ac:dyDescent="0.35">
      <c r="A50" s="2" t="s">
        <v>55</v>
      </c>
      <c r="B50" s="22">
        <f ca="1">ROUND(FIRE1122_raw!B50,0)</f>
        <v>11</v>
      </c>
      <c r="C50" s="22">
        <f ca="1">ROUND(FIRE1122_raw!C50,0)</f>
        <v>35</v>
      </c>
      <c r="D50" s="22">
        <f ca="1">ROUND(FIRE1122_raw!D50,0)</f>
        <v>9</v>
      </c>
      <c r="E50" s="22">
        <f ca="1">ROUND(FIRE1122_raw!E50,0)</f>
        <v>0</v>
      </c>
      <c r="F50" s="22">
        <f ca="1">ROUND(FIRE1122_raw!F50,0)</f>
        <v>0</v>
      </c>
      <c r="G50" s="22">
        <f ca="1">ROUND(FIRE1122_raw!G50,0)</f>
        <v>0</v>
      </c>
      <c r="H50" s="22">
        <f ca="1">IF(FIRE1122_raw!H50="-","-",ROUND(FIRE1122_raw!H50,0))</f>
        <v>30</v>
      </c>
      <c r="I50" s="22"/>
      <c r="J50" s="22">
        <f ca="1">ROUND(FIRE1122_raw!J50,0)</f>
        <v>0</v>
      </c>
      <c r="K50" s="22">
        <f ca="1">ROUND(FIRE1122_raw!K50,0)</f>
        <v>0</v>
      </c>
      <c r="L50" s="22">
        <f ca="1">ROUND(FIRE1122_raw!L50,0)</f>
        <v>0</v>
      </c>
      <c r="M50" s="22">
        <f ca="1">ROUND(FIRE1122_raw!M50,0)</f>
        <v>0</v>
      </c>
      <c r="N50" s="22">
        <f ca="1">ROUND(FIRE1122_raw!N50,0)</f>
        <v>0</v>
      </c>
      <c r="O50" s="22">
        <f ca="1">ROUND(FIRE1122_raw!O50,0)</f>
        <v>0</v>
      </c>
      <c r="P50" s="22" t="str">
        <f ca="1">IF(FIRE1122_raw!P50="-","-",ROUND(FIRE1122_raw!P50,0))</f>
        <v>-</v>
      </c>
      <c r="Q50" s="22"/>
      <c r="R50" s="21">
        <f ca="1">ROUND(FIRE1122_raw!R50,0)</f>
        <v>11</v>
      </c>
      <c r="S50" s="21">
        <f ca="1">ROUND(FIRE1122_raw!S50,0)</f>
        <v>35</v>
      </c>
      <c r="T50" s="21">
        <f ca="1">ROUND(FIRE1122_raw!T50,0)</f>
        <v>9</v>
      </c>
      <c r="U50" s="21">
        <f ca="1">ROUND(FIRE1122_raw!U50,0)</f>
        <v>0</v>
      </c>
      <c r="V50" s="21">
        <f ca="1">ROUND(FIRE1122_raw!V50,0)</f>
        <v>0</v>
      </c>
      <c r="W50" s="21">
        <f ca="1">ROUND(FIRE1122_raw!W50,0)</f>
        <v>0</v>
      </c>
      <c r="X50" s="21">
        <f ca="1">IF(FIRE1122_raw!X50="-","-",ROUND(FIRE1122_raw!X50,0))</f>
        <v>30</v>
      </c>
      <c r="Y50" s="22"/>
      <c r="Z50" s="22">
        <f ca="1">ROUND(FIRE1122_raw!Z50,0)</f>
        <v>0</v>
      </c>
      <c r="AA50" s="22">
        <f ca="1">ROUND(FIRE1122_raw!AA50,0)</f>
        <v>0</v>
      </c>
      <c r="AB50" s="22">
        <f ca="1">ROUND(FIRE1122_raw!AB50,0)</f>
        <v>0</v>
      </c>
      <c r="AC50" s="22">
        <f ca="1">ROUND(FIRE1122_raw!AC50,0)</f>
        <v>0</v>
      </c>
      <c r="AD50" s="22">
        <f ca="1">ROUND(FIRE1122_raw!AD50,0)</f>
        <v>0</v>
      </c>
      <c r="AE50" s="22">
        <f ca="1">ROUND(FIRE1122_raw!AE50,0)</f>
        <v>0</v>
      </c>
      <c r="AF50" s="22" t="str">
        <f ca="1">IF(FIRE1122_raw!AF50="-","-",ROUND(FIRE1122_raw!AF50,0))</f>
        <v>-</v>
      </c>
      <c r="AG50" s="22"/>
      <c r="AH50" s="22">
        <f ca="1">ROUND(FIRE1122_raw!AH50,0)</f>
        <v>16</v>
      </c>
      <c r="AI50" s="22">
        <f ca="1">ROUND(FIRE1122_raw!AI50,0)</f>
        <v>27</v>
      </c>
      <c r="AJ50" s="22">
        <f ca="1">ROUND(FIRE1122_raw!AJ50,0)</f>
        <v>16</v>
      </c>
      <c r="AK50" s="22">
        <f ca="1">ROUND(FIRE1122_raw!AK50,0)</f>
        <v>17</v>
      </c>
      <c r="AL50" s="22">
        <f ca="1">ROUND(FIRE1122_raw!AL50,0)</f>
        <v>4</v>
      </c>
      <c r="AM50" s="22">
        <f ca="1">ROUND(FIRE1122_raw!AM50,0)</f>
        <v>0</v>
      </c>
      <c r="AN50" s="22">
        <f ca="1">IF(FIRE1122_raw!AN50="-","-",ROUND(FIRE1122_raw!AN50,0))</f>
        <v>36</v>
      </c>
      <c r="AO50" s="22"/>
      <c r="AP50" s="21">
        <f ca="1">ROUND(FIRE1122_raw!AP50,0)</f>
        <v>27</v>
      </c>
      <c r="AQ50" s="21">
        <f ca="1">ROUND(FIRE1122_raw!AQ50,0)</f>
        <v>62</v>
      </c>
      <c r="AR50" s="21">
        <f ca="1">ROUND(FIRE1122_raw!AR50,0)</f>
        <v>25</v>
      </c>
      <c r="AS50" s="21">
        <f ca="1">ROUND(FIRE1122_raw!AS50,0)</f>
        <v>17</v>
      </c>
      <c r="AT50" s="21">
        <f ca="1">ROUND(FIRE1122_raw!AT50,0)</f>
        <v>4</v>
      </c>
      <c r="AU50" s="21">
        <f ca="1">ROUND(FIRE1122_raw!AU50,0)</f>
        <v>0</v>
      </c>
      <c r="AV50" s="21">
        <f ca="1">IF(FIRE1122_raw!AV50="-","-",ROUND(FIRE1122_raw!AV50,0))</f>
        <v>33</v>
      </c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7" customFormat="1" ht="15" customHeight="1" x14ac:dyDescent="0.35">
      <c r="A51" s="2" t="s">
        <v>56</v>
      </c>
      <c r="B51" s="22">
        <f ca="1">ROUND(FIRE1122_raw!B51,0)</f>
        <v>7</v>
      </c>
      <c r="C51" s="22">
        <f ca="1">ROUND(FIRE1122_raw!C51,0)</f>
        <v>21</v>
      </c>
      <c r="D51" s="22">
        <f ca="1">ROUND(FIRE1122_raw!D51,0)</f>
        <v>4</v>
      </c>
      <c r="E51" s="22">
        <f ca="1">ROUND(FIRE1122_raw!E51,0)</f>
        <v>0</v>
      </c>
      <c r="F51" s="22">
        <f ca="1">ROUND(FIRE1122_raw!F51,0)</f>
        <v>0</v>
      </c>
      <c r="G51" s="22">
        <f ca="1">ROUND(FIRE1122_raw!G51,0)</f>
        <v>0</v>
      </c>
      <c r="H51" s="22">
        <f ca="1">IF(FIRE1122_raw!H51="-","-",ROUND(FIRE1122_raw!H51,0))</f>
        <v>29</v>
      </c>
      <c r="I51" s="22"/>
      <c r="J51" s="22">
        <f ca="1">ROUND(FIRE1122_raw!J51,0)</f>
        <v>4</v>
      </c>
      <c r="K51" s="22">
        <f ca="1">ROUND(FIRE1122_raw!K51,0)</f>
        <v>11</v>
      </c>
      <c r="L51" s="22">
        <f ca="1">ROUND(FIRE1122_raw!L51,0)</f>
        <v>1</v>
      </c>
      <c r="M51" s="22">
        <f ca="1">ROUND(FIRE1122_raw!M51,0)</f>
        <v>0</v>
      </c>
      <c r="N51" s="22">
        <f ca="1">ROUND(FIRE1122_raw!N51,0)</f>
        <v>0</v>
      </c>
      <c r="O51" s="22">
        <f ca="1">ROUND(FIRE1122_raw!O51,0)</f>
        <v>0</v>
      </c>
      <c r="P51" s="22">
        <f ca="1">IF(FIRE1122_raw!P51="-","-",ROUND(FIRE1122_raw!P51,0))</f>
        <v>28</v>
      </c>
      <c r="Q51" s="22"/>
      <c r="R51" s="21">
        <f ca="1">ROUND(FIRE1122_raw!R51,0)</f>
        <v>11</v>
      </c>
      <c r="S51" s="21">
        <f ca="1">ROUND(FIRE1122_raw!S51,0)</f>
        <v>32</v>
      </c>
      <c r="T51" s="21">
        <f ca="1">ROUND(FIRE1122_raw!T51,0)</f>
        <v>5</v>
      </c>
      <c r="U51" s="21">
        <f ca="1">ROUND(FIRE1122_raw!U51,0)</f>
        <v>0</v>
      </c>
      <c r="V51" s="21">
        <f ca="1">ROUND(FIRE1122_raw!V51,0)</f>
        <v>0</v>
      </c>
      <c r="W51" s="21">
        <f ca="1">ROUND(FIRE1122_raw!W51,0)</f>
        <v>0</v>
      </c>
      <c r="X51" s="21">
        <f ca="1">IF(FIRE1122_raw!X51="-","-",ROUND(FIRE1122_raw!X51,0))</f>
        <v>29</v>
      </c>
      <c r="Y51" s="22"/>
      <c r="Z51" s="22">
        <f ca="1">ROUND(FIRE1122_raw!Z51,0)</f>
        <v>1</v>
      </c>
      <c r="AA51" s="22">
        <f ca="1">ROUND(FIRE1122_raw!AA51,0)</f>
        <v>4</v>
      </c>
      <c r="AB51" s="22">
        <f ca="1">ROUND(FIRE1122_raw!AB51,0)</f>
        <v>2</v>
      </c>
      <c r="AC51" s="22">
        <f ca="1">ROUND(FIRE1122_raw!AC51,0)</f>
        <v>0</v>
      </c>
      <c r="AD51" s="22">
        <f ca="1">ROUND(FIRE1122_raw!AD51,0)</f>
        <v>0</v>
      </c>
      <c r="AE51" s="22">
        <f ca="1">ROUND(FIRE1122_raw!AE51,0)</f>
        <v>0</v>
      </c>
      <c r="AF51" s="22">
        <f ca="1">IF(FIRE1122_raw!AF51="-","-",ROUND(FIRE1122_raw!AF51,0))</f>
        <v>32</v>
      </c>
      <c r="AG51" s="22"/>
      <c r="AH51" s="22">
        <f ca="1">ROUND(FIRE1122_raw!AH51,0)</f>
        <v>12</v>
      </c>
      <c r="AI51" s="22">
        <f ca="1">ROUND(FIRE1122_raw!AI51,0)</f>
        <v>1</v>
      </c>
      <c r="AJ51" s="22">
        <f ca="1">ROUND(FIRE1122_raw!AJ51,0)</f>
        <v>1</v>
      </c>
      <c r="AK51" s="22">
        <f ca="1">ROUND(FIRE1122_raw!AK51,0)</f>
        <v>2</v>
      </c>
      <c r="AL51" s="22">
        <f ca="1">ROUND(FIRE1122_raw!AL51,0)</f>
        <v>1</v>
      </c>
      <c r="AM51" s="22">
        <f ca="1">ROUND(FIRE1122_raw!AM51,0)</f>
        <v>0</v>
      </c>
      <c r="AN51" s="22">
        <f ca="1">IF(FIRE1122_raw!AN51="-","-",ROUND(FIRE1122_raw!AN51,0))</f>
        <v>28</v>
      </c>
      <c r="AO51" s="22"/>
      <c r="AP51" s="21">
        <f ca="1">ROUND(FIRE1122_raw!AP51,0)</f>
        <v>24</v>
      </c>
      <c r="AQ51" s="21">
        <f ca="1">ROUND(FIRE1122_raw!AQ51,0)</f>
        <v>37</v>
      </c>
      <c r="AR51" s="21">
        <f ca="1">ROUND(FIRE1122_raw!AR51,0)</f>
        <v>8</v>
      </c>
      <c r="AS51" s="21">
        <f ca="1">ROUND(FIRE1122_raw!AS51,0)</f>
        <v>2</v>
      </c>
      <c r="AT51" s="21">
        <f ca="1">ROUND(FIRE1122_raw!AT51,0)</f>
        <v>1</v>
      </c>
      <c r="AU51" s="21">
        <f ca="1">ROUND(FIRE1122_raw!AU51,0)</f>
        <v>0</v>
      </c>
      <c r="AV51" s="21">
        <f ca="1">IF(FIRE1122_raw!AV51="-","-",ROUND(FIRE1122_raw!AV51,0))</f>
        <v>29</v>
      </c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15" customHeight="1" x14ac:dyDescent="0.35">
      <c r="A52" s="2" t="s">
        <v>57</v>
      </c>
      <c r="B52" s="22">
        <f ca="1">ROUND(FIRE1122_raw!B52,0)</f>
        <v>0</v>
      </c>
      <c r="C52" s="22">
        <f ca="1">ROUND(FIRE1122_raw!C52,0)</f>
        <v>17</v>
      </c>
      <c r="D52" s="22">
        <f ca="1">ROUND(FIRE1122_raw!D52,0)</f>
        <v>11</v>
      </c>
      <c r="E52" s="22">
        <f ca="1">ROUND(FIRE1122_raw!E52,0)</f>
        <v>4</v>
      </c>
      <c r="F52" s="22">
        <f ca="1">ROUND(FIRE1122_raw!F52,0)</f>
        <v>0</v>
      </c>
      <c r="G52" s="22">
        <f ca="1">ROUND(FIRE1122_raw!G52,0)</f>
        <v>0</v>
      </c>
      <c r="H52" s="22">
        <f ca="1">IF(FIRE1122_raw!H52="-","-",ROUND(FIRE1122_raw!H52,0))</f>
        <v>36</v>
      </c>
      <c r="I52" s="22"/>
      <c r="J52" s="22">
        <f ca="1">ROUND(FIRE1122_raw!J52,0)</f>
        <v>2</v>
      </c>
      <c r="K52" s="22">
        <f ca="1">ROUND(FIRE1122_raw!K52,0)</f>
        <v>9</v>
      </c>
      <c r="L52" s="22">
        <f ca="1">ROUND(FIRE1122_raw!L52,0)</f>
        <v>9</v>
      </c>
      <c r="M52" s="22">
        <f ca="1">ROUND(FIRE1122_raw!M52,0)</f>
        <v>6</v>
      </c>
      <c r="N52" s="22">
        <f ca="1">ROUND(FIRE1122_raw!N52,0)</f>
        <v>0</v>
      </c>
      <c r="O52" s="22">
        <f ca="1">ROUND(FIRE1122_raw!O52,0)</f>
        <v>0</v>
      </c>
      <c r="P52" s="22">
        <f ca="1">IF(FIRE1122_raw!P52="-","-",ROUND(FIRE1122_raw!P52,0))</f>
        <v>38</v>
      </c>
      <c r="Q52" s="22"/>
      <c r="R52" s="21">
        <f ca="1">ROUND(FIRE1122_raw!R52,0)</f>
        <v>2</v>
      </c>
      <c r="S52" s="21">
        <f ca="1">ROUND(FIRE1122_raw!S52,0)</f>
        <v>26</v>
      </c>
      <c r="T52" s="21">
        <f ca="1">ROUND(FIRE1122_raw!T52,0)</f>
        <v>20</v>
      </c>
      <c r="U52" s="21">
        <f ca="1">ROUND(FIRE1122_raw!U52,0)</f>
        <v>10</v>
      </c>
      <c r="V52" s="21">
        <f ca="1">ROUND(FIRE1122_raw!V52,0)</f>
        <v>0</v>
      </c>
      <c r="W52" s="21">
        <f ca="1">ROUND(FIRE1122_raw!W52,0)</f>
        <v>0</v>
      </c>
      <c r="X52" s="21">
        <f ca="1">IF(FIRE1122_raw!X52="-","-",ROUND(FIRE1122_raw!X52,0))</f>
        <v>37</v>
      </c>
      <c r="Y52" s="22"/>
      <c r="Z52" s="22">
        <f ca="1">ROUND(FIRE1122_raw!Z52,0)</f>
        <v>2</v>
      </c>
      <c r="AA52" s="22">
        <f ca="1">ROUND(FIRE1122_raw!AA52,0)</f>
        <v>1</v>
      </c>
      <c r="AB52" s="22">
        <f ca="1">ROUND(FIRE1122_raw!AB52,0)</f>
        <v>0</v>
      </c>
      <c r="AC52" s="22">
        <f ca="1">ROUND(FIRE1122_raw!AC52,0)</f>
        <v>0</v>
      </c>
      <c r="AD52" s="22">
        <f ca="1">ROUND(FIRE1122_raw!AD52,0)</f>
        <v>0</v>
      </c>
      <c r="AE52" s="22">
        <f ca="1">ROUND(FIRE1122_raw!AE52,0)</f>
        <v>0</v>
      </c>
      <c r="AF52" s="22">
        <f ca="1">IF(FIRE1122_raw!AF52="-","-",ROUND(FIRE1122_raw!AF52,0))</f>
        <v>23</v>
      </c>
      <c r="AG52" s="22"/>
      <c r="AH52" s="22">
        <f ca="1">ROUND(FIRE1122_raw!AH52,0)</f>
        <v>12</v>
      </c>
      <c r="AI52" s="22">
        <f ca="1">ROUND(FIRE1122_raw!AI52,0)</f>
        <v>11</v>
      </c>
      <c r="AJ52" s="22">
        <f ca="1">ROUND(FIRE1122_raw!AJ52,0)</f>
        <v>6</v>
      </c>
      <c r="AK52" s="22">
        <f ca="1">ROUND(FIRE1122_raw!AK52,0)</f>
        <v>6</v>
      </c>
      <c r="AL52" s="22">
        <f ca="1">ROUND(FIRE1122_raw!AL52,0)</f>
        <v>2</v>
      </c>
      <c r="AM52" s="22">
        <f ca="1">ROUND(FIRE1122_raw!AM52,0)</f>
        <v>0</v>
      </c>
      <c r="AN52" s="22">
        <f ca="1">IF(FIRE1122_raw!AN52="-","-",ROUND(FIRE1122_raw!AN52,0))</f>
        <v>33</v>
      </c>
      <c r="AO52" s="22"/>
      <c r="AP52" s="21">
        <f ca="1">ROUND(FIRE1122_raw!AP52,0)</f>
        <v>16</v>
      </c>
      <c r="AQ52" s="21">
        <f ca="1">ROUND(FIRE1122_raw!AQ52,0)</f>
        <v>38</v>
      </c>
      <c r="AR52" s="21">
        <f ca="1">ROUND(FIRE1122_raw!AR52,0)</f>
        <v>26</v>
      </c>
      <c r="AS52" s="21">
        <f ca="1">ROUND(FIRE1122_raw!AS52,0)</f>
        <v>16</v>
      </c>
      <c r="AT52" s="21">
        <f ca="1">ROUND(FIRE1122_raw!AT52,0)</f>
        <v>2</v>
      </c>
      <c r="AU52" s="21">
        <f ca="1">ROUND(FIRE1122_raw!AU52,0)</f>
        <v>0</v>
      </c>
      <c r="AV52" s="21">
        <f ca="1">IF(FIRE1122_raw!AV52="-","-",ROUND(FIRE1122_raw!AV52,0))</f>
        <v>35</v>
      </c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7" customFormat="1" ht="15" customHeight="1" x14ac:dyDescent="0.35">
      <c r="A53" s="2" t="s">
        <v>58</v>
      </c>
      <c r="B53" s="22">
        <f ca="1">ROUND(FIRE1122_raw!B53,0)</f>
        <v>0</v>
      </c>
      <c r="C53" s="22">
        <f ca="1">ROUND(FIRE1122_raw!C53,0)</f>
        <v>3</v>
      </c>
      <c r="D53" s="22">
        <f ca="1">ROUND(FIRE1122_raw!D53,0)</f>
        <v>2</v>
      </c>
      <c r="E53" s="22">
        <f ca="1">ROUND(FIRE1122_raw!E53,0)</f>
        <v>0</v>
      </c>
      <c r="F53" s="22">
        <f ca="1">ROUND(FIRE1122_raw!F53,0)</f>
        <v>1</v>
      </c>
      <c r="G53" s="22">
        <f ca="1">ROUND(FIRE1122_raw!G53,0)</f>
        <v>0</v>
      </c>
      <c r="H53" s="22">
        <f ca="1">IF(FIRE1122_raw!H53="-","-",ROUND(FIRE1122_raw!H53,0))</f>
        <v>38</v>
      </c>
      <c r="I53" s="22"/>
      <c r="J53" s="22">
        <f ca="1">ROUND(FIRE1122_raw!J53,0)</f>
        <v>3</v>
      </c>
      <c r="K53" s="22">
        <f ca="1">ROUND(FIRE1122_raw!K53,0)</f>
        <v>3</v>
      </c>
      <c r="L53" s="22">
        <f ca="1">ROUND(FIRE1122_raw!L53,0)</f>
        <v>0</v>
      </c>
      <c r="M53" s="22">
        <f ca="1">ROUND(FIRE1122_raw!M53,0)</f>
        <v>0</v>
      </c>
      <c r="N53" s="22">
        <f ca="1">ROUND(FIRE1122_raw!N53,0)</f>
        <v>0</v>
      </c>
      <c r="O53" s="22">
        <f ca="1">ROUND(FIRE1122_raw!O53,0)</f>
        <v>0</v>
      </c>
      <c r="P53" s="22">
        <f ca="1">IF(FIRE1122_raw!P53="-","-",ROUND(FIRE1122_raw!P53,0))</f>
        <v>25</v>
      </c>
      <c r="Q53" s="22"/>
      <c r="R53" s="21">
        <f ca="1">ROUND(FIRE1122_raw!R53,0)</f>
        <v>3</v>
      </c>
      <c r="S53" s="21">
        <f ca="1">ROUND(FIRE1122_raw!S53,0)</f>
        <v>6</v>
      </c>
      <c r="T53" s="21">
        <f ca="1">ROUND(FIRE1122_raw!T53,0)</f>
        <v>2</v>
      </c>
      <c r="U53" s="21">
        <f ca="1">ROUND(FIRE1122_raw!U53,0)</f>
        <v>0</v>
      </c>
      <c r="V53" s="21">
        <f ca="1">ROUND(FIRE1122_raw!V53,0)</f>
        <v>1</v>
      </c>
      <c r="W53" s="21">
        <f ca="1">ROUND(FIRE1122_raw!W53,0)</f>
        <v>0</v>
      </c>
      <c r="X53" s="21">
        <f ca="1">IF(FIRE1122_raw!X53="-","-",ROUND(FIRE1122_raw!X53,0))</f>
        <v>31</v>
      </c>
      <c r="Y53" s="22"/>
      <c r="Z53" s="22">
        <f ca="1">ROUND(FIRE1122_raw!Z53,0)</f>
        <v>0</v>
      </c>
      <c r="AA53" s="22">
        <f ca="1">ROUND(FIRE1122_raw!AA53,0)</f>
        <v>0</v>
      </c>
      <c r="AB53" s="22">
        <f ca="1">ROUND(FIRE1122_raw!AB53,0)</f>
        <v>1</v>
      </c>
      <c r="AC53" s="22">
        <f ca="1">ROUND(FIRE1122_raw!AC53,0)</f>
        <v>0</v>
      </c>
      <c r="AD53" s="22">
        <f ca="1">ROUND(FIRE1122_raw!AD53,0)</f>
        <v>0</v>
      </c>
      <c r="AE53" s="22">
        <f ca="1">ROUND(FIRE1122_raw!AE53,0)</f>
        <v>0</v>
      </c>
      <c r="AF53" s="22">
        <f ca="1">IF(FIRE1122_raw!AF53="-","-",ROUND(FIRE1122_raw!AF53,0))</f>
        <v>41</v>
      </c>
      <c r="AG53" s="22"/>
      <c r="AH53" s="22">
        <f ca="1">ROUND(FIRE1122_raw!AH53,0)</f>
        <v>1</v>
      </c>
      <c r="AI53" s="22">
        <f ca="1">ROUND(FIRE1122_raw!AI53,0)</f>
        <v>9</v>
      </c>
      <c r="AJ53" s="22">
        <f ca="1">ROUND(FIRE1122_raw!AJ53,0)</f>
        <v>8</v>
      </c>
      <c r="AK53" s="22">
        <f ca="1">ROUND(FIRE1122_raw!AK53,0)</f>
        <v>3</v>
      </c>
      <c r="AL53" s="22">
        <f ca="1">ROUND(FIRE1122_raw!AL53,0)</f>
        <v>4</v>
      </c>
      <c r="AM53" s="22">
        <f ca="1">ROUND(FIRE1122_raw!AM53,0)</f>
        <v>0</v>
      </c>
      <c r="AN53" s="22">
        <f ca="1">IF(FIRE1122_raw!AN53="-","-",ROUND(FIRE1122_raw!AN53,0))</f>
        <v>40</v>
      </c>
      <c r="AO53" s="22"/>
      <c r="AP53" s="21">
        <f ca="1">ROUND(FIRE1122_raw!AP53,0)</f>
        <v>4</v>
      </c>
      <c r="AQ53" s="21">
        <f ca="1">ROUND(FIRE1122_raw!AQ53,0)</f>
        <v>15</v>
      </c>
      <c r="AR53" s="21">
        <f ca="1">ROUND(FIRE1122_raw!AR53,0)</f>
        <v>11</v>
      </c>
      <c r="AS53" s="21">
        <f ca="1">ROUND(FIRE1122_raw!AS53,0)</f>
        <v>3</v>
      </c>
      <c r="AT53" s="21">
        <f ca="1">ROUND(FIRE1122_raw!AT53,0)</f>
        <v>5</v>
      </c>
      <c r="AU53" s="21">
        <f ca="1">ROUND(FIRE1122_raw!AU53,0)</f>
        <v>0</v>
      </c>
      <c r="AV53" s="21">
        <f ca="1">IF(FIRE1122_raw!AV53="-","-",ROUND(FIRE1122_raw!AV53,0))</f>
        <v>37</v>
      </c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7" customFormat="1" ht="15" customHeight="1" x14ac:dyDescent="0.35">
      <c r="A54" s="2" t="s">
        <v>59</v>
      </c>
      <c r="B54" s="22">
        <f ca="1">ROUND(FIRE1122_raw!B54,0)</f>
        <v>29</v>
      </c>
      <c r="C54" s="22">
        <f ca="1">ROUND(FIRE1122_raw!C54,0)</f>
        <v>40</v>
      </c>
      <c r="D54" s="22">
        <f ca="1">ROUND(FIRE1122_raw!D54,0)</f>
        <v>4</v>
      </c>
      <c r="E54" s="22">
        <f ca="1">ROUND(FIRE1122_raw!E54,0)</f>
        <v>0</v>
      </c>
      <c r="F54" s="22">
        <f ca="1">ROUND(FIRE1122_raw!F54,0)</f>
        <v>0</v>
      </c>
      <c r="G54" s="22">
        <f ca="1">ROUND(FIRE1122_raw!G54,0)</f>
        <v>0</v>
      </c>
      <c r="H54" s="22">
        <f ca="1">IF(FIRE1122_raw!H54="-","-",ROUND(FIRE1122_raw!H54,0))</f>
        <v>27</v>
      </c>
      <c r="I54" s="22"/>
      <c r="J54" s="22">
        <f ca="1">ROUND(FIRE1122_raw!J54,0)</f>
        <v>0</v>
      </c>
      <c r="K54" s="22">
        <f ca="1">ROUND(FIRE1122_raw!K54,0)</f>
        <v>0</v>
      </c>
      <c r="L54" s="22">
        <f ca="1">ROUND(FIRE1122_raw!L54,0)</f>
        <v>0</v>
      </c>
      <c r="M54" s="22">
        <f ca="1">ROUND(FIRE1122_raw!M54,0)</f>
        <v>0</v>
      </c>
      <c r="N54" s="22">
        <f ca="1">ROUND(FIRE1122_raw!N54,0)</f>
        <v>0</v>
      </c>
      <c r="O54" s="22">
        <f ca="1">ROUND(FIRE1122_raw!O54,0)</f>
        <v>0</v>
      </c>
      <c r="P54" s="22" t="str">
        <f ca="1">IF(FIRE1122_raw!P54="-","-",ROUND(FIRE1122_raw!P54,0))</f>
        <v>-</v>
      </c>
      <c r="Q54" s="22"/>
      <c r="R54" s="21">
        <f ca="1">ROUND(FIRE1122_raw!R54,0)</f>
        <v>29</v>
      </c>
      <c r="S54" s="21">
        <f ca="1">ROUND(FIRE1122_raw!S54,0)</f>
        <v>40</v>
      </c>
      <c r="T54" s="21">
        <f ca="1">ROUND(FIRE1122_raw!T54,0)</f>
        <v>4</v>
      </c>
      <c r="U54" s="21">
        <f ca="1">ROUND(FIRE1122_raw!U54,0)</f>
        <v>0</v>
      </c>
      <c r="V54" s="21">
        <f ca="1">ROUND(FIRE1122_raw!V54,0)</f>
        <v>0</v>
      </c>
      <c r="W54" s="21">
        <f ca="1">ROUND(FIRE1122_raw!W54,0)</f>
        <v>0</v>
      </c>
      <c r="X54" s="21">
        <f ca="1">IF(FIRE1122_raw!X54="-","-",ROUND(FIRE1122_raw!X54,0))</f>
        <v>27</v>
      </c>
      <c r="Y54" s="22"/>
      <c r="Z54" s="22">
        <f ca="1">ROUND(FIRE1122_raw!Z54,0)</f>
        <v>0</v>
      </c>
      <c r="AA54" s="22">
        <f ca="1">ROUND(FIRE1122_raw!AA54,0)</f>
        <v>1</v>
      </c>
      <c r="AB54" s="22">
        <f ca="1">ROUND(FIRE1122_raw!AB54,0)</f>
        <v>1</v>
      </c>
      <c r="AC54" s="22">
        <f ca="1">ROUND(FIRE1122_raw!AC54,0)</f>
        <v>0</v>
      </c>
      <c r="AD54" s="22">
        <f ca="1">ROUND(FIRE1122_raw!AD54,0)</f>
        <v>0</v>
      </c>
      <c r="AE54" s="22">
        <f ca="1">ROUND(FIRE1122_raw!AE54,0)</f>
        <v>0</v>
      </c>
      <c r="AF54" s="22">
        <f ca="1">IF(FIRE1122_raw!AF54="-","-",ROUND(FIRE1122_raw!AF54,0))</f>
        <v>35</v>
      </c>
      <c r="AG54" s="22"/>
      <c r="AH54" s="22">
        <f ca="1">ROUND(FIRE1122_raw!AH54,0)</f>
        <v>3</v>
      </c>
      <c r="AI54" s="22">
        <f ca="1">ROUND(FIRE1122_raw!AI54,0)</f>
        <v>5</v>
      </c>
      <c r="AJ54" s="22">
        <f ca="1">ROUND(FIRE1122_raw!AJ54,0)</f>
        <v>5</v>
      </c>
      <c r="AK54" s="22">
        <f ca="1">ROUND(FIRE1122_raw!AK54,0)</f>
        <v>6</v>
      </c>
      <c r="AL54" s="22">
        <f ca="1">ROUND(FIRE1122_raw!AL54,0)</f>
        <v>0</v>
      </c>
      <c r="AM54" s="22">
        <f ca="1">ROUND(FIRE1122_raw!AM54,0)</f>
        <v>0</v>
      </c>
      <c r="AN54" s="22">
        <f ca="1">IF(FIRE1122_raw!AN54="-","-",ROUND(FIRE1122_raw!AN54,0))</f>
        <v>38</v>
      </c>
      <c r="AO54" s="22"/>
      <c r="AP54" s="21">
        <f ca="1">ROUND(FIRE1122_raw!AP54,0)</f>
        <v>32</v>
      </c>
      <c r="AQ54" s="21">
        <f ca="1">ROUND(FIRE1122_raw!AQ54,0)</f>
        <v>46</v>
      </c>
      <c r="AR54" s="21">
        <f ca="1">ROUND(FIRE1122_raw!AR54,0)</f>
        <v>10</v>
      </c>
      <c r="AS54" s="21">
        <f ca="1">ROUND(FIRE1122_raw!AS54,0)</f>
        <v>6</v>
      </c>
      <c r="AT54" s="21">
        <f ca="1">ROUND(FIRE1122_raw!AT54,0)</f>
        <v>0</v>
      </c>
      <c r="AU54" s="21">
        <f ca="1">ROUND(FIRE1122_raw!AU54,0)</f>
        <v>0</v>
      </c>
      <c r="AV54" s="21">
        <f ca="1">IF(FIRE1122_raw!AV54="-","-",ROUND(FIRE1122_raw!AV54,0))</f>
        <v>29</v>
      </c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15" customHeight="1" x14ac:dyDescent="0.35">
      <c r="A55" s="2" t="s">
        <v>60</v>
      </c>
      <c r="B55" s="22">
        <f ca="1">ROUND(FIRE1122_raw!B55,0)</f>
        <v>6</v>
      </c>
      <c r="C55" s="22">
        <f ca="1">ROUND(FIRE1122_raw!C55,0)</f>
        <v>24</v>
      </c>
      <c r="D55" s="22">
        <f ca="1">ROUND(FIRE1122_raw!D55,0)</f>
        <v>5</v>
      </c>
      <c r="E55" s="22">
        <f ca="1">ROUND(FIRE1122_raw!E55,0)</f>
        <v>1</v>
      </c>
      <c r="F55" s="22">
        <f ca="1">ROUND(FIRE1122_raw!F55,0)</f>
        <v>0</v>
      </c>
      <c r="G55" s="22">
        <f ca="1">ROUND(FIRE1122_raw!G55,0)</f>
        <v>0</v>
      </c>
      <c r="H55" s="22">
        <f ca="1">IF(FIRE1122_raw!H55="-","-",ROUND(FIRE1122_raw!H55,0))</f>
        <v>30</v>
      </c>
      <c r="I55" s="22"/>
      <c r="J55" s="22">
        <f ca="1">ROUND(FIRE1122_raw!J55,0)</f>
        <v>1</v>
      </c>
      <c r="K55" s="22">
        <f ca="1">ROUND(FIRE1122_raw!K55,0)</f>
        <v>4</v>
      </c>
      <c r="L55" s="22">
        <f ca="1">ROUND(FIRE1122_raw!L55,0)</f>
        <v>1</v>
      </c>
      <c r="M55" s="22">
        <f ca="1">ROUND(FIRE1122_raw!M55,0)</f>
        <v>1</v>
      </c>
      <c r="N55" s="22">
        <f ca="1">ROUND(FIRE1122_raw!N55,0)</f>
        <v>0</v>
      </c>
      <c r="O55" s="22">
        <f ca="1">ROUND(FIRE1122_raw!O55,0)</f>
        <v>0</v>
      </c>
      <c r="P55" s="22">
        <f ca="1">IF(FIRE1122_raw!P55="-","-",ROUND(FIRE1122_raw!P55,0))</f>
        <v>33</v>
      </c>
      <c r="Q55" s="22"/>
      <c r="R55" s="21">
        <f ca="1">ROUND(FIRE1122_raw!R55,0)</f>
        <v>7</v>
      </c>
      <c r="S55" s="21">
        <f ca="1">ROUND(FIRE1122_raw!S55,0)</f>
        <v>28</v>
      </c>
      <c r="T55" s="21">
        <f ca="1">ROUND(FIRE1122_raw!T55,0)</f>
        <v>6</v>
      </c>
      <c r="U55" s="21">
        <f ca="1">ROUND(FIRE1122_raw!U55,0)</f>
        <v>2</v>
      </c>
      <c r="V55" s="21">
        <f ca="1">ROUND(FIRE1122_raw!V55,0)</f>
        <v>0</v>
      </c>
      <c r="W55" s="21">
        <f ca="1">ROUND(FIRE1122_raw!W55,0)</f>
        <v>0</v>
      </c>
      <c r="X55" s="21">
        <f ca="1">IF(FIRE1122_raw!X55="-","-",ROUND(FIRE1122_raw!X55,0))</f>
        <v>31</v>
      </c>
      <c r="Y55" s="22"/>
      <c r="Z55" s="22">
        <f ca="1">ROUND(FIRE1122_raw!Z55,0)</f>
        <v>0</v>
      </c>
      <c r="AA55" s="22">
        <f ca="1">ROUND(FIRE1122_raw!AA55,0)</f>
        <v>0</v>
      </c>
      <c r="AB55" s="22">
        <f ca="1">ROUND(FIRE1122_raw!AB55,0)</f>
        <v>0</v>
      </c>
      <c r="AC55" s="22">
        <f ca="1">ROUND(FIRE1122_raw!AC55,0)</f>
        <v>0</v>
      </c>
      <c r="AD55" s="22">
        <f ca="1">ROUND(FIRE1122_raw!AD55,0)</f>
        <v>0</v>
      </c>
      <c r="AE55" s="22">
        <f ca="1">ROUND(FIRE1122_raw!AE55,0)</f>
        <v>0</v>
      </c>
      <c r="AF55" s="22" t="str">
        <f ca="1">IF(FIRE1122_raw!AF55="-","-",ROUND(FIRE1122_raw!AF55,0))</f>
        <v>-</v>
      </c>
      <c r="AG55" s="22"/>
      <c r="AH55" s="22">
        <f ca="1">ROUND(FIRE1122_raw!AH55,0)</f>
        <v>4</v>
      </c>
      <c r="AI55" s="22">
        <f ca="1">ROUND(FIRE1122_raw!AI55,0)</f>
        <v>13</v>
      </c>
      <c r="AJ55" s="22">
        <f ca="1">ROUND(FIRE1122_raw!AJ55,0)</f>
        <v>15</v>
      </c>
      <c r="AK55" s="22">
        <f ca="1">ROUND(FIRE1122_raw!AK55,0)</f>
        <v>12</v>
      </c>
      <c r="AL55" s="22">
        <f ca="1">ROUND(FIRE1122_raw!AL55,0)</f>
        <v>6</v>
      </c>
      <c r="AM55" s="22">
        <f ca="1">ROUND(FIRE1122_raw!AM55,0)</f>
        <v>0</v>
      </c>
      <c r="AN55" s="22">
        <f ca="1">IF(FIRE1122_raw!AN55="-","-",ROUND(FIRE1122_raw!AN55,0))</f>
        <v>40</v>
      </c>
      <c r="AO55" s="22"/>
      <c r="AP55" s="21">
        <f ca="1">ROUND(FIRE1122_raw!AP55,0)</f>
        <v>11</v>
      </c>
      <c r="AQ55" s="21">
        <f ca="1">ROUND(FIRE1122_raw!AQ55,0)</f>
        <v>41</v>
      </c>
      <c r="AR55" s="21">
        <f ca="1">ROUND(FIRE1122_raw!AR55,0)</f>
        <v>21</v>
      </c>
      <c r="AS55" s="21">
        <f ca="1">ROUND(FIRE1122_raw!AS55,0)</f>
        <v>14</v>
      </c>
      <c r="AT55" s="21">
        <f ca="1">ROUND(FIRE1122_raw!AT55,0)</f>
        <v>6</v>
      </c>
      <c r="AU55" s="21">
        <f ca="1">ROUND(FIRE1122_raw!AU55,0)</f>
        <v>0</v>
      </c>
      <c r="AV55" s="21">
        <f ca="1">IF(FIRE1122_raw!AV55="-","-",ROUND(FIRE1122_raw!AV55,0))</f>
        <v>36</v>
      </c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7" customFormat="1" ht="15" customHeight="1" thickBot="1" x14ac:dyDescent="0.4">
      <c r="A56" s="25" t="s">
        <v>61</v>
      </c>
      <c r="B56" s="22">
        <f ca="1">ROUND(FIRE1122_raw!B56,0)</f>
        <v>46</v>
      </c>
      <c r="C56" s="22">
        <f ca="1">ROUND(FIRE1122_raw!C56,0)</f>
        <v>133</v>
      </c>
      <c r="D56" s="22">
        <f ca="1">ROUND(FIRE1122_raw!D56,0)</f>
        <v>22</v>
      </c>
      <c r="E56" s="22">
        <f ca="1">ROUND(FIRE1122_raw!E56,0)</f>
        <v>5</v>
      </c>
      <c r="F56" s="22">
        <f ca="1">ROUND(FIRE1122_raw!F56,0)</f>
        <v>0</v>
      </c>
      <c r="G56" s="22">
        <f ca="1">ROUND(FIRE1122_raw!G56,0)</f>
        <v>0</v>
      </c>
      <c r="H56" s="22">
        <f ca="1">IF(FIRE1122_raw!H56="-","-",ROUND(FIRE1122_raw!H56,0))</f>
        <v>29</v>
      </c>
      <c r="I56" s="26"/>
      <c r="J56" s="22">
        <f ca="1">ROUND(FIRE1122_raw!J56,0)</f>
        <v>0</v>
      </c>
      <c r="K56" s="22">
        <f ca="1">ROUND(FIRE1122_raw!K56,0)</f>
        <v>0</v>
      </c>
      <c r="L56" s="22">
        <f ca="1">ROUND(FIRE1122_raw!L56,0)</f>
        <v>0</v>
      </c>
      <c r="M56" s="22">
        <f ca="1">ROUND(FIRE1122_raw!M56,0)</f>
        <v>0</v>
      </c>
      <c r="N56" s="22">
        <f ca="1">ROUND(FIRE1122_raw!N56,0)</f>
        <v>0</v>
      </c>
      <c r="O56" s="22">
        <f ca="1">ROUND(FIRE1122_raw!O56,0)</f>
        <v>0</v>
      </c>
      <c r="P56" s="22" t="str">
        <f ca="1">IF(FIRE1122_raw!P56="-","-",ROUND(FIRE1122_raw!P56,0))</f>
        <v>-</v>
      </c>
      <c r="Q56" s="26"/>
      <c r="R56" s="21">
        <f ca="1">ROUND(FIRE1122_raw!R56,0)</f>
        <v>46</v>
      </c>
      <c r="S56" s="21">
        <f ca="1">ROUND(FIRE1122_raw!S56,0)</f>
        <v>133</v>
      </c>
      <c r="T56" s="21">
        <f ca="1">ROUND(FIRE1122_raw!T56,0)</f>
        <v>22</v>
      </c>
      <c r="U56" s="21">
        <f ca="1">ROUND(FIRE1122_raw!U56,0)</f>
        <v>5</v>
      </c>
      <c r="V56" s="21">
        <f ca="1">ROUND(FIRE1122_raw!V56,0)</f>
        <v>0</v>
      </c>
      <c r="W56" s="21">
        <f ca="1">ROUND(FIRE1122_raw!W56,0)</f>
        <v>0</v>
      </c>
      <c r="X56" s="21">
        <f ca="1">IF(FIRE1122_raw!X56="-","-",ROUND(FIRE1122_raw!X56,0))</f>
        <v>29</v>
      </c>
      <c r="Y56" s="26"/>
      <c r="Z56" s="22">
        <f ca="1">ROUND(FIRE1122_raw!Z56,0)</f>
        <v>2</v>
      </c>
      <c r="AA56" s="22">
        <f ca="1">ROUND(FIRE1122_raw!AA56,0)</f>
        <v>11</v>
      </c>
      <c r="AB56" s="22">
        <f ca="1">ROUND(FIRE1122_raw!AB56,0)</f>
        <v>4</v>
      </c>
      <c r="AC56" s="22">
        <f ca="1">ROUND(FIRE1122_raw!AC56,0)</f>
        <v>3</v>
      </c>
      <c r="AD56" s="22">
        <f ca="1">ROUND(FIRE1122_raw!AD56,0)</f>
        <v>0</v>
      </c>
      <c r="AE56" s="22">
        <f ca="1">ROUND(FIRE1122_raw!AE56,0)</f>
        <v>0</v>
      </c>
      <c r="AF56" s="22">
        <f ca="1">IF(FIRE1122_raw!AF56="-","-",ROUND(FIRE1122_raw!AF56,0))</f>
        <v>34</v>
      </c>
      <c r="AG56" s="26"/>
      <c r="AH56" s="22">
        <f ca="1">ROUND(FIRE1122_raw!AH56,0)</f>
        <v>5</v>
      </c>
      <c r="AI56" s="22">
        <f ca="1">ROUND(FIRE1122_raw!AI56,0)</f>
        <v>34</v>
      </c>
      <c r="AJ56" s="22">
        <f ca="1">ROUND(FIRE1122_raw!AJ56,0)</f>
        <v>15</v>
      </c>
      <c r="AK56" s="22">
        <f ca="1">ROUND(FIRE1122_raw!AK56,0)</f>
        <v>14</v>
      </c>
      <c r="AL56" s="22">
        <f ca="1">ROUND(FIRE1122_raw!AL56,0)</f>
        <v>6</v>
      </c>
      <c r="AM56" s="22">
        <f ca="1">ROUND(FIRE1122_raw!AM56,0)</f>
        <v>0</v>
      </c>
      <c r="AN56" s="22">
        <f ca="1">IF(FIRE1122_raw!AN56="-","-",ROUND(FIRE1122_raw!AN56,0))</f>
        <v>37</v>
      </c>
      <c r="AO56" s="26"/>
      <c r="AP56" s="21">
        <f ca="1">ROUND(FIRE1122_raw!AP56,0)</f>
        <v>53</v>
      </c>
      <c r="AQ56" s="21">
        <f ca="1">ROUND(FIRE1122_raw!AQ56,0)</f>
        <v>178</v>
      </c>
      <c r="AR56" s="21">
        <f ca="1">ROUND(FIRE1122_raw!AR56,0)</f>
        <v>41</v>
      </c>
      <c r="AS56" s="21">
        <f ca="1">ROUND(FIRE1122_raw!AS56,0)</f>
        <v>22</v>
      </c>
      <c r="AT56" s="21">
        <f ca="1">ROUND(FIRE1122_raw!AT56,0)</f>
        <v>6</v>
      </c>
      <c r="AU56" s="21">
        <f ca="1">ROUND(FIRE1122_raw!AU56,0)</f>
        <v>0</v>
      </c>
      <c r="AV56" s="21">
        <f ca="1">IF(FIRE1122_raw!AV56="-","-",ROUND(FIRE1122_raw!AV56,0))</f>
        <v>32</v>
      </c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7" customFormat="1" ht="15" customHeight="1" x14ac:dyDescent="0.3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17"/>
      <c r="AX57" s="17"/>
      <c r="AY57" s="17"/>
    </row>
    <row r="58" spans="1:57" x14ac:dyDescent="0.35">
      <c r="A58" s="68" t="s">
        <v>62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57" x14ac:dyDescent="0.35">
      <c r="A59" s="68" t="s">
        <v>99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57" x14ac:dyDescent="0.35">
      <c r="A60" s="54" t="s">
        <v>102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57" x14ac:dyDescent="0.3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57" x14ac:dyDescent="0.35">
      <c r="A62" s="48" t="s">
        <v>63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57" x14ac:dyDescent="0.35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57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x14ac:dyDescent="0.35">
      <c r="A65" s="2" t="s">
        <v>64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x14ac:dyDescent="0.35">
      <c r="A66" s="50" t="s">
        <v>65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x14ac:dyDescent="0.35">
      <c r="A68" s="68" t="s">
        <v>66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x14ac:dyDescent="0.35">
      <c r="A69" s="5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3"/>
    </row>
    <row r="70" spans="1:48" x14ac:dyDescent="0.35">
      <c r="A70" s="2" t="s">
        <v>67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52" t="s">
        <v>68</v>
      </c>
    </row>
    <row r="71" spans="1:48" x14ac:dyDescent="0.35">
      <c r="A71" s="53" t="s">
        <v>100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5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51" t="s">
        <v>101</v>
      </c>
    </row>
    <row r="101" spans="52:52" x14ac:dyDescent="0.35">
      <c r="AZ101" s="4" t="s">
        <v>92</v>
      </c>
    </row>
    <row r="102" spans="52:52" x14ac:dyDescent="0.35">
      <c r="AZ102" s="4" t="s">
        <v>91</v>
      </c>
    </row>
  </sheetData>
  <mergeCells count="14">
    <mergeCell ref="A61:X61"/>
    <mergeCell ref="A63:X63"/>
    <mergeCell ref="A68:X68"/>
    <mergeCell ref="A59:Z59"/>
    <mergeCell ref="A58:Z58"/>
    <mergeCell ref="A1:AV1"/>
    <mergeCell ref="A4:L4"/>
    <mergeCell ref="B5:AV5"/>
    <mergeCell ref="B6:H6"/>
    <mergeCell ref="J6:P6"/>
    <mergeCell ref="R6:X6"/>
    <mergeCell ref="Z6:AF6"/>
    <mergeCell ref="AH6:AN6"/>
    <mergeCell ref="AP6:AV6"/>
  </mergeCells>
  <dataValidations count="1">
    <dataValidation type="list" allowBlank="1" showInputMessage="1" showErrorMessage="1" sqref="A4:L4" xr:uid="{00000000-0002-0000-0400-000000000000}">
      <formula1>$AZ$101:$AZ$102</formula1>
    </dataValidation>
  </dataValidations>
  <hyperlinks>
    <hyperlink ref="A66" r:id="rId1" xr:uid="{00000000-0004-0000-0400-000000000000}"/>
    <hyperlink ref="A71" r:id="rId2" xr:uid="{00000000-0004-0000-0400-000001000000}"/>
    <hyperlink ref="AV70" r:id="rId3" xr:uid="{00000000-0004-0000-04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(2016-17)</vt:lpstr>
      <vt:lpstr>2017-18_working</vt:lpstr>
      <vt:lpstr>(2017-18)</vt:lpstr>
      <vt:lpstr>FIRE1122_raw</vt:lpstr>
      <vt:lpstr>FIRE1122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FIRE1122: Staff joining fire authorities, by fire and rescue authority, age and role</dc:title>
  <dc:creator/>
  <cp:keywords>data tables, age, role, 2018</cp:keywords>
  <cp:lastModifiedBy/>
  <dcterms:created xsi:type="dcterms:W3CDTF">2018-10-16T14:51:50Z</dcterms:created>
  <dcterms:modified xsi:type="dcterms:W3CDTF">2018-10-16T14:53:04Z</dcterms:modified>
</cp:coreProperties>
</file>