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0_ncr:100000_{355DAA08-A9AC-4B9F-AB1F-E82B1182929E}" xr6:coauthVersionLast="31" xr6:coauthVersionMax="31" xr10:uidLastSave="{00000000-0000-0000-0000-000000000000}"/>
  <workbookProtection workbookAlgorithmName="SHA-512" workbookHashValue="Ar1JpSN/jgnsx7qaZ1FRVL4q9NvXFxkDMC91FgtysBFYIcQRju749pFodD8g7QpStqTicbB+NKzdshXQoWjLwQ==" workbookSaltValue="Ol/Jo9CZYsXgue4Oa/SkhQ==" workbookSpinCount="100000" lockStructure="1"/>
  <bookViews>
    <workbookView xWindow="0" yWindow="0" windowWidth="19200" windowHeight="6800" firstSheet="4" activeTab="4" xr2:uid="{00000000-000D-0000-FFFF-FFFF00000000}"/>
  </bookViews>
  <sheets>
    <sheet name="(2016-17)" sheetId="1" state="hidden" r:id="rId1"/>
    <sheet name="2017-18_working" sheetId="3" state="hidden" r:id="rId2"/>
    <sheet name="(2017-18)" sheetId="4" state="hidden" r:id="rId3"/>
    <sheet name="FIRE1121_raw" sheetId="5" state="hidden" r:id="rId4"/>
    <sheet name="FIRE1121" sheetId="6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9" i="1" l="1"/>
  <c r="AP8" i="1" s="1"/>
  <c r="AO9" i="1"/>
  <c r="AO8" i="1" s="1"/>
  <c r="AN9" i="1"/>
  <c r="AM9" i="1"/>
  <c r="AM8" i="1" s="1"/>
  <c r="AN8" i="1"/>
  <c r="AG9" i="1"/>
  <c r="AF9" i="1"/>
  <c r="AE9" i="1"/>
  <c r="AD9" i="1"/>
  <c r="AG8" i="1"/>
  <c r="AF8" i="1"/>
  <c r="AE8" i="1"/>
  <c r="O9" i="1"/>
  <c r="N9" i="1"/>
  <c r="M9" i="1"/>
  <c r="L9" i="1"/>
  <c r="L8" i="1" s="1"/>
  <c r="O8" i="1"/>
  <c r="N8" i="1"/>
  <c r="M8" i="1"/>
  <c r="C9" i="1"/>
  <c r="C8" i="1" s="1"/>
  <c r="D9" i="1"/>
  <c r="D8" i="1" s="1"/>
  <c r="E9" i="1"/>
  <c r="E8" i="1" s="1"/>
  <c r="F9" i="1"/>
  <c r="BD32" i="1"/>
  <c r="AL9" i="1"/>
  <c r="AL8" i="1" s="1"/>
  <c r="AC9" i="1"/>
  <c r="AC8" i="1" s="1"/>
  <c r="T10" i="1"/>
  <c r="AU10" i="1" s="1"/>
  <c r="U10" i="1"/>
  <c r="AV10" i="1" s="1"/>
  <c r="V10" i="1"/>
  <c r="V9" i="1" s="1"/>
  <c r="W10" i="1"/>
  <c r="W9" i="1" s="1"/>
  <c r="W8" i="1" s="1"/>
  <c r="X10" i="1"/>
  <c r="X9" i="1" s="1"/>
  <c r="X8" i="1" s="1"/>
  <c r="Y10" i="1"/>
  <c r="AZ10" i="1" s="1"/>
  <c r="T11" i="1"/>
  <c r="U11" i="1"/>
  <c r="V11" i="1"/>
  <c r="W11" i="1"/>
  <c r="AX11" i="1" s="1"/>
  <c r="X11" i="1"/>
  <c r="Y11" i="1"/>
  <c r="T12" i="1"/>
  <c r="AU12" i="1" s="1"/>
  <c r="U12" i="1"/>
  <c r="AV12" i="1" s="1"/>
  <c r="V12" i="1"/>
  <c r="W12" i="1"/>
  <c r="X12" i="1"/>
  <c r="AY12" i="1" s="1"/>
  <c r="Y12" i="1"/>
  <c r="AZ12" i="1" s="1"/>
  <c r="T13" i="1"/>
  <c r="U13" i="1"/>
  <c r="V13" i="1"/>
  <c r="W13" i="1"/>
  <c r="AX13" i="1" s="1"/>
  <c r="X13" i="1"/>
  <c r="Y13" i="1"/>
  <c r="T14" i="1"/>
  <c r="U14" i="1"/>
  <c r="AV14" i="1" s="1"/>
  <c r="V14" i="1"/>
  <c r="W14" i="1"/>
  <c r="X14" i="1"/>
  <c r="AY14" i="1" s="1"/>
  <c r="Y14" i="1"/>
  <c r="AZ14" i="1" s="1"/>
  <c r="T15" i="1"/>
  <c r="U15" i="1"/>
  <c r="V15" i="1"/>
  <c r="AW15" i="1" s="1"/>
  <c r="W15" i="1"/>
  <c r="AX15" i="1" s="1"/>
  <c r="X15" i="1"/>
  <c r="Y15" i="1"/>
  <c r="T16" i="1"/>
  <c r="U16" i="1"/>
  <c r="AV16" i="1" s="1"/>
  <c r="V16" i="1"/>
  <c r="W16" i="1"/>
  <c r="X16" i="1"/>
  <c r="Y16" i="1"/>
  <c r="AZ16" i="1" s="1"/>
  <c r="T17" i="1"/>
  <c r="U17" i="1"/>
  <c r="V17" i="1"/>
  <c r="AW17" i="1" s="1"/>
  <c r="W17" i="1"/>
  <c r="AX17" i="1" s="1"/>
  <c r="X17" i="1"/>
  <c r="Y17" i="1"/>
  <c r="T18" i="1"/>
  <c r="AU18" i="1" s="1"/>
  <c r="U18" i="1"/>
  <c r="AV18" i="1" s="1"/>
  <c r="V18" i="1"/>
  <c r="W18" i="1"/>
  <c r="X18" i="1"/>
  <c r="Y18" i="1"/>
  <c r="AZ18" i="1" s="1"/>
  <c r="T19" i="1"/>
  <c r="U19" i="1"/>
  <c r="V19" i="1"/>
  <c r="W19" i="1"/>
  <c r="AX19" i="1" s="1"/>
  <c r="X19" i="1"/>
  <c r="Y19" i="1"/>
  <c r="T20" i="1"/>
  <c r="AU20" i="1" s="1"/>
  <c r="U20" i="1"/>
  <c r="AV20" i="1" s="1"/>
  <c r="V20" i="1"/>
  <c r="W20" i="1"/>
  <c r="X20" i="1"/>
  <c r="AY20" i="1" s="1"/>
  <c r="Y20" i="1"/>
  <c r="AZ20" i="1" s="1"/>
  <c r="T21" i="1"/>
  <c r="U21" i="1"/>
  <c r="V21" i="1"/>
  <c r="W21" i="1"/>
  <c r="AX21" i="1" s="1"/>
  <c r="X21" i="1"/>
  <c r="Y21" i="1"/>
  <c r="T22" i="1"/>
  <c r="U22" i="1"/>
  <c r="AV22" i="1" s="1"/>
  <c r="V22" i="1"/>
  <c r="W22" i="1"/>
  <c r="X22" i="1"/>
  <c r="AY22" i="1" s="1"/>
  <c r="Y22" i="1"/>
  <c r="AZ22" i="1" s="1"/>
  <c r="T23" i="1"/>
  <c r="U23" i="1"/>
  <c r="V23" i="1"/>
  <c r="AW23" i="1" s="1"/>
  <c r="W23" i="1"/>
  <c r="AX23" i="1" s="1"/>
  <c r="X23" i="1"/>
  <c r="Y23" i="1"/>
  <c r="T24" i="1"/>
  <c r="U24" i="1"/>
  <c r="AV24" i="1" s="1"/>
  <c r="V24" i="1"/>
  <c r="W24" i="1"/>
  <c r="X24" i="1"/>
  <c r="Y24" i="1"/>
  <c r="AZ24" i="1" s="1"/>
  <c r="T25" i="1"/>
  <c r="U25" i="1"/>
  <c r="V25" i="1"/>
  <c r="AW25" i="1" s="1"/>
  <c r="W25" i="1"/>
  <c r="AX25" i="1" s="1"/>
  <c r="X25" i="1"/>
  <c r="Y25" i="1"/>
  <c r="T26" i="1"/>
  <c r="AU26" i="1" s="1"/>
  <c r="U26" i="1"/>
  <c r="AV26" i="1" s="1"/>
  <c r="V26" i="1"/>
  <c r="W26" i="1"/>
  <c r="X26" i="1"/>
  <c r="Y26" i="1"/>
  <c r="AZ26" i="1" s="1"/>
  <c r="T27" i="1"/>
  <c r="U27" i="1"/>
  <c r="V27" i="1"/>
  <c r="W27" i="1"/>
  <c r="AX27" i="1" s="1"/>
  <c r="X27" i="1"/>
  <c r="Y27" i="1"/>
  <c r="T28" i="1"/>
  <c r="AU28" i="1" s="1"/>
  <c r="U28" i="1"/>
  <c r="AV28" i="1" s="1"/>
  <c r="V28" i="1"/>
  <c r="W28" i="1"/>
  <c r="X28" i="1"/>
  <c r="AY28" i="1" s="1"/>
  <c r="Y28" i="1"/>
  <c r="AZ28" i="1" s="1"/>
  <c r="T29" i="1"/>
  <c r="U29" i="1"/>
  <c r="V29" i="1"/>
  <c r="W29" i="1"/>
  <c r="AX29" i="1" s="1"/>
  <c r="X29" i="1"/>
  <c r="Y29" i="1"/>
  <c r="T30" i="1"/>
  <c r="U30" i="1"/>
  <c r="AV30" i="1" s="1"/>
  <c r="V30" i="1"/>
  <c r="W30" i="1"/>
  <c r="X30" i="1"/>
  <c r="AY30" i="1" s="1"/>
  <c r="Y30" i="1"/>
  <c r="AZ30" i="1" s="1"/>
  <c r="U31" i="1"/>
  <c r="V31" i="1"/>
  <c r="W31" i="1"/>
  <c r="AX31" i="1" s="1"/>
  <c r="X31" i="1"/>
  <c r="T33" i="1"/>
  <c r="U33" i="1"/>
  <c r="V33" i="1"/>
  <c r="W33" i="1"/>
  <c r="AX33" i="1" s="1"/>
  <c r="X33" i="1"/>
  <c r="Y33" i="1"/>
  <c r="T34" i="1"/>
  <c r="U34" i="1"/>
  <c r="AV34" i="1" s="1"/>
  <c r="V34" i="1"/>
  <c r="W34" i="1"/>
  <c r="X34" i="1"/>
  <c r="AY34" i="1" s="1"/>
  <c r="Y34" i="1"/>
  <c r="AZ34" i="1" s="1"/>
  <c r="T35" i="1"/>
  <c r="U35" i="1"/>
  <c r="V35" i="1"/>
  <c r="AW35" i="1" s="1"/>
  <c r="W35" i="1"/>
  <c r="AX35" i="1" s="1"/>
  <c r="X35" i="1"/>
  <c r="Y35" i="1"/>
  <c r="T36" i="1"/>
  <c r="U36" i="1"/>
  <c r="AV36" i="1" s="1"/>
  <c r="V36" i="1"/>
  <c r="W36" i="1"/>
  <c r="X36" i="1"/>
  <c r="Y36" i="1"/>
  <c r="AZ36" i="1" s="1"/>
  <c r="T37" i="1"/>
  <c r="U37" i="1"/>
  <c r="V37" i="1"/>
  <c r="AW37" i="1" s="1"/>
  <c r="W37" i="1"/>
  <c r="AX37" i="1" s="1"/>
  <c r="X37" i="1"/>
  <c r="Y37" i="1"/>
  <c r="T38" i="1"/>
  <c r="AU38" i="1" s="1"/>
  <c r="U38" i="1"/>
  <c r="AV38" i="1" s="1"/>
  <c r="V38" i="1"/>
  <c r="W38" i="1"/>
  <c r="X38" i="1"/>
  <c r="Y38" i="1"/>
  <c r="AZ38" i="1" s="1"/>
  <c r="T39" i="1"/>
  <c r="U39" i="1"/>
  <c r="V39" i="1"/>
  <c r="W39" i="1"/>
  <c r="AX39" i="1" s="1"/>
  <c r="X39" i="1"/>
  <c r="Y39" i="1"/>
  <c r="T40" i="1"/>
  <c r="AU40" i="1" s="1"/>
  <c r="U40" i="1"/>
  <c r="AV40" i="1" s="1"/>
  <c r="V40" i="1"/>
  <c r="W40" i="1"/>
  <c r="X40" i="1"/>
  <c r="AY40" i="1" s="1"/>
  <c r="Y40" i="1"/>
  <c r="AZ40" i="1" s="1"/>
  <c r="T41" i="1"/>
  <c r="U41" i="1"/>
  <c r="V41" i="1"/>
  <c r="W41" i="1"/>
  <c r="AX41" i="1" s="1"/>
  <c r="X41" i="1"/>
  <c r="Y41" i="1"/>
  <c r="T42" i="1"/>
  <c r="U42" i="1"/>
  <c r="AV42" i="1" s="1"/>
  <c r="V42" i="1"/>
  <c r="W42" i="1"/>
  <c r="X42" i="1"/>
  <c r="AY42" i="1" s="1"/>
  <c r="Y42" i="1"/>
  <c r="AZ42" i="1" s="1"/>
  <c r="T43" i="1"/>
  <c r="U43" i="1"/>
  <c r="V43" i="1"/>
  <c r="W43" i="1"/>
  <c r="AX43" i="1" s="1"/>
  <c r="X43" i="1"/>
  <c r="Y43" i="1"/>
  <c r="T44" i="1"/>
  <c r="U44" i="1"/>
  <c r="AV44" i="1" s="1"/>
  <c r="V44" i="1"/>
  <c r="W44" i="1"/>
  <c r="X44" i="1"/>
  <c r="Y44" i="1"/>
  <c r="AZ44" i="1" s="1"/>
  <c r="T45" i="1"/>
  <c r="U45" i="1"/>
  <c r="V45" i="1"/>
  <c r="AW45" i="1" s="1"/>
  <c r="W45" i="1"/>
  <c r="AX45" i="1" s="1"/>
  <c r="X45" i="1"/>
  <c r="Y45" i="1"/>
  <c r="T46" i="1"/>
  <c r="U46" i="1"/>
  <c r="AV46" i="1" s="1"/>
  <c r="V46" i="1"/>
  <c r="W46" i="1"/>
  <c r="X46" i="1"/>
  <c r="Y46" i="1"/>
  <c r="AZ46" i="1" s="1"/>
  <c r="T47" i="1"/>
  <c r="U47" i="1"/>
  <c r="V47" i="1"/>
  <c r="W47" i="1"/>
  <c r="AX47" i="1" s="1"/>
  <c r="X47" i="1"/>
  <c r="Y47" i="1"/>
  <c r="T48" i="1"/>
  <c r="AU48" i="1" s="1"/>
  <c r="U48" i="1"/>
  <c r="AV48" i="1" s="1"/>
  <c r="V48" i="1"/>
  <c r="W48" i="1"/>
  <c r="X48" i="1"/>
  <c r="Y48" i="1"/>
  <c r="AZ48" i="1" s="1"/>
  <c r="T49" i="1"/>
  <c r="U49" i="1"/>
  <c r="V49" i="1"/>
  <c r="W49" i="1"/>
  <c r="AX49" i="1" s="1"/>
  <c r="X49" i="1"/>
  <c r="AY49" i="1" s="1"/>
  <c r="Y49" i="1"/>
  <c r="T50" i="1"/>
  <c r="AU50" i="1" s="1"/>
  <c r="U50" i="1"/>
  <c r="AV50" i="1" s="1"/>
  <c r="V50" i="1"/>
  <c r="AW50" i="1" s="1"/>
  <c r="W50" i="1"/>
  <c r="X50" i="1"/>
  <c r="Y50" i="1"/>
  <c r="AZ50" i="1" s="1"/>
  <c r="T51" i="1"/>
  <c r="AU51" i="1" s="1"/>
  <c r="U51" i="1"/>
  <c r="V51" i="1"/>
  <c r="AW51" i="1" s="1"/>
  <c r="W51" i="1"/>
  <c r="AX51" i="1" s="1"/>
  <c r="X51" i="1"/>
  <c r="AY51" i="1" s="1"/>
  <c r="Y51" i="1"/>
  <c r="T52" i="1"/>
  <c r="U52" i="1"/>
  <c r="AV52" i="1" s="1"/>
  <c r="V52" i="1"/>
  <c r="AW52" i="1" s="1"/>
  <c r="W52" i="1"/>
  <c r="X52" i="1"/>
  <c r="AY52" i="1" s="1"/>
  <c r="Y52" i="1"/>
  <c r="AZ52" i="1" s="1"/>
  <c r="T53" i="1"/>
  <c r="AU53" i="1" s="1"/>
  <c r="U53" i="1"/>
  <c r="V53" i="1"/>
  <c r="W53" i="1"/>
  <c r="AX53" i="1" s="1"/>
  <c r="X53" i="1"/>
  <c r="AY53" i="1" s="1"/>
  <c r="Y53" i="1"/>
  <c r="T54" i="1"/>
  <c r="AU54" i="1" s="1"/>
  <c r="U54" i="1"/>
  <c r="AV54" i="1" s="1"/>
  <c r="V54" i="1"/>
  <c r="AW54" i="1" s="1"/>
  <c r="W54" i="1"/>
  <c r="X54" i="1"/>
  <c r="Y54" i="1"/>
  <c r="AZ54" i="1" s="1"/>
  <c r="T55" i="1"/>
  <c r="AU55" i="1" s="1"/>
  <c r="U55" i="1"/>
  <c r="V55" i="1"/>
  <c r="AW55" i="1" s="1"/>
  <c r="W55" i="1"/>
  <c r="AX55" i="1" s="1"/>
  <c r="X55" i="1"/>
  <c r="AY55" i="1" s="1"/>
  <c r="Y55" i="1"/>
  <c r="T56" i="1"/>
  <c r="U56" i="1"/>
  <c r="AV56" i="1" s="1"/>
  <c r="V56" i="1"/>
  <c r="AW56" i="1" s="1"/>
  <c r="W56" i="1"/>
  <c r="X56" i="1"/>
  <c r="AY56" i="1" s="1"/>
  <c r="Y56" i="1"/>
  <c r="AZ56" i="1" s="1"/>
  <c r="AW10" i="1"/>
  <c r="AX10" i="1"/>
  <c r="AY10" i="1"/>
  <c r="AU11" i="1"/>
  <c r="AV11" i="1"/>
  <c r="AW11" i="1"/>
  <c r="AY11" i="1"/>
  <c r="AZ11" i="1"/>
  <c r="AW12" i="1"/>
  <c r="AX12" i="1"/>
  <c r="AU13" i="1"/>
  <c r="AV13" i="1"/>
  <c r="AW13" i="1"/>
  <c r="AY13" i="1"/>
  <c r="AZ13" i="1"/>
  <c r="AU14" i="1"/>
  <c r="AW14" i="1"/>
  <c r="AX14" i="1"/>
  <c r="AU15" i="1"/>
  <c r="AV15" i="1"/>
  <c r="AY15" i="1"/>
  <c r="AZ15" i="1"/>
  <c r="AU16" i="1"/>
  <c r="AW16" i="1"/>
  <c r="AX16" i="1"/>
  <c r="AY16" i="1"/>
  <c r="AU17" i="1"/>
  <c r="AV17" i="1"/>
  <c r="AY17" i="1"/>
  <c r="AZ17" i="1"/>
  <c r="AW18" i="1"/>
  <c r="AX18" i="1"/>
  <c r="AY18" i="1"/>
  <c r="AU19" i="1"/>
  <c r="AV19" i="1"/>
  <c r="AW19" i="1"/>
  <c r="AY19" i="1"/>
  <c r="AZ19" i="1"/>
  <c r="AW20" i="1"/>
  <c r="AX20" i="1"/>
  <c r="AU21" i="1"/>
  <c r="AV21" i="1"/>
  <c r="AW21" i="1"/>
  <c r="AY21" i="1"/>
  <c r="AZ21" i="1"/>
  <c r="AU22" i="1"/>
  <c r="AW22" i="1"/>
  <c r="AX22" i="1"/>
  <c r="AU23" i="1"/>
  <c r="AV23" i="1"/>
  <c r="AY23" i="1"/>
  <c r="AZ23" i="1"/>
  <c r="AU24" i="1"/>
  <c r="AW24" i="1"/>
  <c r="AX24" i="1"/>
  <c r="AY24" i="1"/>
  <c r="AU25" i="1"/>
  <c r="AV25" i="1"/>
  <c r="AY25" i="1"/>
  <c r="AZ25" i="1"/>
  <c r="AW26" i="1"/>
  <c r="AX26" i="1"/>
  <c r="AY26" i="1"/>
  <c r="AU27" i="1"/>
  <c r="AV27" i="1"/>
  <c r="AW27" i="1"/>
  <c r="AY27" i="1"/>
  <c r="AZ27" i="1"/>
  <c r="AW28" i="1"/>
  <c r="AX28" i="1"/>
  <c r="AU29" i="1"/>
  <c r="AV29" i="1"/>
  <c r="AW29" i="1"/>
  <c r="AY29" i="1"/>
  <c r="AZ29" i="1"/>
  <c r="AU30" i="1"/>
  <c r="AW30" i="1"/>
  <c r="AX30" i="1"/>
  <c r="AV31" i="1"/>
  <c r="AW31" i="1"/>
  <c r="AY31" i="1"/>
  <c r="AU33" i="1"/>
  <c r="AV33" i="1"/>
  <c r="AW33" i="1"/>
  <c r="AY33" i="1"/>
  <c r="AZ33" i="1"/>
  <c r="AU34" i="1"/>
  <c r="AW34" i="1"/>
  <c r="AX34" i="1"/>
  <c r="AU35" i="1"/>
  <c r="AV35" i="1"/>
  <c r="AY35" i="1"/>
  <c r="AZ35" i="1"/>
  <c r="AU36" i="1"/>
  <c r="AW36" i="1"/>
  <c r="AX36" i="1"/>
  <c r="AY36" i="1"/>
  <c r="AU37" i="1"/>
  <c r="AV37" i="1"/>
  <c r="AY37" i="1"/>
  <c r="AZ37" i="1"/>
  <c r="AW38" i="1"/>
  <c r="AX38" i="1"/>
  <c r="AY38" i="1"/>
  <c r="AU39" i="1"/>
  <c r="AV39" i="1"/>
  <c r="AW39" i="1"/>
  <c r="AY39" i="1"/>
  <c r="AZ39" i="1"/>
  <c r="AW40" i="1"/>
  <c r="AX40" i="1"/>
  <c r="AU41" i="1"/>
  <c r="AV41" i="1"/>
  <c r="AW41" i="1"/>
  <c r="AY41" i="1"/>
  <c r="AZ41" i="1"/>
  <c r="AU42" i="1"/>
  <c r="AW42" i="1"/>
  <c r="AX42" i="1"/>
  <c r="AU43" i="1"/>
  <c r="AV43" i="1"/>
  <c r="AW43" i="1"/>
  <c r="AY43" i="1"/>
  <c r="AZ43" i="1"/>
  <c r="AU44" i="1"/>
  <c r="AW44" i="1"/>
  <c r="AX44" i="1"/>
  <c r="AY44" i="1"/>
  <c r="AU45" i="1"/>
  <c r="AV45" i="1"/>
  <c r="AY45" i="1"/>
  <c r="AZ45" i="1"/>
  <c r="AU46" i="1"/>
  <c r="AW46" i="1"/>
  <c r="AX46" i="1"/>
  <c r="AY46" i="1"/>
  <c r="AU47" i="1"/>
  <c r="AV47" i="1"/>
  <c r="AW47" i="1"/>
  <c r="AY47" i="1"/>
  <c r="AZ47" i="1"/>
  <c r="AW48" i="1"/>
  <c r="AX48" i="1"/>
  <c r="AY48" i="1"/>
  <c r="AU49" i="1"/>
  <c r="AV49" i="1"/>
  <c r="AW49" i="1"/>
  <c r="AZ49" i="1"/>
  <c r="AX50" i="1"/>
  <c r="AY50" i="1"/>
  <c r="AV51" i="1"/>
  <c r="AZ51" i="1"/>
  <c r="AU52" i="1"/>
  <c r="AX52" i="1"/>
  <c r="AV53" i="1"/>
  <c r="AW53" i="1"/>
  <c r="AZ53" i="1"/>
  <c r="AX54" i="1"/>
  <c r="AY54" i="1"/>
  <c r="AV55" i="1"/>
  <c r="AZ55" i="1"/>
  <c r="AU56" i="1"/>
  <c r="AX56" i="1"/>
  <c r="AQ9" i="1"/>
  <c r="AQ8" i="1" s="1"/>
  <c r="P9" i="1"/>
  <c r="P8" i="1" s="1"/>
  <c r="K9" i="1"/>
  <c r="K8" i="1" s="1"/>
  <c r="B9" i="1"/>
  <c r="B8" i="1" s="1"/>
  <c r="V8" i="1" l="1"/>
  <c r="AW9" i="1"/>
  <c r="Y31" i="1"/>
  <c r="Y9" i="1" s="1"/>
  <c r="Y8" i="1" s="1"/>
  <c r="AX9" i="1"/>
  <c r="U9" i="1"/>
  <c r="U8" i="1" s="1"/>
  <c r="T31" i="1"/>
  <c r="T9" i="1" s="1"/>
  <c r="T8" i="1" s="1"/>
  <c r="AZ31" i="1"/>
  <c r="G9" i="1"/>
  <c r="G8" i="1" s="1"/>
  <c r="AH9" i="1"/>
  <c r="AH8" i="1" s="1"/>
  <c r="AZ8" i="1" s="1"/>
  <c r="AD8" i="1"/>
  <c r="AV8" i="1" s="1"/>
  <c r="AW8" i="1"/>
  <c r="AY9" i="1"/>
  <c r="AX8" i="1"/>
  <c r="AU8" i="1"/>
  <c r="F8" i="1"/>
  <c r="AY8" i="1" s="1"/>
  <c r="AU31" i="1"/>
  <c r="AV9" i="1" l="1"/>
  <c r="AU9" i="1"/>
  <c r="AZ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F28" i="1" s="1"/>
  <c r="BD29" i="1"/>
  <c r="BD30" i="1"/>
  <c r="BD31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8" i="1"/>
  <c r="BD9" i="1" l="1"/>
  <c r="A4" i="5" l="1"/>
  <c r="AH10" i="4" l="1"/>
  <c r="AF10" i="4"/>
  <c r="AE10" i="4"/>
  <c r="AD10" i="4"/>
  <c r="AC10" i="4"/>
  <c r="AQ10" i="4"/>
  <c r="AO10" i="4"/>
  <c r="AN10" i="4"/>
  <c r="AM10" i="4"/>
  <c r="AL10" i="4"/>
  <c r="AE10" i="5"/>
  <c r="AO10" i="5"/>
  <c r="AL10" i="5"/>
  <c r="AQ10" i="5"/>
  <c r="AD10" i="5"/>
  <c r="AN10" i="5"/>
  <c r="AM10" i="5"/>
  <c r="AC10" i="5"/>
  <c r="AH10" i="5"/>
  <c r="AF10" i="5"/>
  <c r="AO11" i="4" l="1"/>
  <c r="AO13" i="4"/>
  <c r="AO14" i="4"/>
  <c r="AL15" i="4"/>
  <c r="AO16" i="4"/>
  <c r="AO18" i="4"/>
  <c r="AL20" i="4"/>
  <c r="AL22" i="4"/>
  <c r="AO22" i="4"/>
  <c r="AL23" i="4"/>
  <c r="AO24" i="4"/>
  <c r="AO25" i="4"/>
  <c r="AL27" i="4"/>
  <c r="AO28" i="4"/>
  <c r="AO31" i="4"/>
  <c r="AL33" i="4"/>
  <c r="AL35" i="4"/>
  <c r="AO36" i="4"/>
  <c r="AO39" i="4"/>
  <c r="AO41" i="4"/>
  <c r="AO42" i="4"/>
  <c r="AL44" i="4"/>
  <c r="AO45" i="4"/>
  <c r="AO50" i="4"/>
  <c r="AO52" i="4"/>
  <c r="AO53" i="4"/>
  <c r="AO54" i="4"/>
  <c r="AL56" i="4"/>
  <c r="AC11" i="4"/>
  <c r="AF13" i="4"/>
  <c r="AF15" i="4"/>
  <c r="AC17" i="4"/>
  <c r="AC19" i="4"/>
  <c r="AC22" i="4"/>
  <c r="AC23" i="4"/>
  <c r="AF24" i="4"/>
  <c r="AC26" i="4"/>
  <c r="AC27" i="4"/>
  <c r="AC28" i="4"/>
  <c r="AC30" i="4"/>
  <c r="AC31" i="4"/>
  <c r="AF31" i="4"/>
  <c r="AC33" i="4"/>
  <c r="AF34" i="4"/>
  <c r="AF35" i="4"/>
  <c r="AF36" i="4"/>
  <c r="AC38" i="4"/>
  <c r="AF39" i="4"/>
  <c r="AF41" i="4"/>
  <c r="AC42" i="4"/>
  <c r="AF43" i="4"/>
  <c r="AF44" i="4"/>
  <c r="AF46" i="4"/>
  <c r="AF47" i="4"/>
  <c r="AF50" i="4"/>
  <c r="AC51" i="4"/>
  <c r="AF51" i="4"/>
  <c r="AC52" i="4"/>
  <c r="AF52" i="4"/>
  <c r="AC53" i="4"/>
  <c r="AF53" i="4"/>
  <c r="AC54" i="4"/>
  <c r="AI54" i="4" s="1"/>
  <c r="AF54" i="4"/>
  <c r="AC55" i="4"/>
  <c r="AC56" i="4"/>
  <c r="AP15" i="4"/>
  <c r="AP17" i="4"/>
  <c r="AP18" i="4"/>
  <c r="AP19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7" i="4"/>
  <c r="AP39" i="4"/>
  <c r="AP40" i="4"/>
  <c r="AP41" i="4"/>
  <c r="AP42" i="4"/>
  <c r="AP43" i="4"/>
  <c r="AP51" i="4"/>
  <c r="AP52" i="4"/>
  <c r="AP53" i="4"/>
  <c r="AP54" i="4"/>
  <c r="AP55" i="4"/>
  <c r="AP56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7" i="4"/>
  <c r="AG38" i="4"/>
  <c r="AG39" i="4"/>
  <c r="AG40" i="4"/>
  <c r="AG41" i="4"/>
  <c r="AG43" i="4"/>
  <c r="AG44" i="4"/>
  <c r="AG45" i="4"/>
  <c r="AG46" i="4"/>
  <c r="AG47" i="4"/>
  <c r="AG50" i="4"/>
  <c r="AG51" i="4"/>
  <c r="AG52" i="4"/>
  <c r="AG53" i="4"/>
  <c r="AG54" i="4"/>
  <c r="AG55" i="4"/>
  <c r="AG56" i="4"/>
  <c r="AO12" i="4"/>
  <c r="AO15" i="4"/>
  <c r="AL17" i="4"/>
  <c r="AL19" i="4"/>
  <c r="AL21" i="4"/>
  <c r="AO23" i="4"/>
  <c r="AO26" i="4"/>
  <c r="AO29" i="4"/>
  <c r="AL30" i="4"/>
  <c r="AL31" i="4"/>
  <c r="AL32" i="4"/>
  <c r="AO33" i="4"/>
  <c r="AO35" i="4"/>
  <c r="AO37" i="4"/>
  <c r="AO38" i="4"/>
  <c r="AO40" i="4"/>
  <c r="AL42" i="4"/>
  <c r="AL43" i="4"/>
  <c r="AO44" i="4"/>
  <c r="AL45" i="4"/>
  <c r="AO46" i="4"/>
  <c r="AL47" i="4"/>
  <c r="AL50" i="4"/>
  <c r="AO51" i="4"/>
  <c r="AL53" i="4"/>
  <c r="AO55" i="4"/>
  <c r="AF11" i="4"/>
  <c r="AC12" i="4"/>
  <c r="AF12" i="4"/>
  <c r="AC14" i="4"/>
  <c r="AF14" i="4"/>
  <c r="AC16" i="4"/>
  <c r="AC18" i="4"/>
  <c r="AC20" i="4"/>
  <c r="AC24" i="4"/>
  <c r="AF27" i="4"/>
  <c r="AF28" i="4"/>
  <c r="AF32" i="4"/>
  <c r="AF33" i="4"/>
  <c r="AC35" i="4"/>
  <c r="AC37" i="4"/>
  <c r="AF38" i="4"/>
  <c r="AC41" i="4"/>
  <c r="AC43" i="4"/>
  <c r="AC44" i="4"/>
  <c r="AC45" i="4"/>
  <c r="AC46" i="4"/>
  <c r="AC47" i="4"/>
  <c r="AF56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S42" i="4" s="1"/>
  <c r="AM43" i="4"/>
  <c r="AM44" i="4"/>
  <c r="AM45" i="4"/>
  <c r="AM46" i="4"/>
  <c r="AM47" i="4"/>
  <c r="AM50" i="4"/>
  <c r="AM51" i="4"/>
  <c r="AM52" i="4"/>
  <c r="AM53" i="4"/>
  <c r="AR53" i="4" s="1"/>
  <c r="AM54" i="4"/>
  <c r="AM55" i="4"/>
  <c r="AM56" i="4"/>
  <c r="AD11" i="4"/>
  <c r="AI11" i="4" s="1"/>
  <c r="AD12" i="4"/>
  <c r="AD13" i="4"/>
  <c r="AD14" i="4"/>
  <c r="AD15" i="4"/>
  <c r="AD16" i="4"/>
  <c r="AD17" i="4"/>
  <c r="AD18" i="4"/>
  <c r="AD19" i="4"/>
  <c r="AD20" i="4"/>
  <c r="AD21" i="4"/>
  <c r="AD22" i="4"/>
  <c r="AD23" i="4"/>
  <c r="AJ23" i="4" s="1"/>
  <c r="AD24" i="4"/>
  <c r="AD25" i="4"/>
  <c r="AD26" i="4"/>
  <c r="AD27" i="4"/>
  <c r="AD28" i="4"/>
  <c r="AD29" i="4"/>
  <c r="AD30" i="4"/>
  <c r="AD31" i="4"/>
  <c r="AD32" i="4"/>
  <c r="AD33" i="4"/>
  <c r="AD34" i="4"/>
  <c r="AD35" i="4"/>
  <c r="AJ35" i="4" s="1"/>
  <c r="AD36" i="4"/>
  <c r="AD37" i="4"/>
  <c r="AD38" i="4"/>
  <c r="AD39" i="4"/>
  <c r="AJ39" i="4" s="1"/>
  <c r="AD40" i="4"/>
  <c r="AD41" i="4"/>
  <c r="AD42" i="4"/>
  <c r="AD43" i="4"/>
  <c r="AD44" i="4"/>
  <c r="AD45" i="4"/>
  <c r="AD46" i="4"/>
  <c r="AD47" i="4"/>
  <c r="AD50" i="4"/>
  <c r="AD51" i="4"/>
  <c r="AD52" i="4"/>
  <c r="AD53" i="4"/>
  <c r="AD54" i="4"/>
  <c r="AD55" i="4"/>
  <c r="AD56" i="4"/>
  <c r="AL11" i="4"/>
  <c r="AL12" i="4"/>
  <c r="AL13" i="4"/>
  <c r="AL14" i="4"/>
  <c r="AL16" i="4"/>
  <c r="AO17" i="4"/>
  <c r="AL18" i="4"/>
  <c r="AO19" i="4"/>
  <c r="AO20" i="4"/>
  <c r="AR20" i="4" s="1"/>
  <c r="AO21" i="4"/>
  <c r="AL24" i="4"/>
  <c r="AL25" i="4"/>
  <c r="AL26" i="4"/>
  <c r="AO27" i="4"/>
  <c r="AL28" i="4"/>
  <c r="AL29" i="4"/>
  <c r="AO30" i="4"/>
  <c r="AO32" i="4"/>
  <c r="AL34" i="4"/>
  <c r="AO34" i="4"/>
  <c r="AL36" i="4"/>
  <c r="AR36" i="4" s="1"/>
  <c r="AL37" i="4"/>
  <c r="AL38" i="4"/>
  <c r="AL39" i="4"/>
  <c r="AL40" i="4"/>
  <c r="AL41" i="4"/>
  <c r="AO43" i="4"/>
  <c r="AL46" i="4"/>
  <c r="AO47" i="4"/>
  <c r="AL51" i="4"/>
  <c r="AL52" i="4"/>
  <c r="AL54" i="4"/>
  <c r="AL55" i="4"/>
  <c r="AO56" i="4"/>
  <c r="AC13" i="4"/>
  <c r="AC15" i="4"/>
  <c r="AF16" i="4"/>
  <c r="AF17" i="4"/>
  <c r="AF18" i="4"/>
  <c r="AF19" i="4"/>
  <c r="AF20" i="4"/>
  <c r="AC21" i="4"/>
  <c r="AF21" i="4"/>
  <c r="AF22" i="4"/>
  <c r="AF23" i="4"/>
  <c r="AC25" i="4"/>
  <c r="AF25" i="4"/>
  <c r="AF26" i="4"/>
  <c r="AC29" i="4"/>
  <c r="AF29" i="4"/>
  <c r="AF30" i="4"/>
  <c r="AC32" i="4"/>
  <c r="AC34" i="4"/>
  <c r="AC36" i="4"/>
  <c r="AF37" i="4"/>
  <c r="AC39" i="4"/>
  <c r="AC40" i="4"/>
  <c r="AF40" i="4"/>
  <c r="AF42" i="4"/>
  <c r="AF45" i="4"/>
  <c r="AC50" i="4"/>
  <c r="AF55" i="4"/>
  <c r="AP16" i="4"/>
  <c r="AN11" i="4"/>
  <c r="AQ11" i="4"/>
  <c r="AN12" i="4"/>
  <c r="AQ12" i="4"/>
  <c r="AN13" i="4"/>
  <c r="AS13" i="4" s="1"/>
  <c r="AQ13" i="4"/>
  <c r="AN14" i="4"/>
  <c r="AQ14" i="4"/>
  <c r="AN15" i="4"/>
  <c r="AQ15" i="4"/>
  <c r="AN16" i="4"/>
  <c r="AQ16" i="4"/>
  <c r="AN17" i="4"/>
  <c r="AQ17" i="4"/>
  <c r="AN18" i="4"/>
  <c r="AQ18" i="4"/>
  <c r="AN19" i="4"/>
  <c r="AQ19" i="4"/>
  <c r="AN20" i="4"/>
  <c r="AQ20" i="4"/>
  <c r="AN21" i="4"/>
  <c r="AQ21" i="4"/>
  <c r="AN22" i="4"/>
  <c r="AQ22" i="4"/>
  <c r="AN23" i="4"/>
  <c r="AQ23" i="4"/>
  <c r="AS23" i="4" s="1"/>
  <c r="AN24" i="4"/>
  <c r="AQ24" i="4"/>
  <c r="AN25" i="4"/>
  <c r="AQ25" i="4"/>
  <c r="AN26" i="4"/>
  <c r="AQ26" i="4"/>
  <c r="AN27" i="4"/>
  <c r="AQ27" i="4"/>
  <c r="AN28" i="4"/>
  <c r="AQ28" i="4"/>
  <c r="AN29" i="4"/>
  <c r="AQ29" i="4"/>
  <c r="AN30" i="4"/>
  <c r="AQ30" i="4"/>
  <c r="AN31" i="4"/>
  <c r="AQ31" i="4"/>
  <c r="AS31" i="4" s="1"/>
  <c r="AN32" i="4"/>
  <c r="AQ32" i="4"/>
  <c r="AS32" i="4" s="1"/>
  <c r="AN33" i="4"/>
  <c r="AQ33" i="4"/>
  <c r="AN34" i="4"/>
  <c r="AQ34" i="4"/>
  <c r="AN35" i="4"/>
  <c r="AQ35" i="4"/>
  <c r="AN36" i="4"/>
  <c r="AQ36" i="4"/>
  <c r="AN37" i="4"/>
  <c r="AQ37" i="4"/>
  <c r="AN38" i="4"/>
  <c r="AQ38" i="4"/>
  <c r="AN39" i="4"/>
  <c r="AQ39" i="4"/>
  <c r="AN40" i="4"/>
  <c r="AQ40" i="4"/>
  <c r="AN41" i="4"/>
  <c r="AQ41" i="4"/>
  <c r="AN42" i="4"/>
  <c r="AQ42" i="4"/>
  <c r="AN43" i="4"/>
  <c r="AQ43" i="4"/>
  <c r="AN44" i="4"/>
  <c r="AQ44" i="4"/>
  <c r="AN45" i="4"/>
  <c r="AR45" i="4" s="1"/>
  <c r="AQ45" i="4"/>
  <c r="AN46" i="4"/>
  <c r="AQ46" i="4"/>
  <c r="AN47" i="4"/>
  <c r="AQ47" i="4"/>
  <c r="AN50" i="4"/>
  <c r="AQ50" i="4"/>
  <c r="AN51" i="4"/>
  <c r="AN49" i="4" s="1"/>
  <c r="AQ51" i="4"/>
  <c r="AN52" i="4"/>
  <c r="AQ52" i="4"/>
  <c r="AN53" i="4"/>
  <c r="AQ53" i="4"/>
  <c r="AN54" i="4"/>
  <c r="AQ54" i="4"/>
  <c r="AN55" i="4"/>
  <c r="AQ55" i="4"/>
  <c r="AN56" i="4"/>
  <c r="AQ56" i="4"/>
  <c r="AE11" i="4"/>
  <c r="AH11" i="4"/>
  <c r="AE12" i="4"/>
  <c r="AH12" i="4"/>
  <c r="AE13" i="4"/>
  <c r="AH13" i="4"/>
  <c r="AE14" i="4"/>
  <c r="AH14" i="4"/>
  <c r="AE15" i="4"/>
  <c r="AH15" i="4"/>
  <c r="AE16" i="4"/>
  <c r="AH16" i="4"/>
  <c r="AE17" i="4"/>
  <c r="AH17" i="4"/>
  <c r="AE18" i="4"/>
  <c r="AH18" i="4"/>
  <c r="AE19" i="4"/>
  <c r="AH19" i="4"/>
  <c r="AE20" i="4"/>
  <c r="AH20" i="4"/>
  <c r="AE21" i="4"/>
  <c r="AH21" i="4"/>
  <c r="AE22" i="4"/>
  <c r="AH22" i="4"/>
  <c r="AE23" i="4"/>
  <c r="AH23" i="4"/>
  <c r="AE24" i="4"/>
  <c r="AH24" i="4"/>
  <c r="AE25" i="4"/>
  <c r="AH25" i="4"/>
  <c r="AE26" i="4"/>
  <c r="AH26" i="4"/>
  <c r="AE27" i="4"/>
  <c r="AH27" i="4"/>
  <c r="AE28" i="4"/>
  <c r="AH28" i="4"/>
  <c r="AE29" i="4"/>
  <c r="AH29" i="4"/>
  <c r="AE30" i="4"/>
  <c r="AH30" i="4"/>
  <c r="AE31" i="4"/>
  <c r="AH31" i="4"/>
  <c r="AE32" i="4"/>
  <c r="AH32" i="4"/>
  <c r="AE33" i="4"/>
  <c r="AH33" i="4"/>
  <c r="AE34" i="4"/>
  <c r="AH34" i="4"/>
  <c r="AE35" i="4"/>
  <c r="AH35" i="4"/>
  <c r="AE36" i="4"/>
  <c r="AH36" i="4"/>
  <c r="AE37" i="4"/>
  <c r="AH37" i="4"/>
  <c r="AE38" i="4"/>
  <c r="AH38" i="4"/>
  <c r="AE39" i="4"/>
  <c r="AH39" i="4"/>
  <c r="AE40" i="4"/>
  <c r="AH40" i="4"/>
  <c r="AE41" i="4"/>
  <c r="AH41" i="4"/>
  <c r="AE42" i="4"/>
  <c r="AH42" i="4"/>
  <c r="AE43" i="4"/>
  <c r="AH43" i="4"/>
  <c r="AE44" i="4"/>
  <c r="AH44" i="4"/>
  <c r="AE45" i="4"/>
  <c r="AH45" i="4"/>
  <c r="AE46" i="4"/>
  <c r="AH46" i="4"/>
  <c r="AE47" i="4"/>
  <c r="AH47" i="4"/>
  <c r="AE50" i="4"/>
  <c r="AH50" i="4"/>
  <c r="AE51" i="4"/>
  <c r="AH51" i="4"/>
  <c r="AE52" i="4"/>
  <c r="AH52" i="4"/>
  <c r="AE53" i="4"/>
  <c r="AH53" i="4"/>
  <c r="AE54" i="4"/>
  <c r="AH54" i="4"/>
  <c r="AE55" i="4"/>
  <c r="AH55" i="4"/>
  <c r="AE56" i="4"/>
  <c r="AH56" i="4"/>
  <c r="AL48" i="4"/>
  <c r="AF48" i="4"/>
  <c r="AG48" i="4"/>
  <c r="AO48" i="4"/>
  <c r="AC48" i="4"/>
  <c r="AM48" i="4"/>
  <c r="AD48" i="4"/>
  <c r="AN48" i="4"/>
  <c r="AQ48" i="4"/>
  <c r="AE48" i="4"/>
  <c r="AI48" i="4" s="1"/>
  <c r="AH48" i="4"/>
  <c r="AG10" i="4"/>
  <c r="AJ10" i="4" s="1"/>
  <c r="AL10" i="6"/>
  <c r="AC10" i="6"/>
  <c r="AO10" i="6"/>
  <c r="AM10" i="6"/>
  <c r="AD10" i="6"/>
  <c r="AF10" i="6"/>
  <c r="AN10" i="6"/>
  <c r="AQ10" i="6"/>
  <c r="AE10" i="6"/>
  <c r="AH10" i="6"/>
  <c r="AJ21" i="4"/>
  <c r="AF49" i="4"/>
  <c r="AP10" i="4"/>
  <c r="AS10" i="4" s="1"/>
  <c r="AP11" i="4"/>
  <c r="AR11" i="4" s="1"/>
  <c r="AP12" i="4"/>
  <c r="AP13" i="4"/>
  <c r="AP14" i="4"/>
  <c r="AS14" i="4" s="1"/>
  <c r="AP20" i="4"/>
  <c r="AP21" i="4"/>
  <c r="AP22" i="4"/>
  <c r="AP36" i="4"/>
  <c r="AS36" i="4" s="1"/>
  <c r="AP38" i="4"/>
  <c r="AP44" i="4"/>
  <c r="AP45" i="4"/>
  <c r="AP46" i="4"/>
  <c r="AS46" i="4" s="1"/>
  <c r="AP47" i="4"/>
  <c r="AS47" i="4" s="1"/>
  <c r="AP48" i="4"/>
  <c r="AP50" i="4"/>
  <c r="AG36" i="4"/>
  <c r="AI36" i="4" s="1"/>
  <c r="AG42" i="4"/>
  <c r="AI14" i="4"/>
  <c r="AJ22" i="4"/>
  <c r="AJ45" i="4"/>
  <c r="AR14" i="4"/>
  <c r="AI10" i="4"/>
  <c r="AJ19" i="4"/>
  <c r="AJ26" i="4"/>
  <c r="AI50" i="4"/>
  <c r="AE49" i="4"/>
  <c r="AJ11" i="4" l="1"/>
  <c r="AR46" i="4"/>
  <c r="AS45" i="4"/>
  <c r="AN9" i="4"/>
  <c r="AJ54" i="4"/>
  <c r="AJ50" i="4"/>
  <c r="AJ46" i="4"/>
  <c r="AJ40" i="4"/>
  <c r="AJ28" i="4"/>
  <c r="AJ14" i="4"/>
  <c r="AS30" i="4"/>
  <c r="AS26" i="4"/>
  <c r="AJ13" i="4"/>
  <c r="AS43" i="4"/>
  <c r="AJ55" i="4"/>
  <c r="AJ41" i="4"/>
  <c r="AJ33" i="4"/>
  <c r="AJ29" i="4"/>
  <c r="AR55" i="4"/>
  <c r="AR51" i="4"/>
  <c r="AS41" i="4"/>
  <c r="AS25" i="4"/>
  <c r="AS17" i="4"/>
  <c r="AJ47" i="4"/>
  <c r="AI16" i="4"/>
  <c r="AR54" i="4"/>
  <c r="AS39" i="4"/>
  <c r="AI53" i="4"/>
  <c r="AO49" i="4"/>
  <c r="AS33" i="4"/>
  <c r="AR15" i="4"/>
  <c r="AL9" i="4"/>
  <c r="AJ31" i="4"/>
  <c r="AD9" i="4"/>
  <c r="AH9" i="4"/>
  <c r="AR16" i="4"/>
  <c r="AS16" i="4"/>
  <c r="AJ18" i="4"/>
  <c r="AS52" i="4"/>
  <c r="AR52" i="4"/>
  <c r="AS38" i="4"/>
  <c r="AS28" i="4"/>
  <c r="AS24" i="4"/>
  <c r="AS18" i="4"/>
  <c r="AJ37" i="4"/>
  <c r="AJ25" i="4"/>
  <c r="AC9" i="4"/>
  <c r="AS40" i="4"/>
  <c r="AJ52" i="4"/>
  <c r="AJ32" i="4"/>
  <c r="AI55" i="4"/>
  <c r="AJ51" i="4"/>
  <c r="AJ44" i="4"/>
  <c r="AJ34" i="4"/>
  <c r="AJ30" i="4"/>
  <c r="AJ24" i="4"/>
  <c r="AR24" i="4"/>
  <c r="AR28" i="4"/>
  <c r="AF9" i="4"/>
  <c r="AJ12" i="4"/>
  <c r="AS44" i="4"/>
  <c r="AI52" i="4"/>
  <c r="AJ16" i="4"/>
  <c r="AS15" i="4"/>
  <c r="AM9" i="4"/>
  <c r="AI51" i="4"/>
  <c r="AP49" i="4"/>
  <c r="AR50" i="4"/>
  <c r="AS50" i="4"/>
  <c r="AR22" i="4"/>
  <c r="AR13" i="4"/>
  <c r="AR44" i="4"/>
  <c r="AR21" i="4"/>
  <c r="AR12" i="4"/>
  <c r="AI47" i="4"/>
  <c r="AI45" i="4"/>
  <c r="AI43" i="4"/>
  <c r="AJ38" i="4"/>
  <c r="AI35" i="4"/>
  <c r="AJ27" i="4"/>
  <c r="AI20" i="4"/>
  <c r="AI12" i="4"/>
  <c r="AS55" i="4"/>
  <c r="AS51" i="4"/>
  <c r="AR43" i="4"/>
  <c r="AS37" i="4"/>
  <c r="AR31" i="4"/>
  <c r="AS29" i="4"/>
  <c r="AR19" i="4"/>
  <c r="AG49" i="4"/>
  <c r="AJ42" i="4"/>
  <c r="AS20" i="4"/>
  <c r="AS11" i="4"/>
  <c r="AR38" i="4"/>
  <c r="AJ36" i="4"/>
  <c r="AR47" i="4"/>
  <c r="AO9" i="4"/>
  <c r="AI39" i="4"/>
  <c r="AI32" i="4"/>
  <c r="AI25" i="4"/>
  <c r="AI21" i="4"/>
  <c r="AJ17" i="4"/>
  <c r="AI15" i="4"/>
  <c r="AS56" i="4"/>
  <c r="AR41" i="4"/>
  <c r="AR39" i="4"/>
  <c r="AR37" i="4"/>
  <c r="AS34" i="4"/>
  <c r="AR29" i="4"/>
  <c r="AS27" i="4"/>
  <c r="AR25" i="4"/>
  <c r="AS19" i="4"/>
  <c r="AD49" i="4"/>
  <c r="AD8" i="4" s="1"/>
  <c r="AM49" i="4"/>
  <c r="AI30" i="4"/>
  <c r="AI27" i="4"/>
  <c r="AI22" i="4"/>
  <c r="AI17" i="4"/>
  <c r="AR56" i="4"/>
  <c r="AS53" i="4"/>
  <c r="AR33" i="4"/>
  <c r="AR23" i="4"/>
  <c r="AH49" i="4"/>
  <c r="AH8" i="4" s="1"/>
  <c r="AQ49" i="4"/>
  <c r="AJ56" i="4"/>
  <c r="AI46" i="4"/>
  <c r="AI44" i="4"/>
  <c r="AI41" i="4"/>
  <c r="AI37" i="4"/>
  <c r="AI24" i="4"/>
  <c r="AI18" i="4"/>
  <c r="AL49" i="4"/>
  <c r="AR42" i="4"/>
  <c r="AS35" i="4"/>
  <c r="AR32" i="4"/>
  <c r="AR30" i="4"/>
  <c r="AR17" i="4"/>
  <c r="AC49" i="4"/>
  <c r="AI49" i="4" s="1"/>
  <c r="AI40" i="4"/>
  <c r="AI34" i="4"/>
  <c r="AI29" i="4"/>
  <c r="AJ20" i="4"/>
  <c r="AI13" i="4"/>
  <c r="AR40" i="4"/>
  <c r="AR34" i="4"/>
  <c r="AR26" i="4"/>
  <c r="AR18" i="4"/>
  <c r="AI56" i="4"/>
  <c r="AJ53" i="4"/>
  <c r="AJ43" i="4"/>
  <c r="AI38" i="4"/>
  <c r="AI33" i="4"/>
  <c r="AI31" i="4"/>
  <c r="AI28" i="4"/>
  <c r="AI26" i="4"/>
  <c r="AI23" i="4"/>
  <c r="AI19" i="4"/>
  <c r="AJ15" i="4"/>
  <c r="AS54" i="4"/>
  <c r="AR35" i="4"/>
  <c r="AR27" i="4"/>
  <c r="AJ48" i="4"/>
  <c r="AE9" i="4"/>
  <c r="AQ9" i="4"/>
  <c r="AQ8" i="4" s="1"/>
  <c r="AR10" i="4"/>
  <c r="AR48" i="4"/>
  <c r="AJ49" i="4"/>
  <c r="AI42" i="4"/>
  <c r="AF8" i="4"/>
  <c r="AS12" i="4"/>
  <c r="AE8" i="4"/>
  <c r="AN8" i="4"/>
  <c r="AC8" i="4"/>
  <c r="AS48" i="4"/>
  <c r="AS22" i="4"/>
  <c r="AS21" i="4"/>
  <c r="AG9" i="4"/>
  <c r="AG8" i="4" s="1"/>
  <c r="AP9" i="4"/>
  <c r="AO8" i="4"/>
  <c r="AS49" i="4" l="1"/>
  <c r="AR49" i="4"/>
  <c r="AL8" i="4"/>
  <c r="AM8" i="4"/>
  <c r="AP8" i="4"/>
  <c r="AI9" i="4"/>
  <c r="AJ8" i="4"/>
  <c r="AS9" i="4"/>
  <c r="AJ9" i="4"/>
  <c r="AR9" i="4"/>
  <c r="AI8" i="4"/>
  <c r="AD52" i="5"/>
  <c r="AG40" i="5"/>
  <c r="AF52" i="5"/>
  <c r="AD39" i="5"/>
  <c r="AC51" i="5"/>
  <c r="AG25" i="5"/>
  <c r="AH27" i="5"/>
  <c r="AM39" i="5"/>
  <c r="AF28" i="5"/>
  <c r="AD16" i="5"/>
  <c r="AO41" i="5"/>
  <c r="AO45" i="5"/>
  <c r="AL46" i="5"/>
  <c r="AL15" i="5"/>
  <c r="AH29" i="5"/>
  <c r="AP17" i="5"/>
  <c r="AQ31" i="5"/>
  <c r="AD41" i="5"/>
  <c r="AG34" i="5"/>
  <c r="AD43" i="5"/>
  <c r="AE26" i="5"/>
  <c r="AE32" i="5"/>
  <c r="AG19" i="5"/>
  <c r="AC41" i="5"/>
  <c r="AL33" i="5"/>
  <c r="AN31" i="5"/>
  <c r="AM20" i="5"/>
  <c r="AQ53" i="5"/>
  <c r="AD14" i="5"/>
  <c r="AC11" i="5"/>
  <c r="AD17" i="5"/>
  <c r="AG16" i="5"/>
  <c r="AM13" i="5"/>
  <c r="AC52" i="5"/>
  <c r="AF51" i="5"/>
  <c r="AD19" i="5"/>
  <c r="AG20" i="5"/>
  <c r="AF11" i="5"/>
  <c r="AG14" i="5"/>
  <c r="AG53" i="5"/>
  <c r="AQ20" i="5"/>
  <c r="AF21" i="5"/>
  <c r="AG15" i="5"/>
  <c r="AD31" i="5"/>
  <c r="AL20" i="5"/>
  <c r="AH50" i="5"/>
  <c r="AN45" i="5"/>
  <c r="AC18" i="5"/>
  <c r="AQ36" i="5"/>
  <c r="AD36" i="5"/>
  <c r="AH51" i="5"/>
  <c r="AD11" i="5"/>
  <c r="AM29" i="5"/>
  <c r="AP40" i="5"/>
  <c r="AG42" i="5"/>
  <c r="AL53" i="5"/>
  <c r="AD21" i="5"/>
  <c r="AO33" i="5"/>
  <c r="AF30" i="5"/>
  <c r="AO46" i="5"/>
  <c r="AO53" i="5"/>
  <c r="AL40" i="5"/>
  <c r="AO55" i="5"/>
  <c r="AF44" i="5"/>
  <c r="AF39" i="5"/>
  <c r="AC19" i="5"/>
  <c r="AQ42" i="5"/>
  <c r="AQ34" i="5"/>
  <c r="AF45" i="5"/>
  <c r="AG22" i="5"/>
  <c r="AE44" i="5"/>
  <c r="AO18" i="5"/>
  <c r="AH53" i="5"/>
  <c r="AD34" i="5"/>
  <c r="AL38" i="5"/>
  <c r="AP14" i="5"/>
  <c r="AH46" i="5"/>
  <c r="AM32" i="5"/>
  <c r="AL35" i="5"/>
  <c r="AM16" i="5"/>
  <c r="AL23" i="5"/>
  <c r="AF43" i="5"/>
  <c r="AM35" i="5"/>
  <c r="AF41" i="5"/>
  <c r="AM46" i="5"/>
  <c r="AF36" i="5"/>
  <c r="AP51" i="5"/>
  <c r="AN55" i="5"/>
  <c r="AQ17" i="5"/>
  <c r="AO38" i="5"/>
  <c r="AC55" i="5"/>
  <c r="AG45" i="5"/>
  <c r="AF48" i="5"/>
  <c r="AL25" i="5"/>
  <c r="AG26" i="5"/>
  <c r="AD25" i="5"/>
  <c r="AM19" i="5"/>
  <c r="AO35" i="5"/>
  <c r="AD32" i="5"/>
  <c r="AE11" i="5"/>
  <c r="AD30" i="5"/>
  <c r="AG47" i="5"/>
  <c r="AH56" i="5"/>
  <c r="AL42" i="5"/>
  <c r="AM22" i="5"/>
  <c r="AH38" i="5"/>
  <c r="AM14" i="5"/>
  <c r="AO42" i="5"/>
  <c r="AQ33" i="5"/>
  <c r="AN26" i="5"/>
  <c r="AD45" i="5"/>
  <c r="AN56" i="5"/>
  <c r="AP25" i="5"/>
  <c r="AP18" i="5"/>
  <c r="AF15" i="5"/>
  <c r="AC48" i="5"/>
  <c r="AH17" i="5"/>
  <c r="AQ15" i="5"/>
  <c r="AH16" i="5"/>
  <c r="AO31" i="5"/>
  <c r="AL47" i="5"/>
  <c r="AH43" i="5"/>
  <c r="AN50" i="5"/>
  <c r="AF53" i="5"/>
  <c r="AM27" i="5"/>
  <c r="AG23" i="5"/>
  <c r="AM53" i="5"/>
  <c r="AM17" i="5"/>
  <c r="AM52" i="5"/>
  <c r="AP19" i="5"/>
  <c r="AC28" i="5"/>
  <c r="AE46" i="5"/>
  <c r="AL12" i="5"/>
  <c r="AL34" i="5"/>
  <c r="AC56" i="5"/>
  <c r="AE40" i="5"/>
  <c r="AM30" i="5"/>
  <c r="AC21" i="5"/>
  <c r="AO27" i="5"/>
  <c r="AM51" i="5"/>
  <c r="AG41" i="5"/>
  <c r="AD26" i="5"/>
  <c r="AP10" i="5"/>
  <c r="AL55" i="5"/>
  <c r="AD22" i="5"/>
  <c r="AL37" i="5"/>
  <c r="AO29" i="5"/>
  <c r="AQ28" i="5"/>
  <c r="AD50" i="5"/>
  <c r="AH24" i="5"/>
  <c r="AD12" i="5"/>
  <c r="AD46" i="5"/>
  <c r="AM25" i="5"/>
  <c r="AO24" i="5"/>
  <c r="AE31" i="5"/>
  <c r="AF17" i="5"/>
  <c r="AN21" i="5"/>
  <c r="AD15" i="5"/>
  <c r="AN14" i="5"/>
  <c r="AL48" i="5"/>
  <c r="AH39" i="5"/>
  <c r="AO37" i="5"/>
  <c r="AE28" i="5"/>
  <c r="AH52" i="5"/>
  <c r="AG12" i="5"/>
  <c r="AG28" i="5"/>
  <c r="AC34" i="5"/>
  <c r="AD33" i="5"/>
  <c r="AM21" i="5"/>
  <c r="AD37" i="5"/>
  <c r="AC23" i="5"/>
  <c r="AL44" i="5"/>
  <c r="AF23" i="5"/>
  <c r="AG55" i="5"/>
  <c r="AQ54" i="5"/>
  <c r="AL56" i="5"/>
  <c r="AE47" i="5"/>
  <c r="AO23" i="5"/>
  <c r="AE29" i="5"/>
  <c r="AN54" i="5"/>
  <c r="AQ40" i="5"/>
  <c r="AP34" i="5"/>
  <c r="AQ25" i="5"/>
  <c r="AF24" i="5"/>
  <c r="AQ30" i="5"/>
  <c r="AN19" i="5"/>
  <c r="AP42" i="5"/>
  <c r="AH23" i="5"/>
  <c r="AC40" i="5"/>
  <c r="AP38" i="5"/>
  <c r="AH36" i="5"/>
  <c r="AD27" i="5"/>
  <c r="AH20" i="5"/>
  <c r="AD47" i="5"/>
  <c r="AN39" i="5"/>
  <c r="AQ29" i="5"/>
  <c r="AE39" i="5"/>
  <c r="AP39" i="5"/>
  <c r="AM43" i="5"/>
  <c r="AQ14" i="5"/>
  <c r="AN27" i="5"/>
  <c r="AO50" i="5"/>
  <c r="AL36" i="5"/>
  <c r="AD24" i="5"/>
  <c r="AH25" i="5"/>
  <c r="AP56" i="5"/>
  <c r="AC35" i="5"/>
  <c r="AE54" i="5"/>
  <c r="AL31" i="5"/>
  <c r="AG44" i="5"/>
  <c r="AF16" i="5"/>
  <c r="AN52" i="5"/>
  <c r="AH33" i="5"/>
  <c r="AF25" i="5"/>
  <c r="AH15" i="5"/>
  <c r="AH55" i="5"/>
  <c r="AP15" i="5"/>
  <c r="AQ24" i="5"/>
  <c r="AF20" i="5"/>
  <c r="AP13" i="5"/>
  <c r="AE36" i="5"/>
  <c r="AH31" i="5"/>
  <c r="AO43" i="5"/>
  <c r="AN13" i="5"/>
  <c r="AE23" i="5"/>
  <c r="AN37" i="5"/>
  <c r="AE43" i="5"/>
  <c r="AF13" i="5"/>
  <c r="AN53" i="5"/>
  <c r="AO47" i="5"/>
  <c r="AO28" i="5"/>
  <c r="AM23" i="5"/>
  <c r="AP21" i="5"/>
  <c r="AO22" i="5"/>
  <c r="AE24" i="5"/>
  <c r="AO32" i="5"/>
  <c r="AO25" i="5"/>
  <c r="AC31" i="5"/>
  <c r="AP54" i="5"/>
  <c r="AM50" i="5"/>
  <c r="AE41" i="5"/>
  <c r="AE53" i="5"/>
  <c r="AD53" i="5"/>
  <c r="AC32" i="5"/>
  <c r="AQ47" i="5"/>
  <c r="AL54" i="5"/>
  <c r="AL26" i="5"/>
  <c r="AN46" i="5"/>
  <c r="AN22" i="5"/>
  <c r="AG18" i="5"/>
  <c r="AE22" i="5"/>
  <c r="AH41" i="5"/>
  <c r="AP27" i="5"/>
  <c r="AG51" i="5"/>
  <c r="AM24" i="5"/>
  <c r="AC47" i="5"/>
  <c r="AN20" i="5"/>
  <c r="AL18" i="5"/>
  <c r="AM31" i="5"/>
  <c r="AQ44" i="5"/>
  <c r="AE35" i="5"/>
  <c r="AE19" i="5"/>
  <c r="AN18" i="5"/>
  <c r="AL32" i="5"/>
  <c r="AE15" i="5"/>
  <c r="AD54" i="5"/>
  <c r="AC25" i="5"/>
  <c r="AO13" i="5"/>
  <c r="AP32" i="5"/>
  <c r="AP35" i="5"/>
  <c r="AQ41" i="5"/>
  <c r="AO30" i="5"/>
  <c r="AL11" i="5"/>
  <c r="AO17" i="5"/>
  <c r="AF37" i="5"/>
  <c r="AD40" i="5"/>
  <c r="AM15" i="5"/>
  <c r="AL30" i="5"/>
  <c r="AG46" i="5"/>
  <c r="AL14" i="5"/>
  <c r="AF29" i="5"/>
  <c r="AE38" i="5"/>
  <c r="AC45" i="5"/>
  <c r="AQ18" i="5"/>
  <c r="AN38" i="5"/>
  <c r="AQ45" i="5"/>
  <c r="AN24" i="5"/>
  <c r="AQ48" i="5"/>
  <c r="AD48" i="5"/>
  <c r="AG21" i="5"/>
  <c r="AL52" i="5"/>
  <c r="AH28" i="5"/>
  <c r="AP53" i="5"/>
  <c r="AE20" i="5"/>
  <c r="AC54" i="5"/>
  <c r="AC17" i="5"/>
  <c r="AL19" i="5"/>
  <c r="AM37" i="5"/>
  <c r="AF56" i="5"/>
  <c r="AP45" i="5"/>
  <c r="AQ52" i="5"/>
  <c r="AO19" i="5"/>
  <c r="AG17" i="5"/>
  <c r="AG48" i="5"/>
  <c r="AH34" i="5"/>
  <c r="AM42" i="5"/>
  <c r="AD35" i="5"/>
  <c r="AN48" i="5"/>
  <c r="AN28" i="5"/>
  <c r="AF14" i="5"/>
  <c r="AD29" i="5"/>
  <c r="AQ26" i="5"/>
  <c r="AH40" i="5"/>
  <c r="AM44" i="5"/>
  <c r="AG24" i="5"/>
  <c r="AE27" i="5"/>
  <c r="AQ12" i="5"/>
  <c r="AL13" i="5"/>
  <c r="AM41" i="5"/>
  <c r="AC12" i="5"/>
  <c r="AD23" i="5"/>
  <c r="AO51" i="5"/>
  <c r="AF18" i="5"/>
  <c r="AG50" i="5"/>
  <c r="AF26" i="5"/>
  <c r="AH37" i="5"/>
  <c r="AL43" i="5"/>
  <c r="AH13" i="5"/>
  <c r="AC44" i="5"/>
  <c r="AE55" i="5"/>
  <c r="AC20" i="5"/>
  <c r="AH42" i="5"/>
  <c r="AM56" i="5"/>
  <c r="AN32" i="5"/>
  <c r="AP28" i="5"/>
  <c r="AF34" i="5"/>
  <c r="AQ27" i="5"/>
  <c r="AP46" i="5"/>
  <c r="AN47" i="5"/>
  <c r="AP33" i="5"/>
  <c r="AO21" i="5"/>
  <c r="AD28" i="5"/>
  <c r="AO56" i="5"/>
  <c r="AC37" i="5"/>
  <c r="AC26" i="5"/>
  <c r="AE13" i="5"/>
  <c r="AM18" i="5"/>
  <c r="AE52" i="5"/>
  <c r="AF32" i="5"/>
  <c r="AL39" i="5"/>
  <c r="AP22" i="5"/>
  <c r="AL41" i="5"/>
  <c r="AM33" i="5"/>
  <c r="AC15" i="5"/>
  <c r="AF47" i="5"/>
  <c r="AF55" i="5"/>
  <c r="AC42" i="5"/>
  <c r="AF40" i="5"/>
  <c r="AH44" i="5"/>
  <c r="AO11" i="5"/>
  <c r="AO12" i="5"/>
  <c r="AM45" i="5"/>
  <c r="AO20" i="5"/>
  <c r="AF31" i="5"/>
  <c r="AO39" i="5"/>
  <c r="AF35" i="5"/>
  <c r="AF50" i="5"/>
  <c r="AC24" i="5"/>
  <c r="AN16" i="5"/>
  <c r="AM12" i="5"/>
  <c r="AN35" i="5"/>
  <c r="AN11" i="5"/>
  <c r="AP12" i="5"/>
  <c r="AE25" i="5"/>
  <c r="AG36" i="5"/>
  <c r="AF27" i="5"/>
  <c r="AM55" i="5"/>
  <c r="AP47" i="5"/>
  <c r="AD18" i="5"/>
  <c r="AP48" i="5"/>
  <c r="AC53" i="5"/>
  <c r="AF19" i="5"/>
  <c r="AF12" i="5"/>
  <c r="AP43" i="5"/>
  <c r="AN36" i="5"/>
  <c r="AG29" i="5"/>
  <c r="AE30" i="5"/>
  <c r="AG11" i="5"/>
  <c r="AO15" i="5"/>
  <c r="AQ16" i="5"/>
  <c r="AG31" i="5"/>
  <c r="AL24" i="5"/>
  <c r="AO26" i="5"/>
  <c r="AL50" i="5"/>
  <c r="AC16" i="5"/>
  <c r="AM11" i="5"/>
  <c r="AG56" i="5"/>
  <c r="AH26" i="5"/>
  <c r="AP20" i="5"/>
  <c r="AO44" i="5"/>
  <c r="AH35" i="5"/>
  <c r="AN30" i="5"/>
  <c r="AC14" i="5"/>
  <c r="AH18" i="5"/>
  <c r="AG52" i="5"/>
  <c r="AO54" i="5"/>
  <c r="AN17" i="5"/>
  <c r="AD42" i="5"/>
  <c r="AQ37" i="5"/>
  <c r="AL16" i="5"/>
  <c r="AQ22" i="5"/>
  <c r="AE45" i="5"/>
  <c r="AH12" i="5"/>
  <c r="AQ46" i="5"/>
  <c r="AL27" i="5"/>
  <c r="AN15" i="5"/>
  <c r="AG30" i="5"/>
  <c r="AC27" i="5"/>
  <c r="AP26" i="5"/>
  <c r="AP41" i="5"/>
  <c r="AO16" i="5"/>
  <c r="AC13" i="5"/>
  <c r="AC33" i="5"/>
  <c r="AD38" i="5"/>
  <c r="AH14" i="5"/>
  <c r="AG38" i="5"/>
  <c r="AE42" i="5"/>
  <c r="AP52" i="5"/>
  <c r="AM54" i="5"/>
  <c r="AE33" i="5"/>
  <c r="AH48" i="5"/>
  <c r="AG35" i="5"/>
  <c r="AG37" i="5"/>
  <c r="AM36" i="5"/>
  <c r="AH30" i="5"/>
  <c r="AO34" i="5"/>
  <c r="AL29" i="5"/>
  <c r="AQ55" i="5"/>
  <c r="AH19" i="5"/>
  <c r="AN29" i="5"/>
  <c r="AP36" i="5"/>
  <c r="AE17" i="5"/>
  <c r="AO36" i="5"/>
  <c r="AP16" i="5"/>
  <c r="AC38" i="5"/>
  <c r="AP29" i="5"/>
  <c r="AE34" i="5"/>
  <c r="AC46" i="5"/>
  <c r="AQ51" i="5"/>
  <c r="AN33" i="5"/>
  <c r="AM26" i="5"/>
  <c r="AP55" i="5"/>
  <c r="AQ56" i="5"/>
  <c r="AQ39" i="5"/>
  <c r="AL45" i="5"/>
  <c r="AG43" i="5"/>
  <c r="AG39" i="5"/>
  <c r="AE37" i="5"/>
  <c r="AO14" i="5"/>
  <c r="AG54" i="5"/>
  <c r="AN34" i="5"/>
  <c r="AO40" i="5"/>
  <c r="AM48" i="5"/>
  <c r="AE48" i="5"/>
  <c r="AC39" i="5"/>
  <c r="AE51" i="5"/>
  <c r="AQ32" i="5"/>
  <c r="AC29" i="5"/>
  <c r="AD44" i="5"/>
  <c r="AM47" i="5"/>
  <c r="AG10" i="5"/>
  <c r="AD55" i="5"/>
  <c r="AN51" i="5"/>
  <c r="AH21" i="5"/>
  <c r="AM40" i="5"/>
  <c r="AE16" i="5"/>
  <c r="AP44" i="5"/>
  <c r="AE14" i="5"/>
  <c r="AG33" i="5"/>
  <c r="AE21" i="5"/>
  <c r="AL21" i="5"/>
  <c r="AP30" i="5"/>
  <c r="AP50" i="5"/>
  <c r="AH47" i="5"/>
  <c r="AL17" i="5"/>
  <c r="AQ11" i="5"/>
  <c r="AQ13" i="5"/>
  <c r="AF33" i="5"/>
  <c r="AD51" i="5"/>
  <c r="AQ23" i="5"/>
  <c r="AL51" i="5"/>
  <c r="AC30" i="5"/>
  <c r="AD56" i="5"/>
  <c r="AQ21" i="5"/>
  <c r="AN41" i="5"/>
  <c r="AN42" i="5"/>
  <c r="AO48" i="5"/>
  <c r="AG27" i="5"/>
  <c r="AE12" i="5"/>
  <c r="AD20" i="5"/>
  <c r="AN25" i="5"/>
  <c r="AN44" i="5"/>
  <c r="AC36" i="5"/>
  <c r="AF54" i="5"/>
  <c r="AP37" i="5"/>
  <c r="AG32" i="5"/>
  <c r="AF46" i="5"/>
  <c r="AL28" i="5"/>
  <c r="AH54" i="5"/>
  <c r="AQ43" i="5"/>
  <c r="AE50" i="5"/>
  <c r="AF38" i="5"/>
  <c r="AP11" i="5"/>
  <c r="AD13" i="5"/>
  <c r="AH22" i="5"/>
  <c r="AH32" i="5"/>
  <c r="AP24" i="5"/>
  <c r="AQ35" i="5"/>
  <c r="AF22" i="5"/>
  <c r="AP23" i="5"/>
  <c r="AC50" i="5"/>
  <c r="AG13" i="5"/>
  <c r="AE18" i="5"/>
  <c r="AN40" i="5"/>
  <c r="AQ19" i="5"/>
  <c r="AM34" i="5"/>
  <c r="AP31" i="5"/>
  <c r="AC22" i="5"/>
  <c r="AM28" i="5"/>
  <c r="AO52" i="5"/>
  <c r="AH45" i="5"/>
  <c r="AL22" i="5"/>
  <c r="AC43" i="5"/>
  <c r="AE56" i="5"/>
  <c r="AN12" i="5"/>
  <c r="AM38" i="5"/>
  <c r="AQ50" i="5"/>
  <c r="AQ38" i="5"/>
  <c r="AH11" i="5"/>
  <c r="AN23" i="5"/>
  <c r="AN43" i="5"/>
  <c r="AF42" i="5"/>
  <c r="AF42" i="6" l="1"/>
  <c r="AN43" i="6"/>
  <c r="AN23" i="6"/>
  <c r="AH9" i="5"/>
  <c r="AH11" i="6"/>
  <c r="AQ38" i="6"/>
  <c r="AQ49" i="5"/>
  <c r="AQ50" i="6"/>
  <c r="AM38" i="6"/>
  <c r="AN12" i="6"/>
  <c r="AE56" i="6"/>
  <c r="AJ43" i="5"/>
  <c r="AI43" i="5"/>
  <c r="AC43" i="6"/>
  <c r="AL22" i="6"/>
  <c r="AR22" i="5"/>
  <c r="AS22" i="5"/>
  <c r="AH45" i="6"/>
  <c r="AO52" i="6"/>
  <c r="AM28" i="6"/>
  <c r="AC22" i="6"/>
  <c r="AI22" i="5"/>
  <c r="AJ22" i="5"/>
  <c r="AP31" i="6"/>
  <c r="AM34" i="6"/>
  <c r="AQ19" i="6"/>
  <c r="AN40" i="6"/>
  <c r="AE18" i="6"/>
  <c r="AG13" i="6"/>
  <c r="AI50" i="5"/>
  <c r="AC50" i="6"/>
  <c r="AC49" i="5"/>
  <c r="AJ50" i="5"/>
  <c r="AP23" i="6"/>
  <c r="AF22" i="6"/>
  <c r="AQ35" i="6"/>
  <c r="AP24" i="6"/>
  <c r="AH32" i="6"/>
  <c r="AH22" i="6"/>
  <c r="AD13" i="6"/>
  <c r="AP11" i="6"/>
  <c r="AF38" i="6"/>
  <c r="AE50" i="6"/>
  <c r="AE49" i="5"/>
  <c r="AQ43" i="6"/>
  <c r="AH54" i="6"/>
  <c r="AR28" i="5"/>
  <c r="AS28" i="5"/>
  <c r="AL28" i="6"/>
  <c r="AF46" i="6"/>
  <c r="AG32" i="6"/>
  <c r="AP37" i="6"/>
  <c r="AF54" i="6"/>
  <c r="AC36" i="6"/>
  <c r="AI36" i="5"/>
  <c r="AJ36" i="5"/>
  <c r="AN44" i="6"/>
  <c r="AN25" i="6"/>
  <c r="AD20" i="6"/>
  <c r="AE12" i="6"/>
  <c r="AG27" i="6"/>
  <c r="AO48" i="6"/>
  <c r="AN42" i="6"/>
  <c r="AN41" i="6"/>
  <c r="AQ21" i="6"/>
  <c r="AD56" i="6"/>
  <c r="AC30" i="6"/>
  <c r="AI30" i="5"/>
  <c r="AJ30" i="5"/>
  <c r="AR51" i="5"/>
  <c r="AL51" i="6"/>
  <c r="AS51" i="5"/>
  <c r="AQ23" i="6"/>
  <c r="AD51" i="6"/>
  <c r="AF33" i="6"/>
  <c r="AQ13" i="6"/>
  <c r="AQ11" i="6"/>
  <c r="AQ9" i="5"/>
  <c r="AQ8" i="5" s="1"/>
  <c r="AL17" i="6"/>
  <c r="AR17" i="5"/>
  <c r="AS17" i="5"/>
  <c r="AH47" i="6"/>
  <c r="AP49" i="5"/>
  <c r="AP50" i="6"/>
  <c r="AP30" i="6"/>
  <c r="AS21" i="5"/>
  <c r="AR21" i="5"/>
  <c r="AL21" i="6"/>
  <c r="AE21" i="6"/>
  <c r="AG33" i="6"/>
  <c r="AE14" i="6"/>
  <c r="AP44" i="6"/>
  <c r="AE16" i="6"/>
  <c r="AM40" i="6"/>
  <c r="AH21" i="6"/>
  <c r="AN51" i="6"/>
  <c r="AD55" i="6"/>
  <c r="AG9" i="5"/>
  <c r="AG10" i="6"/>
  <c r="AI10" i="5"/>
  <c r="AJ10" i="5"/>
  <c r="AM47" i="6"/>
  <c r="AD44" i="6"/>
  <c r="AJ29" i="5"/>
  <c r="AC29" i="6"/>
  <c r="AI29" i="5"/>
  <c r="AQ32" i="6"/>
  <c r="AE51" i="6"/>
  <c r="AC39" i="6"/>
  <c r="AI39" i="5"/>
  <c r="AJ39" i="5"/>
  <c r="AE48" i="6"/>
  <c r="AM48" i="6"/>
  <c r="AO40" i="6"/>
  <c r="AN34" i="6"/>
  <c r="AG54" i="6"/>
  <c r="AO14" i="6"/>
  <c r="AE37" i="6"/>
  <c r="AG39" i="6"/>
  <c r="AG43" i="6"/>
  <c r="AL45" i="6"/>
  <c r="AS45" i="5"/>
  <c r="AR45" i="5"/>
  <c r="AQ39" i="6"/>
  <c r="AQ56" i="6"/>
  <c r="AP55" i="6"/>
  <c r="AM26" i="6"/>
  <c r="AN33" i="6"/>
  <c r="AQ51" i="6"/>
  <c r="AJ46" i="5"/>
  <c r="AI46" i="5"/>
  <c r="AC46" i="6"/>
  <c r="AE34" i="6"/>
  <c r="AP29" i="6"/>
  <c r="AI38" i="5"/>
  <c r="AJ38" i="5"/>
  <c r="AC38" i="6"/>
  <c r="AP16" i="6"/>
  <c r="AO36" i="6"/>
  <c r="AE17" i="6"/>
  <c r="AP36" i="6"/>
  <c r="AN29" i="6"/>
  <c r="AH19" i="6"/>
  <c r="AQ55" i="6"/>
  <c r="AL29" i="6"/>
  <c r="AS29" i="5"/>
  <c r="AR29" i="5"/>
  <c r="AO34" i="6"/>
  <c r="AH30" i="6"/>
  <c r="AM36" i="6"/>
  <c r="AG37" i="6"/>
  <c r="AG35" i="6"/>
  <c r="AH48" i="6"/>
  <c r="AE33" i="6"/>
  <c r="AM54" i="6"/>
  <c r="AP52" i="6"/>
  <c r="AE42" i="6"/>
  <c r="AG38" i="6"/>
  <c r="AH14" i="6"/>
  <c r="AD38" i="6"/>
  <c r="AJ33" i="5"/>
  <c r="AI33" i="5"/>
  <c r="AC33" i="6"/>
  <c r="AJ13" i="5"/>
  <c r="AC13" i="6"/>
  <c r="AI13" i="5"/>
  <c r="AO16" i="6"/>
  <c r="AP41" i="6"/>
  <c r="AP26" i="6"/>
  <c r="AJ27" i="5"/>
  <c r="AI27" i="5"/>
  <c r="AC27" i="6"/>
  <c r="AG30" i="6"/>
  <c r="AN15" i="6"/>
  <c r="AR27" i="5"/>
  <c r="AS27" i="5"/>
  <c r="AL27" i="6"/>
  <c r="AQ46" i="6"/>
  <c r="AH12" i="6"/>
  <c r="AE45" i="6"/>
  <c r="AQ22" i="6"/>
  <c r="AS16" i="5"/>
  <c r="AR16" i="5"/>
  <c r="AL16" i="6"/>
  <c r="AQ37" i="6"/>
  <c r="AD42" i="6"/>
  <c r="AN17" i="6"/>
  <c r="AO54" i="6"/>
  <c r="AG52" i="6"/>
  <c r="AH18" i="6"/>
  <c r="AC14" i="6"/>
  <c r="AI14" i="5"/>
  <c r="AJ14" i="5"/>
  <c r="AN30" i="6"/>
  <c r="AH35" i="6"/>
  <c r="AO44" i="6"/>
  <c r="AP20" i="6"/>
  <c r="AH26" i="6"/>
  <c r="AG56" i="6"/>
  <c r="AM11" i="6"/>
  <c r="AM9" i="5"/>
  <c r="AJ16" i="5"/>
  <c r="AC16" i="6"/>
  <c r="AI16" i="5"/>
  <c r="AL50" i="6"/>
  <c r="AL49" i="5"/>
  <c r="AS50" i="5"/>
  <c r="AR50" i="5"/>
  <c r="AO26" i="6"/>
  <c r="AL24" i="6"/>
  <c r="AS24" i="5"/>
  <c r="AR24" i="5"/>
  <c r="AG31" i="6"/>
  <c r="AQ16" i="6"/>
  <c r="AO15" i="6"/>
  <c r="AG11" i="6"/>
  <c r="AE30" i="6"/>
  <c r="AG29" i="6"/>
  <c r="AN36" i="6"/>
  <c r="AP43" i="6"/>
  <c r="AF12" i="6"/>
  <c r="AF19" i="6"/>
  <c r="AC53" i="6"/>
  <c r="AJ53" i="5"/>
  <c r="AI53" i="5"/>
  <c r="AP48" i="6"/>
  <c r="AD18" i="6"/>
  <c r="AP47" i="6"/>
  <c r="AM55" i="6"/>
  <c r="AF27" i="6"/>
  <c r="AG36" i="6"/>
  <c r="AE25" i="6"/>
  <c r="AP12" i="6"/>
  <c r="AN11" i="6"/>
  <c r="AN9" i="5"/>
  <c r="AN35" i="6"/>
  <c r="AM12" i="6"/>
  <c r="AN16" i="6"/>
  <c r="AI24" i="5"/>
  <c r="AJ24" i="5"/>
  <c r="AC24" i="6"/>
  <c r="AF50" i="6"/>
  <c r="AF49" i="5"/>
  <c r="AF35" i="6"/>
  <c r="AO39" i="6"/>
  <c r="AF31" i="6"/>
  <c r="AO20" i="6"/>
  <c r="AM45" i="6"/>
  <c r="AO12" i="6"/>
  <c r="AO11" i="6"/>
  <c r="AO9" i="5"/>
  <c r="AH44" i="6"/>
  <c r="AF40" i="6"/>
  <c r="AC42" i="6"/>
  <c r="AJ42" i="5"/>
  <c r="AI42" i="5"/>
  <c r="AF55" i="6"/>
  <c r="AF47" i="6"/>
  <c r="AI15" i="5"/>
  <c r="AJ15" i="5"/>
  <c r="AC15" i="6"/>
  <c r="AM33" i="6"/>
  <c r="AS41" i="5"/>
  <c r="AL41" i="6"/>
  <c r="AR41" i="5"/>
  <c r="AP22" i="6"/>
  <c r="AL39" i="6"/>
  <c r="AR39" i="5"/>
  <c r="AS39" i="5"/>
  <c r="AF32" i="6"/>
  <c r="AE52" i="6"/>
  <c r="AM18" i="6"/>
  <c r="AE13" i="6"/>
  <c r="AI26" i="5"/>
  <c r="AJ26" i="5"/>
  <c r="AC26" i="6"/>
  <c r="AJ37" i="5"/>
  <c r="AC37" i="6"/>
  <c r="AI37" i="5"/>
  <c r="AO56" i="6"/>
  <c r="AD28" i="6"/>
  <c r="AO21" i="6"/>
  <c r="AP33" i="6"/>
  <c r="AN47" i="6"/>
  <c r="AP46" i="6"/>
  <c r="AQ27" i="6"/>
  <c r="AF34" i="6"/>
  <c r="AP28" i="6"/>
  <c r="AN32" i="6"/>
  <c r="AM56" i="6"/>
  <c r="AH42" i="6"/>
  <c r="AJ20" i="5"/>
  <c r="AC20" i="6"/>
  <c r="AI20" i="5"/>
  <c r="AE55" i="6"/>
  <c r="AC44" i="6"/>
  <c r="AI44" i="5"/>
  <c r="AJ44" i="5"/>
  <c r="AH13" i="6"/>
  <c r="AS43" i="5"/>
  <c r="AL43" i="6"/>
  <c r="AR43" i="5"/>
  <c r="AH37" i="6"/>
  <c r="AF26" i="6"/>
  <c r="AG50" i="6"/>
  <c r="AG49" i="5"/>
  <c r="AF18" i="6"/>
  <c r="AO51" i="6"/>
  <c r="AD23" i="6"/>
  <c r="AJ12" i="5"/>
  <c r="AC12" i="6"/>
  <c r="AI12" i="5"/>
  <c r="AM41" i="6"/>
  <c r="AR13" i="5"/>
  <c r="AS13" i="5"/>
  <c r="AL13" i="6"/>
  <c r="AQ12" i="6"/>
  <c r="AE27" i="6"/>
  <c r="AG24" i="6"/>
  <c r="AM44" i="6"/>
  <c r="AH40" i="6"/>
  <c r="AQ26" i="6"/>
  <c r="AD29" i="6"/>
  <c r="AF14" i="6"/>
  <c r="AN28" i="6"/>
  <c r="AN48" i="6"/>
  <c r="AD35" i="6"/>
  <c r="AM42" i="6"/>
  <c r="AH34" i="6"/>
  <c r="AG48" i="6"/>
  <c r="AG17" i="6"/>
  <c r="AO19" i="6"/>
  <c r="AQ52" i="6"/>
  <c r="AP45" i="6"/>
  <c r="AF56" i="6"/>
  <c r="AM37" i="6"/>
  <c r="AL19" i="6"/>
  <c r="AR19" i="5"/>
  <c r="AS19" i="5"/>
  <c r="AJ17" i="5"/>
  <c r="AI17" i="5"/>
  <c r="AC17" i="6"/>
  <c r="AC54" i="6"/>
  <c r="AJ54" i="5"/>
  <c r="AI54" i="5"/>
  <c r="AE20" i="6"/>
  <c r="AP53" i="6"/>
  <c r="AH28" i="6"/>
  <c r="AR52" i="5"/>
  <c r="AL52" i="6"/>
  <c r="AS52" i="5"/>
  <c r="AG21" i="6"/>
  <c r="AD48" i="6"/>
  <c r="AQ48" i="6"/>
  <c r="AN24" i="6"/>
  <c r="AQ45" i="6"/>
  <c r="AN38" i="6"/>
  <c r="AQ18" i="6"/>
  <c r="AC45" i="6"/>
  <c r="AI45" i="5"/>
  <c r="AJ45" i="5"/>
  <c r="AE38" i="6"/>
  <c r="AF29" i="6"/>
  <c r="AL14" i="6"/>
  <c r="AS14" i="5"/>
  <c r="AR14" i="5"/>
  <c r="AG46" i="6"/>
  <c r="AR30" i="5"/>
  <c r="AS30" i="5"/>
  <c r="AL30" i="6"/>
  <c r="AM15" i="6"/>
  <c r="AD40" i="6"/>
  <c r="AF37" i="6"/>
  <c r="AO17" i="6"/>
  <c r="AL9" i="5"/>
  <c r="AL11" i="6"/>
  <c r="AS11" i="5"/>
  <c r="AR11" i="5"/>
  <c r="AO30" i="6"/>
  <c r="AQ41" i="6"/>
  <c r="AP35" i="6"/>
  <c r="AP32" i="6"/>
  <c r="AO13" i="6"/>
  <c r="AC25" i="6"/>
  <c r="AJ25" i="5"/>
  <c r="AI25" i="5"/>
  <c r="AD54" i="6"/>
  <c r="AE15" i="6"/>
  <c r="AR32" i="5"/>
  <c r="AS32" i="5"/>
  <c r="AL32" i="6"/>
  <c r="AN18" i="6"/>
  <c r="AE19" i="6"/>
  <c r="AE35" i="6"/>
  <c r="AQ44" i="6"/>
  <c r="AM31" i="6"/>
  <c r="AR18" i="5"/>
  <c r="AS18" i="5"/>
  <c r="AL18" i="6"/>
  <c r="AN20" i="6"/>
  <c r="AJ47" i="5"/>
  <c r="AI47" i="5"/>
  <c r="AC47" i="6"/>
  <c r="AM24" i="6"/>
  <c r="AG51" i="6"/>
  <c r="AP27" i="6"/>
  <c r="AH41" i="6"/>
  <c r="AE22" i="6"/>
  <c r="AG18" i="6"/>
  <c r="AN22" i="6"/>
  <c r="AN46" i="6"/>
  <c r="AR26" i="5"/>
  <c r="AL26" i="6"/>
  <c r="AS26" i="5"/>
  <c r="AS54" i="5"/>
  <c r="AL54" i="6"/>
  <c r="AR54" i="5"/>
  <c r="AQ47" i="6"/>
  <c r="AI32" i="5"/>
  <c r="AJ32" i="5"/>
  <c r="AC32" i="6"/>
  <c r="AD53" i="6"/>
  <c r="AE53" i="6"/>
  <c r="AE41" i="6"/>
  <c r="AM49" i="5"/>
  <c r="AM50" i="6"/>
  <c r="AP54" i="6"/>
  <c r="AJ31" i="5"/>
  <c r="AC31" i="6"/>
  <c r="AI31" i="5"/>
  <c r="AO25" i="6"/>
  <c r="AO32" i="6"/>
  <c r="AE24" i="6"/>
  <c r="AO22" i="6"/>
  <c r="AP21" i="6"/>
  <c r="AM23" i="6"/>
  <c r="AO28" i="6"/>
  <c r="AO47" i="6"/>
  <c r="AN53" i="6"/>
  <c r="AF13" i="6"/>
  <c r="AE43" i="6"/>
  <c r="AN37" i="6"/>
  <c r="AE23" i="6"/>
  <c r="AN13" i="6"/>
  <c r="AO43" i="6"/>
  <c r="AH31" i="6"/>
  <c r="AE36" i="6"/>
  <c r="AP13" i="6"/>
  <c r="AF20" i="6"/>
  <c r="AQ24" i="6"/>
  <c r="AP15" i="6"/>
  <c r="AH55" i="6"/>
  <c r="AH15" i="6"/>
  <c r="AF25" i="6"/>
  <c r="AH33" i="6"/>
  <c r="AN52" i="6"/>
  <c r="AF16" i="6"/>
  <c r="AG44" i="6"/>
  <c r="AS31" i="5"/>
  <c r="AL31" i="6"/>
  <c r="AR31" i="5"/>
  <c r="AE54" i="6"/>
  <c r="AI35" i="5"/>
  <c r="AC35" i="6"/>
  <c r="AJ35" i="5"/>
  <c r="AP56" i="6"/>
  <c r="AH25" i="6"/>
  <c r="AD24" i="6"/>
  <c r="AS36" i="5"/>
  <c r="AR36" i="5"/>
  <c r="AL36" i="6"/>
  <c r="AO50" i="6"/>
  <c r="AO49" i="5"/>
  <c r="AO8" i="5" s="1"/>
  <c r="AN27" i="6"/>
  <c r="AQ14" i="6"/>
  <c r="AM43" i="6"/>
  <c r="AP39" i="6"/>
  <c r="AE39" i="6"/>
  <c r="AQ29" i="6"/>
  <c r="AN39" i="6"/>
  <c r="AD47" i="6"/>
  <c r="AH20" i="6"/>
  <c r="AD27" i="6"/>
  <c r="AH36" i="6"/>
  <c r="AP38" i="6"/>
  <c r="AI40" i="5"/>
  <c r="AC40" i="6"/>
  <c r="AJ40" i="5"/>
  <c r="AH23" i="6"/>
  <c r="AP42" i="6"/>
  <c r="AN19" i="6"/>
  <c r="AQ30" i="6"/>
  <c r="AF24" i="6"/>
  <c r="AQ25" i="6"/>
  <c r="AP34" i="6"/>
  <c r="AQ40" i="6"/>
  <c r="AN54" i="6"/>
  <c r="AE29" i="6"/>
  <c r="AO23" i="6"/>
  <c r="AE47" i="6"/>
  <c r="AR56" i="5"/>
  <c r="AL56" i="6"/>
  <c r="AS56" i="5"/>
  <c r="AQ54" i="6"/>
  <c r="AG55" i="6"/>
  <c r="AF23" i="6"/>
  <c r="AR44" i="5"/>
  <c r="AS44" i="5"/>
  <c r="AL44" i="6"/>
  <c r="AJ23" i="5"/>
  <c r="AC23" i="6"/>
  <c r="AI23" i="5"/>
  <c r="AD37" i="6"/>
  <c r="AM21" i="6"/>
  <c r="AD33" i="6"/>
  <c r="AI34" i="5"/>
  <c r="AJ34" i="5"/>
  <c r="AC34" i="6"/>
  <c r="AG28" i="6"/>
  <c r="AG12" i="6"/>
  <c r="AH52" i="6"/>
  <c r="AE28" i="6"/>
  <c r="AO37" i="6"/>
  <c r="AH39" i="6"/>
  <c r="AR48" i="5"/>
  <c r="AS48" i="5"/>
  <c r="AL48" i="6"/>
  <c r="AN14" i="6"/>
  <c r="AD15" i="6"/>
  <c r="AN21" i="6"/>
  <c r="AF17" i="6"/>
  <c r="AE31" i="6"/>
  <c r="AO24" i="6"/>
  <c r="AS24" i="6" s="1"/>
  <c r="AM25" i="6"/>
  <c r="AD46" i="6"/>
  <c r="AD12" i="6"/>
  <c r="AI12" i="6" s="1"/>
  <c r="AH24" i="6"/>
  <c r="AD50" i="6"/>
  <c r="AD49" i="5"/>
  <c r="AQ28" i="6"/>
  <c r="AO29" i="6"/>
  <c r="AS37" i="5"/>
  <c r="AL37" i="6"/>
  <c r="AR37" i="5"/>
  <c r="AD22" i="6"/>
  <c r="AS55" i="5"/>
  <c r="AL55" i="6"/>
  <c r="AR55" i="5"/>
  <c r="AR10" i="5"/>
  <c r="AP9" i="5"/>
  <c r="AP8" i="5" s="1"/>
  <c r="AP10" i="6"/>
  <c r="AS10" i="5"/>
  <c r="AD26" i="6"/>
  <c r="AG41" i="6"/>
  <c r="AM51" i="6"/>
  <c r="AM49" i="6" s="1"/>
  <c r="AO27" i="6"/>
  <c r="AI21" i="5"/>
  <c r="AC21" i="6"/>
  <c r="AJ21" i="5"/>
  <c r="AM30" i="6"/>
  <c r="AE40" i="6"/>
  <c r="AI56" i="5"/>
  <c r="AJ56" i="5"/>
  <c r="AC56" i="6"/>
  <c r="AL34" i="6"/>
  <c r="AR34" i="6" s="1"/>
  <c r="AR34" i="5"/>
  <c r="AS34" i="5"/>
  <c r="AL12" i="6"/>
  <c r="AR12" i="5"/>
  <c r="AS12" i="5"/>
  <c r="AE46" i="6"/>
  <c r="AI28" i="5"/>
  <c r="AJ28" i="5"/>
  <c r="AC28" i="6"/>
  <c r="AP19" i="6"/>
  <c r="AM52" i="6"/>
  <c r="AM17" i="6"/>
  <c r="AM53" i="6"/>
  <c r="AG23" i="6"/>
  <c r="AJ23" i="6" s="1"/>
  <c r="AM27" i="6"/>
  <c r="AF53" i="6"/>
  <c r="AN50" i="6"/>
  <c r="AR50" i="6" s="1"/>
  <c r="AN49" i="5"/>
  <c r="AS49" i="5" s="1"/>
  <c r="AH43" i="6"/>
  <c r="AR47" i="5"/>
  <c r="AS47" i="5"/>
  <c r="AL47" i="6"/>
  <c r="AS47" i="6" s="1"/>
  <c r="AO31" i="6"/>
  <c r="AH16" i="6"/>
  <c r="AQ15" i="6"/>
  <c r="AH17" i="6"/>
  <c r="AI48" i="5"/>
  <c r="AC48" i="6"/>
  <c r="AJ48" i="5"/>
  <c r="AF15" i="6"/>
  <c r="AP18" i="6"/>
  <c r="AP25" i="6"/>
  <c r="AN56" i="6"/>
  <c r="AD45" i="6"/>
  <c r="AN26" i="6"/>
  <c r="AS26" i="6" s="1"/>
  <c r="AQ33" i="6"/>
  <c r="AO42" i="6"/>
  <c r="AM14" i="6"/>
  <c r="AH38" i="6"/>
  <c r="AM22" i="6"/>
  <c r="AS22" i="6" s="1"/>
  <c r="AL42" i="6"/>
  <c r="AR42" i="5"/>
  <c r="AS42" i="5"/>
  <c r="AH56" i="6"/>
  <c r="AG47" i="6"/>
  <c r="AD30" i="6"/>
  <c r="AE11" i="6"/>
  <c r="AE9" i="5"/>
  <c r="AE8" i="5" s="1"/>
  <c r="AD32" i="6"/>
  <c r="AO35" i="6"/>
  <c r="AM19" i="6"/>
  <c r="AD25" i="6"/>
  <c r="AG26" i="6"/>
  <c r="AR25" i="5"/>
  <c r="AL25" i="6"/>
  <c r="AS25" i="5"/>
  <c r="AF48" i="6"/>
  <c r="AG45" i="6"/>
  <c r="AI55" i="5"/>
  <c r="AC55" i="6"/>
  <c r="AJ55" i="5"/>
  <c r="AO38" i="6"/>
  <c r="AQ17" i="6"/>
  <c r="AN55" i="6"/>
  <c r="AR55" i="6" s="1"/>
  <c r="AP51" i="6"/>
  <c r="AF36" i="6"/>
  <c r="AM46" i="6"/>
  <c r="AF41" i="6"/>
  <c r="AM35" i="6"/>
  <c r="AF43" i="6"/>
  <c r="AL23" i="6"/>
  <c r="AR23" i="5"/>
  <c r="AS23" i="5"/>
  <c r="AM16" i="6"/>
  <c r="AR35" i="5"/>
  <c r="AL35" i="6"/>
  <c r="AS35" i="5"/>
  <c r="AM32" i="6"/>
  <c r="AH46" i="6"/>
  <c r="AP14" i="6"/>
  <c r="AR38" i="5"/>
  <c r="AS38" i="5"/>
  <c r="AL38" i="6"/>
  <c r="AD34" i="6"/>
  <c r="AH53" i="6"/>
  <c r="AO18" i="6"/>
  <c r="AE44" i="6"/>
  <c r="AG22" i="6"/>
  <c r="AF45" i="6"/>
  <c r="AQ34" i="6"/>
  <c r="AQ42" i="6"/>
  <c r="AJ19" i="5"/>
  <c r="AI19" i="5"/>
  <c r="AC19" i="6"/>
  <c r="AF39" i="6"/>
  <c r="AF44" i="6"/>
  <c r="AJ44" i="6" s="1"/>
  <c r="AO55" i="6"/>
  <c r="AL40" i="6"/>
  <c r="AS40" i="5"/>
  <c r="AR40" i="5"/>
  <c r="AO53" i="6"/>
  <c r="AO46" i="6"/>
  <c r="AF30" i="6"/>
  <c r="AJ30" i="6" s="1"/>
  <c r="AO33" i="6"/>
  <c r="AR33" i="6" s="1"/>
  <c r="AD21" i="6"/>
  <c r="AS53" i="5"/>
  <c r="AL53" i="6"/>
  <c r="AR53" i="5"/>
  <c r="AG42" i="6"/>
  <c r="AP40" i="6"/>
  <c r="AM29" i="6"/>
  <c r="AD9" i="5"/>
  <c r="AD8" i="5" s="1"/>
  <c r="AD11" i="6"/>
  <c r="AH51" i="6"/>
  <c r="AD36" i="6"/>
  <c r="AI36" i="6" s="1"/>
  <c r="AQ36" i="6"/>
  <c r="AC18" i="6"/>
  <c r="AJ18" i="5"/>
  <c r="AI18" i="5"/>
  <c r="AN45" i="6"/>
  <c r="AH49" i="5"/>
  <c r="AH50" i="6"/>
  <c r="AH49" i="6" s="1"/>
  <c r="AR20" i="5"/>
  <c r="AS20" i="5"/>
  <c r="AL20" i="6"/>
  <c r="AD31" i="6"/>
  <c r="AJ31" i="6" s="1"/>
  <c r="AG15" i="6"/>
  <c r="AF21" i="6"/>
  <c r="AQ20" i="6"/>
  <c r="AG53" i="6"/>
  <c r="AG14" i="6"/>
  <c r="AF11" i="6"/>
  <c r="AF9" i="5"/>
  <c r="AF8" i="5" s="1"/>
  <c r="AG20" i="6"/>
  <c r="AD19" i="6"/>
  <c r="AF51" i="6"/>
  <c r="AC52" i="6"/>
  <c r="AI52" i="5"/>
  <c r="AJ52" i="5"/>
  <c r="AM13" i="6"/>
  <c r="AG16" i="6"/>
  <c r="AD17" i="6"/>
  <c r="AI11" i="5"/>
  <c r="AJ11" i="5"/>
  <c r="AC11" i="6"/>
  <c r="AC9" i="5"/>
  <c r="AJ9" i="5" s="1"/>
  <c r="AD14" i="6"/>
  <c r="AQ53" i="6"/>
  <c r="AM20" i="6"/>
  <c r="AN31" i="6"/>
  <c r="AS33" i="5"/>
  <c r="AR33" i="5"/>
  <c r="AL33" i="6"/>
  <c r="AC41" i="6"/>
  <c r="AJ41" i="6" s="1"/>
  <c r="AI41" i="5"/>
  <c r="AJ41" i="5"/>
  <c r="AG19" i="6"/>
  <c r="AE32" i="6"/>
  <c r="AE26" i="6"/>
  <c r="AD43" i="6"/>
  <c r="AG34" i="6"/>
  <c r="AD41" i="6"/>
  <c r="AQ31" i="6"/>
  <c r="AP17" i="6"/>
  <c r="AH29" i="6"/>
  <c r="AL15" i="6"/>
  <c r="AR15" i="5"/>
  <c r="AS15" i="5"/>
  <c r="AR46" i="5"/>
  <c r="AS46" i="5"/>
  <c r="AL46" i="6"/>
  <c r="AO45" i="6"/>
  <c r="AO41" i="6"/>
  <c r="AD16" i="6"/>
  <c r="AF28" i="6"/>
  <c r="AM39" i="6"/>
  <c r="AM9" i="6" s="1"/>
  <c r="AM8" i="6" s="1"/>
  <c r="AH27" i="6"/>
  <c r="AG25" i="6"/>
  <c r="AJ51" i="5"/>
  <c r="AI51" i="5"/>
  <c r="AC51" i="6"/>
  <c r="AD39" i="6"/>
  <c r="AF52" i="6"/>
  <c r="AG40" i="6"/>
  <c r="AD52" i="6"/>
  <c r="AS54" i="6"/>
  <c r="AI20" i="6"/>
  <c r="AJ17" i="6"/>
  <c r="AS41" i="6"/>
  <c r="AJ38" i="6"/>
  <c r="AR42" i="6"/>
  <c r="AS43" i="6"/>
  <c r="AJ33" i="6"/>
  <c r="AR53" i="6"/>
  <c r="AR9" i="5"/>
  <c r="AJ48" i="6"/>
  <c r="AR47" i="6"/>
  <c r="AI40" i="6"/>
  <c r="AS45" i="6"/>
  <c r="AS40" i="6"/>
  <c r="AS11" i="6"/>
  <c r="AI30" i="6"/>
  <c r="AI9" i="5"/>
  <c r="AJ19" i="6"/>
  <c r="AJ26" i="6"/>
  <c r="AI11" i="6"/>
  <c r="AR28" i="6"/>
  <c r="AI29" i="6"/>
  <c r="AR17" i="6"/>
  <c r="AR46" i="6"/>
  <c r="AI47" i="6"/>
  <c r="AS39" i="6"/>
  <c r="AN49" i="6"/>
  <c r="AI27" i="6"/>
  <c r="AR11" i="6"/>
  <c r="AR22" i="6"/>
  <c r="AJ55" i="6"/>
  <c r="AS34" i="6"/>
  <c r="AS18" i="6"/>
  <c r="AC8" i="5"/>
  <c r="AS32" i="6"/>
  <c r="AS19" i="6"/>
  <c r="AI16" i="6"/>
  <c r="AJ21" i="6"/>
  <c r="AI44" i="6"/>
  <c r="AR13" i="6"/>
  <c r="AI32" i="6"/>
  <c r="AS14" i="6"/>
  <c r="AJ50" i="6"/>
  <c r="AR8" i="4"/>
  <c r="AS8" i="4"/>
  <c r="AJ49" i="3"/>
  <c r="AI49" i="3"/>
  <c r="AH49" i="3"/>
  <c r="AG49" i="3"/>
  <c r="AF49" i="3"/>
  <c r="AE49" i="3"/>
  <c r="AD49" i="3"/>
  <c r="AC49" i="3"/>
  <c r="AA49" i="3"/>
  <c r="Z49" i="3"/>
  <c r="Y49" i="3"/>
  <c r="X49" i="3"/>
  <c r="W49" i="3"/>
  <c r="V49" i="3"/>
  <c r="U49" i="3"/>
  <c r="T49" i="3"/>
  <c r="AJ9" i="3"/>
  <c r="AI9" i="3"/>
  <c r="AH9" i="3"/>
  <c r="AG9" i="3"/>
  <c r="AF9" i="3"/>
  <c r="AE9" i="3"/>
  <c r="AE8" i="3" s="1"/>
  <c r="AD9" i="3"/>
  <c r="AD8" i="3" s="1"/>
  <c r="AC9" i="3"/>
  <c r="AC8" i="3" s="1"/>
  <c r="AA9" i="3"/>
  <c r="AA8" i="3" s="1"/>
  <c r="Z9" i="3"/>
  <c r="Z8" i="3" s="1"/>
  <c r="Y9" i="3"/>
  <c r="Y8" i="3" s="1"/>
  <c r="X9" i="3"/>
  <c r="X8" i="3" s="1"/>
  <c r="W9" i="3"/>
  <c r="W8" i="3" s="1"/>
  <c r="V9" i="3"/>
  <c r="V8" i="3" s="1"/>
  <c r="U9" i="3"/>
  <c r="U8" i="3" s="1"/>
  <c r="T9" i="3"/>
  <c r="T8" i="3" s="1"/>
  <c r="AJ8" i="3"/>
  <c r="AI8" i="3"/>
  <c r="AH8" i="3"/>
  <c r="AG8" i="3"/>
  <c r="AF8" i="3"/>
  <c r="P56" i="4"/>
  <c r="N56" i="4"/>
  <c r="M56" i="4"/>
  <c r="L56" i="4"/>
  <c r="P55" i="4"/>
  <c r="N55" i="4"/>
  <c r="M55" i="4"/>
  <c r="L55" i="4"/>
  <c r="P54" i="4"/>
  <c r="N54" i="4"/>
  <c r="M54" i="4"/>
  <c r="L54" i="4"/>
  <c r="P53" i="4"/>
  <c r="N53" i="4"/>
  <c r="M53" i="4"/>
  <c r="L53" i="4"/>
  <c r="P52" i="4"/>
  <c r="N52" i="4"/>
  <c r="M52" i="4"/>
  <c r="L52" i="4"/>
  <c r="P51" i="4"/>
  <c r="N51" i="4"/>
  <c r="M51" i="4"/>
  <c r="L51" i="4"/>
  <c r="P50" i="4"/>
  <c r="N50" i="4"/>
  <c r="M50" i="4"/>
  <c r="L50" i="4"/>
  <c r="P47" i="4"/>
  <c r="N47" i="4"/>
  <c r="M47" i="4"/>
  <c r="L47" i="4"/>
  <c r="P46" i="4"/>
  <c r="N46" i="4"/>
  <c r="M46" i="4"/>
  <c r="L46" i="4"/>
  <c r="P45" i="4"/>
  <c r="N45" i="4"/>
  <c r="M45" i="4"/>
  <c r="L45" i="4"/>
  <c r="P44" i="4"/>
  <c r="N44" i="4"/>
  <c r="M44" i="4"/>
  <c r="L44" i="4"/>
  <c r="P43" i="4"/>
  <c r="N43" i="4"/>
  <c r="M43" i="4"/>
  <c r="L43" i="4"/>
  <c r="P42" i="4"/>
  <c r="N42" i="4"/>
  <c r="M42" i="4"/>
  <c r="L42" i="4"/>
  <c r="P41" i="4"/>
  <c r="N41" i="4"/>
  <c r="M41" i="4"/>
  <c r="L41" i="4"/>
  <c r="P40" i="4"/>
  <c r="N40" i="4"/>
  <c r="M40" i="4"/>
  <c r="L40" i="4"/>
  <c r="P39" i="4"/>
  <c r="N39" i="4"/>
  <c r="M39" i="4"/>
  <c r="L39" i="4"/>
  <c r="P38" i="4"/>
  <c r="N38" i="4"/>
  <c r="M38" i="4"/>
  <c r="L38" i="4"/>
  <c r="P37" i="4"/>
  <c r="N37" i="4"/>
  <c r="M37" i="4"/>
  <c r="L37" i="4"/>
  <c r="P36" i="4"/>
  <c r="N36" i="4"/>
  <c r="M36" i="4"/>
  <c r="L36" i="4"/>
  <c r="P35" i="4"/>
  <c r="N35" i="4"/>
  <c r="M35" i="4"/>
  <c r="L35" i="4"/>
  <c r="P34" i="4"/>
  <c r="N34" i="4"/>
  <c r="M34" i="4"/>
  <c r="L34" i="4"/>
  <c r="P33" i="4"/>
  <c r="N33" i="4"/>
  <c r="M33" i="4"/>
  <c r="L33" i="4"/>
  <c r="P32" i="4"/>
  <c r="N32" i="4"/>
  <c r="M32" i="4"/>
  <c r="L32" i="4"/>
  <c r="P31" i="4"/>
  <c r="N31" i="4"/>
  <c r="M31" i="4"/>
  <c r="L31" i="4"/>
  <c r="P30" i="4"/>
  <c r="N30" i="4"/>
  <c r="M30" i="4"/>
  <c r="L30" i="4"/>
  <c r="P29" i="4"/>
  <c r="N29" i="4"/>
  <c r="M29" i="4"/>
  <c r="L29" i="4"/>
  <c r="P28" i="4"/>
  <c r="N28" i="4"/>
  <c r="M28" i="4"/>
  <c r="L28" i="4"/>
  <c r="P27" i="4"/>
  <c r="N27" i="4"/>
  <c r="M27" i="4"/>
  <c r="L27" i="4"/>
  <c r="P26" i="4"/>
  <c r="N26" i="4"/>
  <c r="M26" i="4"/>
  <c r="L26" i="4"/>
  <c r="P25" i="4"/>
  <c r="N25" i="4"/>
  <c r="M25" i="4"/>
  <c r="L25" i="4"/>
  <c r="P24" i="4"/>
  <c r="N24" i="4"/>
  <c r="M24" i="4"/>
  <c r="L24" i="4"/>
  <c r="P23" i="4"/>
  <c r="N23" i="4"/>
  <c r="M23" i="4"/>
  <c r="L23" i="4"/>
  <c r="P22" i="4"/>
  <c r="N22" i="4"/>
  <c r="M22" i="4"/>
  <c r="L22" i="4"/>
  <c r="P21" i="4"/>
  <c r="N21" i="4"/>
  <c r="M21" i="4"/>
  <c r="L21" i="4"/>
  <c r="P20" i="4"/>
  <c r="N20" i="4"/>
  <c r="M20" i="4"/>
  <c r="L20" i="4"/>
  <c r="P19" i="4"/>
  <c r="N19" i="4"/>
  <c r="M19" i="4"/>
  <c r="L19" i="4"/>
  <c r="P18" i="4"/>
  <c r="N18" i="4"/>
  <c r="M18" i="4"/>
  <c r="L18" i="4"/>
  <c r="P17" i="4"/>
  <c r="N17" i="4"/>
  <c r="M17" i="4"/>
  <c r="L17" i="4"/>
  <c r="P16" i="4"/>
  <c r="N16" i="4"/>
  <c r="M16" i="4"/>
  <c r="L16" i="4"/>
  <c r="P15" i="4"/>
  <c r="N15" i="4"/>
  <c r="M15" i="4"/>
  <c r="L15" i="4"/>
  <c r="P14" i="4"/>
  <c r="N14" i="4"/>
  <c r="M14" i="4"/>
  <c r="L14" i="4"/>
  <c r="P13" i="4"/>
  <c r="N13" i="4"/>
  <c r="M13" i="4"/>
  <c r="L13" i="4"/>
  <c r="P12" i="4"/>
  <c r="O12" i="4"/>
  <c r="N12" i="4"/>
  <c r="M12" i="4"/>
  <c r="L12" i="4"/>
  <c r="P11" i="4"/>
  <c r="O11" i="4"/>
  <c r="N11" i="4"/>
  <c r="M11" i="4"/>
  <c r="L11" i="4"/>
  <c r="P10" i="4"/>
  <c r="N10" i="4"/>
  <c r="M10" i="4"/>
  <c r="L10" i="4"/>
  <c r="M41" i="5"/>
  <c r="L34" i="5"/>
  <c r="P47" i="5"/>
  <c r="P44" i="5"/>
  <c r="N46" i="5"/>
  <c r="L30" i="5"/>
  <c r="P16" i="5"/>
  <c r="M23" i="5"/>
  <c r="N51" i="5"/>
  <c r="M15" i="5"/>
  <c r="N29" i="5"/>
  <c r="P46" i="5"/>
  <c r="N40" i="5"/>
  <c r="P36" i="5"/>
  <c r="P40" i="5"/>
  <c r="L10" i="5"/>
  <c r="L43" i="5"/>
  <c r="P23" i="5"/>
  <c r="P53" i="5"/>
  <c r="L23" i="5"/>
  <c r="M34" i="5"/>
  <c r="M47" i="5"/>
  <c r="L56" i="5"/>
  <c r="M30" i="5"/>
  <c r="M17" i="5"/>
  <c r="L52" i="5"/>
  <c r="L29" i="5"/>
  <c r="P31" i="5"/>
  <c r="M44" i="5"/>
  <c r="P51" i="5"/>
  <c r="L26" i="5"/>
  <c r="L21" i="5"/>
  <c r="N23" i="5"/>
  <c r="N52" i="5"/>
  <c r="L44" i="5"/>
  <c r="L19" i="5"/>
  <c r="P43" i="5"/>
  <c r="M42" i="5"/>
  <c r="P35" i="5"/>
  <c r="N26" i="5"/>
  <c r="N17" i="5"/>
  <c r="L51" i="5"/>
  <c r="L32" i="5"/>
  <c r="P27" i="5"/>
  <c r="N38" i="5"/>
  <c r="M16" i="5"/>
  <c r="M36" i="5"/>
  <c r="P33" i="5"/>
  <c r="L31" i="5"/>
  <c r="M18" i="5"/>
  <c r="P10" i="5"/>
  <c r="L47" i="5"/>
  <c r="N45" i="5"/>
  <c r="P13" i="5"/>
  <c r="P25" i="5"/>
  <c r="M28" i="5"/>
  <c r="M31" i="5"/>
  <c r="P42" i="5"/>
  <c r="M35" i="5"/>
  <c r="N11" i="5"/>
  <c r="P34" i="5"/>
  <c r="N10" i="5"/>
  <c r="L15" i="5"/>
  <c r="N21" i="5"/>
  <c r="M25" i="5"/>
  <c r="M24" i="5"/>
  <c r="L42" i="5"/>
  <c r="M19" i="5"/>
  <c r="M11" i="5"/>
  <c r="L25" i="5"/>
  <c r="L20" i="5"/>
  <c r="P20" i="5"/>
  <c r="L16" i="5"/>
  <c r="P39" i="5"/>
  <c r="L22" i="5"/>
  <c r="L41" i="5"/>
  <c r="M14" i="5"/>
  <c r="L35" i="5"/>
  <c r="N44" i="5"/>
  <c r="N31" i="5"/>
  <c r="P18" i="5"/>
  <c r="N27" i="5"/>
  <c r="P21" i="5"/>
  <c r="N22" i="5"/>
  <c r="M56" i="5"/>
  <c r="N47" i="5"/>
  <c r="L45" i="5"/>
  <c r="L46" i="5"/>
  <c r="L28" i="5"/>
  <c r="P50" i="5"/>
  <c r="N42" i="5"/>
  <c r="N16" i="5"/>
  <c r="N32" i="5"/>
  <c r="P17" i="5"/>
  <c r="M51" i="5"/>
  <c r="L54" i="5"/>
  <c r="M54" i="5"/>
  <c r="M53" i="5"/>
  <c r="P11" i="5"/>
  <c r="M26" i="5"/>
  <c r="N13" i="5"/>
  <c r="P26" i="5"/>
  <c r="N50" i="5"/>
  <c r="M32" i="5"/>
  <c r="M21" i="5"/>
  <c r="L12" i="5"/>
  <c r="P24" i="5"/>
  <c r="L37" i="5"/>
  <c r="P37" i="5"/>
  <c r="L18" i="5"/>
  <c r="N43" i="5"/>
  <c r="N24" i="5"/>
  <c r="P19" i="5"/>
  <c r="N55" i="5"/>
  <c r="N20" i="5"/>
  <c r="P52" i="5"/>
  <c r="P56" i="5"/>
  <c r="N56" i="5"/>
  <c r="P54" i="5"/>
  <c r="M20" i="5"/>
  <c r="L17" i="5"/>
  <c r="L38" i="5"/>
  <c r="P15" i="5"/>
  <c r="N15" i="5"/>
  <c r="M13" i="5"/>
  <c r="N37" i="5"/>
  <c r="M38" i="5"/>
  <c r="P30" i="5"/>
  <c r="P29" i="5"/>
  <c r="M37" i="5"/>
  <c r="P12" i="5"/>
  <c r="M22" i="5"/>
  <c r="P22" i="5"/>
  <c r="N30" i="5"/>
  <c r="L33" i="5"/>
  <c r="L53" i="5"/>
  <c r="M12" i="5"/>
  <c r="P55" i="5"/>
  <c r="L40" i="5"/>
  <c r="M10" i="5"/>
  <c r="P28" i="5"/>
  <c r="N41" i="5"/>
  <c r="P38" i="5"/>
  <c r="L36" i="5"/>
  <c r="M45" i="5"/>
  <c r="P45" i="5"/>
  <c r="M52" i="5"/>
  <c r="L14" i="5"/>
  <c r="M43" i="5"/>
  <c r="N53" i="5"/>
  <c r="M33" i="5"/>
  <c r="M27" i="5"/>
  <c r="N35" i="5"/>
  <c r="N39" i="5"/>
  <c r="L27" i="5"/>
  <c r="N34" i="5"/>
  <c r="P32" i="5"/>
  <c r="N12" i="5"/>
  <c r="M46" i="5"/>
  <c r="N28" i="5"/>
  <c r="M40" i="5"/>
  <c r="N14" i="5"/>
  <c r="N19" i="5"/>
  <c r="L13" i="5"/>
  <c r="L11" i="5"/>
  <c r="N18" i="5"/>
  <c r="N25" i="5"/>
  <c r="L39" i="5"/>
  <c r="N36" i="5"/>
  <c r="L50" i="5"/>
  <c r="O11" i="5"/>
  <c r="O12" i="5"/>
  <c r="P14" i="5"/>
  <c r="P41" i="5"/>
  <c r="M50" i="5"/>
  <c r="N33" i="5"/>
  <c r="N54" i="5"/>
  <c r="L24" i="5"/>
  <c r="M39" i="5"/>
  <c r="M55" i="5"/>
  <c r="L55" i="5"/>
  <c r="M29" i="5"/>
  <c r="AI39" i="6" l="1"/>
  <c r="AS38" i="6"/>
  <c r="AR38" i="6"/>
  <c r="AS25" i="6"/>
  <c r="AE9" i="6"/>
  <c r="AL9" i="6"/>
  <c r="AR12" i="6"/>
  <c r="AJ56" i="6"/>
  <c r="AI31" i="6"/>
  <c r="AR43" i="6"/>
  <c r="AJ35" i="6"/>
  <c r="AI35" i="6"/>
  <c r="AS31" i="6"/>
  <c r="AR31" i="6"/>
  <c r="AI41" i="6"/>
  <c r="AI15" i="6"/>
  <c r="AI25" i="6"/>
  <c r="AJ25" i="6"/>
  <c r="AS13" i="6"/>
  <c r="AI26" i="6"/>
  <c r="AS35" i="6"/>
  <c r="AR54" i="6"/>
  <c r="AS16" i="6"/>
  <c r="AR16" i="6"/>
  <c r="AJ27" i="6"/>
  <c r="AI46" i="6"/>
  <c r="AJ46" i="6"/>
  <c r="AE49" i="6"/>
  <c r="AS21" i="6"/>
  <c r="AR21" i="6"/>
  <c r="AP49" i="6"/>
  <c r="AI49" i="5"/>
  <c r="AH8" i="5"/>
  <c r="AS15" i="6"/>
  <c r="AR15" i="6"/>
  <c r="AI19" i="6"/>
  <c r="AR35" i="6"/>
  <c r="AR14" i="6"/>
  <c r="AJ15" i="6"/>
  <c r="AS10" i="6"/>
  <c r="AR10" i="6"/>
  <c r="AS55" i="6"/>
  <c r="AR37" i="6"/>
  <c r="AS37" i="6"/>
  <c r="AJ49" i="5"/>
  <c r="AR48" i="6"/>
  <c r="AS48" i="6"/>
  <c r="AR19" i="6"/>
  <c r="AJ40" i="6"/>
  <c r="AR36" i="6"/>
  <c r="AS36" i="6"/>
  <c r="AI23" i="6"/>
  <c r="AS53" i="6"/>
  <c r="AS46" i="6"/>
  <c r="AJ47" i="6"/>
  <c r="AR18" i="6"/>
  <c r="AR32" i="6"/>
  <c r="AJ54" i="6"/>
  <c r="AL8" i="5"/>
  <c r="AS9" i="5"/>
  <c r="AJ45" i="6"/>
  <c r="AI45" i="6"/>
  <c r="AR24" i="6"/>
  <c r="AI54" i="6"/>
  <c r="AJ12" i="6"/>
  <c r="AI55" i="6"/>
  <c r="AN8" i="5"/>
  <c r="AJ53" i="6"/>
  <c r="AJ16" i="6"/>
  <c r="AJ14" i="6"/>
  <c r="AI33" i="6"/>
  <c r="AJ39" i="6"/>
  <c r="AI10" i="6"/>
  <c r="AJ10" i="6"/>
  <c r="AI14" i="6"/>
  <c r="AR51" i="6"/>
  <c r="AS51" i="6"/>
  <c r="AS42" i="6"/>
  <c r="AJ20" i="6"/>
  <c r="AI50" i="6"/>
  <c r="AC49" i="6"/>
  <c r="AO49" i="6"/>
  <c r="AI56" i="6"/>
  <c r="AR23" i="6"/>
  <c r="AJ52" i="6"/>
  <c r="AJ51" i="6"/>
  <c r="AI51" i="6"/>
  <c r="AS33" i="6"/>
  <c r="AC9" i="6"/>
  <c r="AJ11" i="6"/>
  <c r="AI52" i="6"/>
  <c r="AS20" i="6"/>
  <c r="AR20" i="6"/>
  <c r="AJ18" i="6"/>
  <c r="AI18" i="6"/>
  <c r="AD9" i="6"/>
  <c r="AI48" i="6"/>
  <c r="AJ28" i="6"/>
  <c r="AI21" i="6"/>
  <c r="AD49" i="6"/>
  <c r="AR25" i="6"/>
  <c r="AI28" i="6"/>
  <c r="AI34" i="6"/>
  <c r="AR56" i="6"/>
  <c r="AS56" i="6"/>
  <c r="AI53" i="6"/>
  <c r="AS17" i="6"/>
  <c r="AR30" i="6"/>
  <c r="AS30" i="6"/>
  <c r="AS52" i="6"/>
  <c r="AR52" i="6"/>
  <c r="AI17" i="6"/>
  <c r="AJ37" i="6"/>
  <c r="AI37" i="6"/>
  <c r="AI42" i="6"/>
  <c r="AJ42" i="6"/>
  <c r="AO9" i="6"/>
  <c r="AO8" i="6" s="1"/>
  <c r="AF49" i="6"/>
  <c r="AN9" i="6"/>
  <c r="AN8" i="6" s="1"/>
  <c r="AR49" i="5"/>
  <c r="AG8" i="5"/>
  <c r="AJ8" i="5" s="1"/>
  <c r="AR40" i="6"/>
  <c r="AJ36" i="6"/>
  <c r="AS23" i="6"/>
  <c r="AI43" i="6"/>
  <c r="AJ43" i="6"/>
  <c r="AR45" i="6"/>
  <c r="AJ22" i="6"/>
  <c r="AR29" i="6"/>
  <c r="AS44" i="6"/>
  <c r="AR44" i="6"/>
  <c r="AR39" i="6"/>
  <c r="AJ32" i="6"/>
  <c r="AR26" i="6"/>
  <c r="AQ49" i="6"/>
  <c r="AJ34" i="6"/>
  <c r="AQ9" i="6"/>
  <c r="AR41" i="6"/>
  <c r="AG49" i="6"/>
  <c r="AJ13" i="6"/>
  <c r="AI24" i="6"/>
  <c r="AJ24" i="6"/>
  <c r="AS12" i="6"/>
  <c r="AP9" i="6"/>
  <c r="AF9" i="6"/>
  <c r="AF8" i="6" s="1"/>
  <c r="AL49" i="6"/>
  <c r="AS50" i="6"/>
  <c r="AM8" i="5"/>
  <c r="AS27" i="6"/>
  <c r="AR27" i="6"/>
  <c r="AI13" i="6"/>
  <c r="AS29" i="6"/>
  <c r="AI38" i="6"/>
  <c r="AJ29" i="6"/>
  <c r="AS28" i="6"/>
  <c r="AG9" i="6"/>
  <c r="AI22" i="6"/>
  <c r="AH9" i="6"/>
  <c r="AH8" i="6" s="1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7" i="4"/>
  <c r="Q27" i="4" s="1"/>
  <c r="O28" i="4"/>
  <c r="O38" i="4"/>
  <c r="O39" i="4"/>
  <c r="O40" i="4"/>
  <c r="M11" i="6"/>
  <c r="P12" i="6"/>
  <c r="M14" i="6"/>
  <c r="P15" i="6"/>
  <c r="M17" i="6"/>
  <c r="P18" i="6"/>
  <c r="P20" i="6"/>
  <c r="M22" i="6"/>
  <c r="P23" i="6"/>
  <c r="M25" i="6"/>
  <c r="M26" i="6"/>
  <c r="P27" i="6"/>
  <c r="M29" i="6"/>
  <c r="P30" i="6"/>
  <c r="M32" i="6"/>
  <c r="P33" i="6"/>
  <c r="M35" i="6"/>
  <c r="M36" i="6"/>
  <c r="P37" i="6"/>
  <c r="M39" i="6"/>
  <c r="P40" i="6"/>
  <c r="M42" i="6"/>
  <c r="P43" i="6"/>
  <c r="P44" i="6"/>
  <c r="M46" i="6"/>
  <c r="P47" i="6"/>
  <c r="M51" i="6"/>
  <c r="M52" i="6"/>
  <c r="P53" i="6"/>
  <c r="P55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50" i="6"/>
  <c r="N49" i="5"/>
  <c r="N51" i="6"/>
  <c r="N52" i="6"/>
  <c r="N53" i="6"/>
  <c r="N54" i="6"/>
  <c r="N55" i="6"/>
  <c r="N56" i="6"/>
  <c r="P11" i="6"/>
  <c r="P13" i="6"/>
  <c r="M15" i="6"/>
  <c r="P16" i="6"/>
  <c r="M18" i="6"/>
  <c r="P19" i="6"/>
  <c r="M21" i="6"/>
  <c r="P22" i="6"/>
  <c r="P24" i="6"/>
  <c r="P26" i="6"/>
  <c r="M28" i="6"/>
  <c r="M30" i="6"/>
  <c r="P31" i="6"/>
  <c r="M33" i="6"/>
  <c r="P34" i="6"/>
  <c r="P36" i="6"/>
  <c r="M38" i="6"/>
  <c r="P39" i="6"/>
  <c r="M41" i="6"/>
  <c r="M43" i="6"/>
  <c r="M45" i="6"/>
  <c r="P46" i="6"/>
  <c r="M50" i="6"/>
  <c r="M49" i="5"/>
  <c r="P52" i="6"/>
  <c r="M54" i="6"/>
  <c r="M55" i="6"/>
  <c r="P56" i="6"/>
  <c r="O11" i="6"/>
  <c r="O12" i="6"/>
  <c r="M12" i="6"/>
  <c r="M13" i="6"/>
  <c r="P14" i="6"/>
  <c r="M16" i="6"/>
  <c r="P17" i="6"/>
  <c r="M19" i="6"/>
  <c r="M20" i="6"/>
  <c r="P21" i="6"/>
  <c r="M23" i="6"/>
  <c r="M24" i="6"/>
  <c r="P25" i="6"/>
  <c r="M27" i="6"/>
  <c r="P28" i="6"/>
  <c r="P29" i="6"/>
  <c r="M31" i="6"/>
  <c r="P32" i="6"/>
  <c r="M34" i="6"/>
  <c r="P35" i="6"/>
  <c r="M37" i="6"/>
  <c r="P38" i="6"/>
  <c r="M40" i="6"/>
  <c r="P41" i="6"/>
  <c r="P42" i="6"/>
  <c r="M44" i="6"/>
  <c r="P45" i="6"/>
  <c r="M47" i="6"/>
  <c r="P50" i="6"/>
  <c r="P49" i="5"/>
  <c r="P51" i="6"/>
  <c r="M53" i="6"/>
  <c r="P54" i="6"/>
  <c r="M56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9" i="5"/>
  <c r="L50" i="6"/>
  <c r="L51" i="6"/>
  <c r="L52" i="6"/>
  <c r="L53" i="6"/>
  <c r="L54" i="6"/>
  <c r="L55" i="6"/>
  <c r="L56" i="6"/>
  <c r="N49" i="4"/>
  <c r="M49" i="4"/>
  <c r="O29" i="4"/>
  <c r="O30" i="4"/>
  <c r="P49" i="4"/>
  <c r="L49" i="4"/>
  <c r="N48" i="4"/>
  <c r="L48" i="4"/>
  <c r="L9" i="4" s="1"/>
  <c r="M48" i="4"/>
  <c r="M9" i="4" s="1"/>
  <c r="M8" i="4" s="1"/>
  <c r="P48" i="4"/>
  <c r="P9" i="4" s="1"/>
  <c r="P8" i="4" s="1"/>
  <c r="N10" i="6"/>
  <c r="L10" i="6"/>
  <c r="M10" i="6"/>
  <c r="P10" i="6"/>
  <c r="O10" i="4"/>
  <c r="O31" i="4"/>
  <c r="Q31" i="4" s="1"/>
  <c r="O32" i="4"/>
  <c r="O33" i="4"/>
  <c r="O34" i="4"/>
  <c r="O35" i="4"/>
  <c r="O36" i="4"/>
  <c r="O37" i="4"/>
  <c r="O41" i="4"/>
  <c r="O42" i="4"/>
  <c r="K10" i="4"/>
  <c r="K11" i="4"/>
  <c r="K12" i="4"/>
  <c r="K13" i="4"/>
  <c r="Q13" i="4" s="1"/>
  <c r="K14" i="4"/>
  <c r="K15" i="4"/>
  <c r="Q15" i="4" s="1"/>
  <c r="K16" i="4"/>
  <c r="K17" i="4"/>
  <c r="R17" i="4" s="1"/>
  <c r="K18" i="4"/>
  <c r="K19" i="4"/>
  <c r="K20" i="4"/>
  <c r="K21" i="4"/>
  <c r="R21" i="4" s="1"/>
  <c r="K22" i="4"/>
  <c r="K23" i="4"/>
  <c r="K24" i="4"/>
  <c r="K25" i="4"/>
  <c r="Q25" i="4" s="1"/>
  <c r="K26" i="4"/>
  <c r="K27" i="4"/>
  <c r="K28" i="4"/>
  <c r="K29" i="4"/>
  <c r="K30" i="4"/>
  <c r="K31" i="4"/>
  <c r="K32" i="4"/>
  <c r="K33" i="4"/>
  <c r="K34" i="4"/>
  <c r="K35" i="4"/>
  <c r="K36" i="4"/>
  <c r="K37" i="4"/>
  <c r="R37" i="4" s="1"/>
  <c r="K38" i="4"/>
  <c r="K39" i="4"/>
  <c r="K40" i="4"/>
  <c r="K41" i="4"/>
  <c r="R41" i="4" s="1"/>
  <c r="K42" i="4"/>
  <c r="K43" i="4"/>
  <c r="K44" i="4"/>
  <c r="K45" i="4"/>
  <c r="Q45" i="4" s="1"/>
  <c r="K46" i="4"/>
  <c r="K47" i="4"/>
  <c r="K48" i="4"/>
  <c r="K50" i="4"/>
  <c r="R50" i="4" s="1"/>
  <c r="K51" i="4"/>
  <c r="K52" i="4"/>
  <c r="K53" i="4"/>
  <c r="K54" i="4"/>
  <c r="R54" i="4" s="1"/>
  <c r="K55" i="4"/>
  <c r="O26" i="4"/>
  <c r="O43" i="4"/>
  <c r="O44" i="4"/>
  <c r="O45" i="4"/>
  <c r="O46" i="4"/>
  <c r="O47" i="4"/>
  <c r="O48" i="4"/>
  <c r="O50" i="4"/>
  <c r="O51" i="4"/>
  <c r="O52" i="4"/>
  <c r="Q52" i="4" s="1"/>
  <c r="O53" i="4"/>
  <c r="O54" i="4"/>
  <c r="O55" i="4"/>
  <c r="O56" i="4"/>
  <c r="R13" i="4"/>
  <c r="Q19" i="4"/>
  <c r="Q23" i="4"/>
  <c r="R25" i="4"/>
  <c r="R45" i="4"/>
  <c r="K56" i="4"/>
  <c r="R49" i="3"/>
  <c r="Q49" i="3"/>
  <c r="P49" i="3"/>
  <c r="O49" i="3"/>
  <c r="N49" i="3"/>
  <c r="M49" i="3"/>
  <c r="L49" i="3"/>
  <c r="K49" i="3"/>
  <c r="P9" i="3"/>
  <c r="R9" i="3"/>
  <c r="Q9" i="3"/>
  <c r="O9" i="3"/>
  <c r="O8" i="3" s="1"/>
  <c r="N9" i="3"/>
  <c r="N8" i="3" s="1"/>
  <c r="M9" i="3"/>
  <c r="M8" i="3" s="1"/>
  <c r="L9" i="3"/>
  <c r="L8" i="3" s="1"/>
  <c r="K9" i="3"/>
  <c r="K8" i="3" s="1"/>
  <c r="G56" i="4"/>
  <c r="G55" i="4"/>
  <c r="G54" i="4"/>
  <c r="G5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F45" i="4"/>
  <c r="F56" i="4"/>
  <c r="F52" i="4"/>
  <c r="F47" i="4"/>
  <c r="F43" i="4"/>
  <c r="F39" i="4"/>
  <c r="F35" i="4"/>
  <c r="F31" i="4"/>
  <c r="F27" i="4"/>
  <c r="F23" i="4"/>
  <c r="F19" i="4"/>
  <c r="F15" i="4"/>
  <c r="F11" i="4"/>
  <c r="E56" i="4"/>
  <c r="E55" i="4"/>
  <c r="E54" i="4"/>
  <c r="E53" i="4"/>
  <c r="E52" i="4"/>
  <c r="E51" i="4"/>
  <c r="E50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D56" i="4"/>
  <c r="D55" i="4"/>
  <c r="D54" i="4"/>
  <c r="D52" i="4"/>
  <c r="D51" i="4"/>
  <c r="D50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C56" i="4"/>
  <c r="C55" i="4"/>
  <c r="C54" i="4"/>
  <c r="C53" i="4"/>
  <c r="C52" i="4"/>
  <c r="C51" i="4"/>
  <c r="C50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39" i="5"/>
  <c r="D33" i="5"/>
  <c r="D31" i="5"/>
  <c r="D36" i="5"/>
  <c r="K30" i="5"/>
  <c r="O17" i="5"/>
  <c r="G22" i="5"/>
  <c r="K26" i="5"/>
  <c r="C50" i="5"/>
  <c r="C19" i="5"/>
  <c r="D17" i="5"/>
  <c r="O55" i="5"/>
  <c r="E45" i="5"/>
  <c r="G25" i="5"/>
  <c r="G14" i="5"/>
  <c r="E14" i="5"/>
  <c r="K18" i="5"/>
  <c r="D20" i="5"/>
  <c r="G48" i="5"/>
  <c r="O13" i="5"/>
  <c r="E10" i="5"/>
  <c r="G10" i="5"/>
  <c r="K12" i="5"/>
  <c r="G51" i="5"/>
  <c r="O15" i="5"/>
  <c r="D22" i="5"/>
  <c r="K28" i="5"/>
  <c r="E52" i="5"/>
  <c r="O41" i="5"/>
  <c r="K52" i="5"/>
  <c r="G16" i="5"/>
  <c r="D30" i="5"/>
  <c r="G50" i="5"/>
  <c r="C34" i="5"/>
  <c r="G31" i="5"/>
  <c r="E53" i="5"/>
  <c r="O46" i="5"/>
  <c r="C48" i="5"/>
  <c r="G21" i="5"/>
  <c r="K23" i="5"/>
  <c r="K43" i="5"/>
  <c r="G47" i="5"/>
  <c r="C25" i="5"/>
  <c r="G23" i="5"/>
  <c r="O27" i="5"/>
  <c r="K37" i="5"/>
  <c r="E32" i="5"/>
  <c r="K45" i="5"/>
  <c r="C18" i="5"/>
  <c r="K44" i="5"/>
  <c r="K16" i="5"/>
  <c r="G26" i="5"/>
  <c r="G35" i="5"/>
  <c r="G33" i="5"/>
  <c r="K19" i="5"/>
  <c r="G54" i="5"/>
  <c r="E30" i="5"/>
  <c r="O53" i="5"/>
  <c r="E43" i="5"/>
  <c r="D34" i="5"/>
  <c r="C45" i="5"/>
  <c r="D35" i="5"/>
  <c r="C54" i="5"/>
  <c r="D40" i="5"/>
  <c r="K46" i="5"/>
  <c r="D13" i="5"/>
  <c r="G19" i="5"/>
  <c r="D29" i="5"/>
  <c r="K13" i="5"/>
  <c r="F23" i="5"/>
  <c r="E16" i="5"/>
  <c r="O23" i="5"/>
  <c r="E28" i="5"/>
  <c r="K41" i="5"/>
  <c r="G34" i="5"/>
  <c r="D23" i="5"/>
  <c r="E15" i="5"/>
  <c r="C42" i="5"/>
  <c r="E47" i="5"/>
  <c r="G17" i="5"/>
  <c r="D43" i="5"/>
  <c r="G45" i="5"/>
  <c r="E50" i="5"/>
  <c r="C26" i="5"/>
  <c r="K55" i="5"/>
  <c r="D47" i="5"/>
  <c r="P48" i="5"/>
  <c r="K25" i="5"/>
  <c r="O47" i="5"/>
  <c r="C40" i="5"/>
  <c r="D11" i="5"/>
  <c r="E29" i="5"/>
  <c r="F39" i="5"/>
  <c r="O56" i="5"/>
  <c r="C16" i="5"/>
  <c r="C44" i="5"/>
  <c r="K11" i="5"/>
  <c r="F11" i="5"/>
  <c r="K50" i="5"/>
  <c r="E40" i="5"/>
  <c r="D41" i="5"/>
  <c r="C20" i="5"/>
  <c r="G13" i="5"/>
  <c r="O24" i="5"/>
  <c r="D42" i="5"/>
  <c r="O19" i="5"/>
  <c r="C36" i="5"/>
  <c r="K10" i="5"/>
  <c r="O44" i="5"/>
  <c r="E19" i="5"/>
  <c r="F27" i="5"/>
  <c r="E12" i="5"/>
  <c r="O28" i="5"/>
  <c r="K15" i="5"/>
  <c r="C13" i="5"/>
  <c r="K21" i="5"/>
  <c r="D21" i="5"/>
  <c r="K51" i="5"/>
  <c r="C21" i="5"/>
  <c r="F47" i="5"/>
  <c r="C11" i="5"/>
  <c r="O33" i="5"/>
  <c r="D46" i="5"/>
  <c r="F56" i="5"/>
  <c r="O10" i="5"/>
  <c r="E55" i="5"/>
  <c r="O29" i="5"/>
  <c r="G53" i="5"/>
  <c r="E31" i="5"/>
  <c r="E25" i="5"/>
  <c r="C10" i="5"/>
  <c r="G56" i="5"/>
  <c r="K20" i="5"/>
  <c r="E48" i="5"/>
  <c r="C43" i="5"/>
  <c r="D48" i="5"/>
  <c r="K34" i="5"/>
  <c r="D14" i="5"/>
  <c r="E26" i="5"/>
  <c r="G30" i="5"/>
  <c r="E33" i="5"/>
  <c r="K14" i="5"/>
  <c r="K42" i="5"/>
  <c r="F35" i="5"/>
  <c r="K40" i="5"/>
  <c r="O34" i="5"/>
  <c r="G36" i="5"/>
  <c r="E34" i="5"/>
  <c r="C47" i="5"/>
  <c r="C56" i="5"/>
  <c r="K48" i="5"/>
  <c r="G38" i="5"/>
  <c r="K22" i="5"/>
  <c r="C31" i="5"/>
  <c r="E42" i="5"/>
  <c r="O26" i="5"/>
  <c r="D50" i="5"/>
  <c r="O48" i="5"/>
  <c r="K31" i="5"/>
  <c r="E51" i="5"/>
  <c r="G37" i="5"/>
  <c r="C12" i="5"/>
  <c r="E44" i="5"/>
  <c r="C15" i="5"/>
  <c r="F52" i="5"/>
  <c r="E54" i="5"/>
  <c r="C38" i="5"/>
  <c r="K53" i="5"/>
  <c r="O38" i="5"/>
  <c r="O21" i="5"/>
  <c r="O32" i="5"/>
  <c r="E11" i="5"/>
  <c r="G40" i="5"/>
  <c r="E13" i="5"/>
  <c r="K56" i="5"/>
  <c r="O45" i="5"/>
  <c r="D26" i="5"/>
  <c r="D15" i="5"/>
  <c r="G12" i="5"/>
  <c r="D25" i="5"/>
  <c r="D37" i="5"/>
  <c r="D19" i="5"/>
  <c r="K27" i="5"/>
  <c r="G20" i="5"/>
  <c r="C17" i="5"/>
  <c r="G46" i="5"/>
  <c r="F15" i="5"/>
  <c r="G24" i="5"/>
  <c r="D44" i="5"/>
  <c r="E27" i="5"/>
  <c r="D54" i="5"/>
  <c r="C52" i="5"/>
  <c r="E36" i="5"/>
  <c r="O39" i="5"/>
  <c r="L48" i="5"/>
  <c r="C41" i="5"/>
  <c r="C32" i="5"/>
  <c r="D27" i="5"/>
  <c r="E20" i="5"/>
  <c r="O35" i="5"/>
  <c r="K29" i="5"/>
  <c r="K32" i="5"/>
  <c r="G52" i="5"/>
  <c r="K38" i="5"/>
  <c r="C14" i="5"/>
  <c r="K33" i="5"/>
  <c r="G15" i="5"/>
  <c r="O18" i="5"/>
  <c r="D10" i="5"/>
  <c r="K35" i="5"/>
  <c r="C46" i="5"/>
  <c r="E38" i="5"/>
  <c r="C53" i="5"/>
  <c r="G11" i="5"/>
  <c r="C33" i="5"/>
  <c r="C37" i="5"/>
  <c r="O20" i="5"/>
  <c r="O52" i="5"/>
  <c r="G43" i="5"/>
  <c r="O54" i="5"/>
  <c r="C30" i="5"/>
  <c r="G28" i="5"/>
  <c r="K54" i="5"/>
  <c r="D39" i="5"/>
  <c r="G55" i="5"/>
  <c r="G39" i="5"/>
  <c r="D45" i="5"/>
  <c r="G32" i="5"/>
  <c r="E46" i="5"/>
  <c r="D56" i="5"/>
  <c r="F45" i="5"/>
  <c r="O30" i="5"/>
  <c r="O42" i="5"/>
  <c r="O22" i="5"/>
  <c r="D24" i="5"/>
  <c r="E21" i="5"/>
  <c r="M48" i="5"/>
  <c r="D52" i="5"/>
  <c r="G27" i="5"/>
  <c r="D18" i="5"/>
  <c r="C51" i="5"/>
  <c r="D16" i="5"/>
  <c r="E56" i="5"/>
  <c r="E18" i="5"/>
  <c r="G44" i="5"/>
  <c r="O16" i="5"/>
  <c r="K36" i="5"/>
  <c r="O25" i="5"/>
  <c r="C29" i="5"/>
  <c r="O51" i="5"/>
  <c r="C24" i="5"/>
  <c r="E22" i="5"/>
  <c r="F43" i="5"/>
  <c r="K24" i="5"/>
  <c r="E17" i="5"/>
  <c r="F31" i="5"/>
  <c r="D12" i="5"/>
  <c r="O50" i="5"/>
  <c r="D32" i="5"/>
  <c r="F19" i="5"/>
  <c r="E37" i="5"/>
  <c r="N48" i="5"/>
  <c r="O40" i="5"/>
  <c r="D51" i="5"/>
  <c r="G41" i="5"/>
  <c r="C35" i="5"/>
  <c r="K17" i="5"/>
  <c r="O36" i="5"/>
  <c r="C23" i="5"/>
  <c r="E39" i="5"/>
  <c r="G29" i="5"/>
  <c r="C55" i="5"/>
  <c r="O37" i="5"/>
  <c r="O31" i="5"/>
  <c r="K47" i="5"/>
  <c r="K39" i="5"/>
  <c r="D38" i="5"/>
  <c r="D55" i="5"/>
  <c r="E41" i="5"/>
  <c r="G42" i="5"/>
  <c r="C28" i="5"/>
  <c r="E24" i="5"/>
  <c r="C27" i="5"/>
  <c r="E23" i="5"/>
  <c r="E35" i="5"/>
  <c r="D28" i="5"/>
  <c r="O43" i="5"/>
  <c r="O14" i="5"/>
  <c r="C22" i="5"/>
  <c r="G18" i="5"/>
  <c r="AR8" i="5" l="1"/>
  <c r="AS8" i="5"/>
  <c r="AS49" i="6"/>
  <c r="AR49" i="6"/>
  <c r="AL8" i="6"/>
  <c r="AR9" i="6"/>
  <c r="AS9" i="6"/>
  <c r="AQ8" i="6"/>
  <c r="AI9" i="6"/>
  <c r="AC8" i="6"/>
  <c r="AJ9" i="6"/>
  <c r="AI49" i="6"/>
  <c r="AJ49" i="6"/>
  <c r="AE8" i="6"/>
  <c r="AG8" i="6"/>
  <c r="AP8" i="6"/>
  <c r="AD8" i="6"/>
  <c r="AI8" i="5"/>
  <c r="R43" i="4"/>
  <c r="R35" i="4"/>
  <c r="R27" i="4"/>
  <c r="L8" i="4"/>
  <c r="Q50" i="4"/>
  <c r="R18" i="4"/>
  <c r="Q41" i="4"/>
  <c r="O38" i="6"/>
  <c r="O24" i="6"/>
  <c r="O20" i="6"/>
  <c r="O16" i="6"/>
  <c r="O28" i="6"/>
  <c r="O23" i="6"/>
  <c r="O19" i="6"/>
  <c r="O15" i="6"/>
  <c r="O40" i="6"/>
  <c r="O27" i="6"/>
  <c r="O22" i="6"/>
  <c r="O18" i="6"/>
  <c r="O14" i="6"/>
  <c r="O39" i="6"/>
  <c r="O25" i="6"/>
  <c r="O21" i="6"/>
  <c r="O17" i="6"/>
  <c r="O13" i="6"/>
  <c r="Q54" i="4"/>
  <c r="Q21" i="4"/>
  <c r="Q17" i="4"/>
  <c r="C17" i="6"/>
  <c r="U17" i="6" s="1"/>
  <c r="AV17" i="6" s="1"/>
  <c r="U17" i="5"/>
  <c r="AV17" i="5" s="1"/>
  <c r="C29" i="6"/>
  <c r="U29" i="6" s="1"/>
  <c r="AV29" i="6" s="1"/>
  <c r="U29" i="5"/>
  <c r="AV29" i="5" s="1"/>
  <c r="C49" i="5"/>
  <c r="U49" i="5" s="1"/>
  <c r="AV49" i="5" s="1"/>
  <c r="U50" i="5"/>
  <c r="AV50" i="5" s="1"/>
  <c r="C50" i="6"/>
  <c r="V15" i="5"/>
  <c r="AW15" i="5" s="1"/>
  <c r="D15" i="6"/>
  <c r="V15" i="6" s="1"/>
  <c r="AW15" i="6" s="1"/>
  <c r="D27" i="6"/>
  <c r="V27" i="6" s="1"/>
  <c r="AW27" i="6" s="1"/>
  <c r="V27" i="5"/>
  <c r="AW27" i="5" s="1"/>
  <c r="D39" i="6"/>
  <c r="V39" i="6" s="1"/>
  <c r="AW39" i="6" s="1"/>
  <c r="V39" i="5"/>
  <c r="AW39" i="5" s="1"/>
  <c r="V47" i="5"/>
  <c r="AW47" i="5" s="1"/>
  <c r="D47" i="6"/>
  <c r="V47" i="6" s="1"/>
  <c r="AW47" i="6" s="1"/>
  <c r="E13" i="6"/>
  <c r="W13" i="6" s="1"/>
  <c r="AX13" i="6" s="1"/>
  <c r="W13" i="5"/>
  <c r="AX13" i="5" s="1"/>
  <c r="W33" i="5"/>
  <c r="AX33" i="5" s="1"/>
  <c r="E33" i="6"/>
  <c r="W33" i="6" s="1"/>
  <c r="AX33" i="6" s="1"/>
  <c r="E45" i="6"/>
  <c r="W45" i="6" s="1"/>
  <c r="AX45" i="6" s="1"/>
  <c r="W45" i="5"/>
  <c r="AX45" i="5" s="1"/>
  <c r="X15" i="5"/>
  <c r="AY15" i="5" s="1"/>
  <c r="F15" i="6"/>
  <c r="X27" i="5"/>
  <c r="AY27" i="5" s="1"/>
  <c r="F27" i="6"/>
  <c r="X27" i="6" s="1"/>
  <c r="AY27" i="6" s="1"/>
  <c r="F43" i="6"/>
  <c r="X43" i="5"/>
  <c r="AY43" i="5" s="1"/>
  <c r="G23" i="6"/>
  <c r="Y23" i="6" s="1"/>
  <c r="AZ23" i="6" s="1"/>
  <c r="Y23" i="5"/>
  <c r="AZ23" i="5" s="1"/>
  <c r="G47" i="6"/>
  <c r="Y47" i="6" s="1"/>
  <c r="AZ47" i="6" s="1"/>
  <c r="Y47" i="5"/>
  <c r="AZ47" i="5" s="1"/>
  <c r="O56" i="6"/>
  <c r="O43" i="6"/>
  <c r="R44" i="5"/>
  <c r="Q44" i="5"/>
  <c r="K44" i="6"/>
  <c r="Q36" i="5"/>
  <c r="K36" i="6"/>
  <c r="R36" i="5"/>
  <c r="R24" i="5"/>
  <c r="Q24" i="5"/>
  <c r="K24" i="6"/>
  <c r="K12" i="6"/>
  <c r="R12" i="5"/>
  <c r="Q12" i="5"/>
  <c r="O31" i="6"/>
  <c r="O30" i="6"/>
  <c r="C26" i="6"/>
  <c r="U26" i="6" s="1"/>
  <c r="AV26" i="6" s="1"/>
  <c r="U26" i="5"/>
  <c r="AV26" i="5" s="1"/>
  <c r="C13" i="6"/>
  <c r="U13" i="6" s="1"/>
  <c r="AV13" i="6" s="1"/>
  <c r="U13" i="5"/>
  <c r="AV13" i="5" s="1"/>
  <c r="C25" i="6"/>
  <c r="U25" i="6" s="1"/>
  <c r="AV25" i="6" s="1"/>
  <c r="U25" i="5"/>
  <c r="AV25" i="5" s="1"/>
  <c r="C37" i="6"/>
  <c r="U37" i="6" s="1"/>
  <c r="AV37" i="6" s="1"/>
  <c r="U37" i="5"/>
  <c r="AV37" i="5" s="1"/>
  <c r="U45" i="5"/>
  <c r="AV45" i="5" s="1"/>
  <c r="C45" i="6"/>
  <c r="U45" i="6" s="1"/>
  <c r="AV45" i="6" s="1"/>
  <c r="C54" i="6"/>
  <c r="U54" i="6" s="1"/>
  <c r="AV54" i="6" s="1"/>
  <c r="U54" i="5"/>
  <c r="AV54" i="5" s="1"/>
  <c r="D19" i="6"/>
  <c r="V19" i="6" s="1"/>
  <c r="AW19" i="6" s="1"/>
  <c r="V19" i="5"/>
  <c r="AW19" i="5" s="1"/>
  <c r="D31" i="6"/>
  <c r="V31" i="6" s="1"/>
  <c r="AW31" i="6" s="1"/>
  <c r="V31" i="5"/>
  <c r="AW31" i="5" s="1"/>
  <c r="D43" i="6"/>
  <c r="V43" i="6" s="1"/>
  <c r="AW43" i="6" s="1"/>
  <c r="V43" i="5"/>
  <c r="AW43" i="5" s="1"/>
  <c r="D56" i="6"/>
  <c r="V56" i="6" s="1"/>
  <c r="AW56" i="6" s="1"/>
  <c r="V56" i="5"/>
  <c r="AW56" i="5" s="1"/>
  <c r="E21" i="6"/>
  <c r="W21" i="6" s="1"/>
  <c r="AX21" i="6" s="1"/>
  <c r="W21" i="5"/>
  <c r="AX21" i="5" s="1"/>
  <c r="E29" i="6"/>
  <c r="W29" i="6" s="1"/>
  <c r="AX29" i="6" s="1"/>
  <c r="W29" i="5"/>
  <c r="AX29" i="5" s="1"/>
  <c r="W37" i="5"/>
  <c r="AX37" i="5" s="1"/>
  <c r="E37" i="6"/>
  <c r="W37" i="6" s="1"/>
  <c r="AX37" i="6" s="1"/>
  <c r="E50" i="6"/>
  <c r="W50" i="5"/>
  <c r="AX50" i="5" s="1"/>
  <c r="E49" i="5"/>
  <c r="W49" i="5" s="1"/>
  <c r="AX49" i="5" s="1"/>
  <c r="E54" i="6"/>
  <c r="W54" i="6" s="1"/>
  <c r="AX54" i="6" s="1"/>
  <c r="W54" i="5"/>
  <c r="AX54" i="5" s="1"/>
  <c r="X19" i="5"/>
  <c r="AY19" i="5" s="1"/>
  <c r="F19" i="6"/>
  <c r="F31" i="6"/>
  <c r="X31" i="5"/>
  <c r="AY31" i="5" s="1"/>
  <c r="F39" i="6"/>
  <c r="X39" i="5"/>
  <c r="AY39" i="5" s="1"/>
  <c r="F45" i="6"/>
  <c r="X45" i="5"/>
  <c r="AY45" i="5" s="1"/>
  <c r="Y11" i="5"/>
  <c r="AZ11" i="5" s="1"/>
  <c r="G11" i="6"/>
  <c r="Y11" i="6" s="1"/>
  <c r="AZ11" i="6" s="1"/>
  <c r="G19" i="6"/>
  <c r="Y19" i="6" s="1"/>
  <c r="AZ19" i="6" s="1"/>
  <c r="Y19" i="5"/>
  <c r="AZ19" i="5" s="1"/>
  <c r="G27" i="6"/>
  <c r="Y27" i="6" s="1"/>
  <c r="AZ27" i="6" s="1"/>
  <c r="Y27" i="5"/>
  <c r="AZ27" i="5" s="1"/>
  <c r="G35" i="6"/>
  <c r="Y35" i="6" s="1"/>
  <c r="AZ35" i="6" s="1"/>
  <c r="Y35" i="5"/>
  <c r="AZ35" i="5" s="1"/>
  <c r="Y39" i="5"/>
  <c r="AZ39" i="5" s="1"/>
  <c r="G39" i="6"/>
  <c r="Y39" i="6" s="1"/>
  <c r="AZ39" i="6" s="1"/>
  <c r="G52" i="6"/>
  <c r="Y52" i="6" s="1"/>
  <c r="AZ52" i="6" s="1"/>
  <c r="Y52" i="5"/>
  <c r="AZ52" i="5" s="1"/>
  <c r="O52" i="6"/>
  <c r="Q53" i="5"/>
  <c r="R53" i="5"/>
  <c r="K53" i="6"/>
  <c r="K40" i="6"/>
  <c r="R40" i="5"/>
  <c r="Q40" i="5"/>
  <c r="K32" i="6"/>
  <c r="R32" i="5"/>
  <c r="Q32" i="5"/>
  <c r="R20" i="5"/>
  <c r="Q20" i="5"/>
  <c r="K20" i="6"/>
  <c r="R16" i="5"/>
  <c r="Q16" i="5"/>
  <c r="K16" i="6"/>
  <c r="O42" i="6"/>
  <c r="O35" i="6"/>
  <c r="C14" i="6"/>
  <c r="U14" i="6" s="1"/>
  <c r="AV14" i="6" s="1"/>
  <c r="U14" i="5"/>
  <c r="AV14" i="5" s="1"/>
  <c r="U18" i="5"/>
  <c r="AV18" i="5" s="1"/>
  <c r="C18" i="6"/>
  <c r="U18" i="6" s="1"/>
  <c r="AV18" i="6" s="1"/>
  <c r="U22" i="5"/>
  <c r="AV22" i="5" s="1"/>
  <c r="C22" i="6"/>
  <c r="U22" i="6" s="1"/>
  <c r="AV22" i="6" s="1"/>
  <c r="C30" i="6"/>
  <c r="U30" i="6" s="1"/>
  <c r="AV30" i="6" s="1"/>
  <c r="U30" i="5"/>
  <c r="AV30" i="5" s="1"/>
  <c r="U34" i="5"/>
  <c r="AV34" i="5" s="1"/>
  <c r="C34" i="6"/>
  <c r="U34" i="6" s="1"/>
  <c r="AV34" i="6" s="1"/>
  <c r="C38" i="6"/>
  <c r="U38" i="6" s="1"/>
  <c r="AV38" i="6" s="1"/>
  <c r="U38" i="5"/>
  <c r="AV38" i="5" s="1"/>
  <c r="C42" i="6"/>
  <c r="U42" i="6" s="1"/>
  <c r="AV42" i="6" s="1"/>
  <c r="U42" i="5"/>
  <c r="AV42" i="5" s="1"/>
  <c r="U46" i="5"/>
  <c r="AV46" i="5" s="1"/>
  <c r="C46" i="6"/>
  <c r="U46" i="6" s="1"/>
  <c r="AV46" i="6" s="1"/>
  <c r="C51" i="6"/>
  <c r="U51" i="6" s="1"/>
  <c r="AV51" i="6" s="1"/>
  <c r="U51" i="5"/>
  <c r="AV51" i="5" s="1"/>
  <c r="C55" i="6"/>
  <c r="U55" i="6" s="1"/>
  <c r="AV55" i="6" s="1"/>
  <c r="U55" i="5"/>
  <c r="AV55" i="5" s="1"/>
  <c r="V12" i="5"/>
  <c r="AW12" i="5" s="1"/>
  <c r="D12" i="6"/>
  <c r="V12" i="6" s="1"/>
  <c r="AW12" i="6" s="1"/>
  <c r="D16" i="6"/>
  <c r="V16" i="6" s="1"/>
  <c r="AW16" i="6" s="1"/>
  <c r="V16" i="5"/>
  <c r="AW16" i="5" s="1"/>
  <c r="V20" i="5"/>
  <c r="AW20" i="5" s="1"/>
  <c r="D20" i="6"/>
  <c r="V20" i="6" s="1"/>
  <c r="AW20" i="6" s="1"/>
  <c r="D24" i="6"/>
  <c r="V24" i="6" s="1"/>
  <c r="AW24" i="6" s="1"/>
  <c r="V24" i="5"/>
  <c r="AW24" i="5" s="1"/>
  <c r="D28" i="6"/>
  <c r="V28" i="6" s="1"/>
  <c r="AW28" i="6" s="1"/>
  <c r="V28" i="5"/>
  <c r="AW28" i="5" s="1"/>
  <c r="D32" i="6"/>
  <c r="V32" i="6" s="1"/>
  <c r="AW32" i="6" s="1"/>
  <c r="V32" i="5"/>
  <c r="AW32" i="5" s="1"/>
  <c r="D36" i="6"/>
  <c r="V36" i="6" s="1"/>
  <c r="AW36" i="6" s="1"/>
  <c r="V36" i="5"/>
  <c r="AW36" i="5" s="1"/>
  <c r="D40" i="6"/>
  <c r="V40" i="6" s="1"/>
  <c r="AW40" i="6" s="1"/>
  <c r="V40" i="5"/>
  <c r="AW40" i="5" s="1"/>
  <c r="D44" i="6"/>
  <c r="V44" i="6" s="1"/>
  <c r="AW44" i="6" s="1"/>
  <c r="V44" i="5"/>
  <c r="AW44" i="5" s="1"/>
  <c r="E22" i="6"/>
  <c r="W22" i="6" s="1"/>
  <c r="AX22" i="6" s="1"/>
  <c r="W22" i="5"/>
  <c r="AX22" i="5" s="1"/>
  <c r="E30" i="6"/>
  <c r="W30" i="6" s="1"/>
  <c r="AX30" i="6" s="1"/>
  <c r="W30" i="5"/>
  <c r="AX30" i="5" s="1"/>
  <c r="W38" i="5"/>
  <c r="AX38" i="5" s="1"/>
  <c r="E38" i="6"/>
  <c r="W38" i="6" s="1"/>
  <c r="AX38" i="6" s="1"/>
  <c r="E51" i="6"/>
  <c r="W51" i="6" s="1"/>
  <c r="AX51" i="6" s="1"/>
  <c r="W51" i="5"/>
  <c r="AX51" i="5" s="1"/>
  <c r="Y20" i="5"/>
  <c r="AZ20" i="5" s="1"/>
  <c r="G20" i="6"/>
  <c r="Y20" i="6" s="1"/>
  <c r="AZ20" i="6" s="1"/>
  <c r="G28" i="6"/>
  <c r="Y28" i="6" s="1"/>
  <c r="AZ28" i="6" s="1"/>
  <c r="Y28" i="5"/>
  <c r="AZ28" i="5" s="1"/>
  <c r="G36" i="6"/>
  <c r="Y36" i="6" s="1"/>
  <c r="AZ36" i="6" s="1"/>
  <c r="Y36" i="5"/>
  <c r="AZ36" i="5" s="1"/>
  <c r="G44" i="6"/>
  <c r="Y44" i="6" s="1"/>
  <c r="AZ44" i="6" s="1"/>
  <c r="Y44" i="5"/>
  <c r="AZ44" i="5" s="1"/>
  <c r="O51" i="6"/>
  <c r="O26" i="6"/>
  <c r="R47" i="5"/>
  <c r="Q47" i="5"/>
  <c r="K47" i="6"/>
  <c r="K39" i="6"/>
  <c r="Q39" i="5"/>
  <c r="R39" i="5"/>
  <c r="K31" i="6"/>
  <c r="R31" i="5"/>
  <c r="Q31" i="5"/>
  <c r="Q23" i="5"/>
  <c r="K23" i="6"/>
  <c r="R23" i="5"/>
  <c r="K19" i="6"/>
  <c r="R19" i="5"/>
  <c r="Q19" i="5"/>
  <c r="Q11" i="5"/>
  <c r="K11" i="6"/>
  <c r="R11" i="5"/>
  <c r="O41" i="6"/>
  <c r="O34" i="6"/>
  <c r="O29" i="6"/>
  <c r="C11" i="6"/>
  <c r="U11" i="6" s="1"/>
  <c r="AV11" i="6" s="1"/>
  <c r="U11" i="5"/>
  <c r="AV11" i="5" s="1"/>
  <c r="C15" i="6"/>
  <c r="U15" i="6" s="1"/>
  <c r="AV15" i="6" s="1"/>
  <c r="U15" i="5"/>
  <c r="AV15" i="5" s="1"/>
  <c r="U19" i="5"/>
  <c r="AV19" i="5" s="1"/>
  <c r="C19" i="6"/>
  <c r="U19" i="6" s="1"/>
  <c r="AV19" i="6" s="1"/>
  <c r="U23" i="5"/>
  <c r="AV23" i="5" s="1"/>
  <c r="C23" i="6"/>
  <c r="U23" i="6" s="1"/>
  <c r="AV23" i="6" s="1"/>
  <c r="C27" i="6"/>
  <c r="U27" i="6" s="1"/>
  <c r="AV27" i="6" s="1"/>
  <c r="U27" i="5"/>
  <c r="AV27" i="5" s="1"/>
  <c r="C31" i="6"/>
  <c r="U31" i="6" s="1"/>
  <c r="AV31" i="6" s="1"/>
  <c r="U31" i="5"/>
  <c r="AV31" i="5" s="1"/>
  <c r="C35" i="6"/>
  <c r="U35" i="6" s="1"/>
  <c r="AV35" i="6" s="1"/>
  <c r="U35" i="5"/>
  <c r="AV35" i="5" s="1"/>
  <c r="C39" i="6"/>
  <c r="U39" i="6" s="1"/>
  <c r="AV39" i="6" s="1"/>
  <c r="U39" i="5"/>
  <c r="AV39" i="5" s="1"/>
  <c r="C43" i="6"/>
  <c r="U43" i="6" s="1"/>
  <c r="AV43" i="6" s="1"/>
  <c r="U43" i="5"/>
  <c r="AV43" i="5" s="1"/>
  <c r="C47" i="6"/>
  <c r="U47" i="6" s="1"/>
  <c r="AV47" i="6" s="1"/>
  <c r="U47" i="5"/>
  <c r="AV47" i="5" s="1"/>
  <c r="U52" i="5"/>
  <c r="AV52" i="5" s="1"/>
  <c r="C52" i="6"/>
  <c r="U52" i="6" s="1"/>
  <c r="AV52" i="6" s="1"/>
  <c r="C56" i="6"/>
  <c r="U56" i="6" s="1"/>
  <c r="AV56" i="6" s="1"/>
  <c r="U56" i="5"/>
  <c r="AV56" i="5" s="1"/>
  <c r="D13" i="6"/>
  <c r="V13" i="6" s="1"/>
  <c r="AW13" i="6" s="1"/>
  <c r="V13" i="5"/>
  <c r="AW13" i="5" s="1"/>
  <c r="D17" i="6"/>
  <c r="V17" i="6" s="1"/>
  <c r="AW17" i="6" s="1"/>
  <c r="V17" i="5"/>
  <c r="AW17" i="5" s="1"/>
  <c r="D21" i="6"/>
  <c r="V21" i="6" s="1"/>
  <c r="AW21" i="6" s="1"/>
  <c r="V21" i="5"/>
  <c r="AW21" i="5" s="1"/>
  <c r="V25" i="5"/>
  <c r="AW25" i="5" s="1"/>
  <c r="D25" i="6"/>
  <c r="V25" i="6" s="1"/>
  <c r="AW25" i="6" s="1"/>
  <c r="D29" i="6"/>
  <c r="V29" i="6" s="1"/>
  <c r="AW29" i="6" s="1"/>
  <c r="V29" i="5"/>
  <c r="AW29" i="5" s="1"/>
  <c r="V33" i="5"/>
  <c r="AW33" i="5" s="1"/>
  <c r="D33" i="6"/>
  <c r="V33" i="6" s="1"/>
  <c r="AW33" i="6" s="1"/>
  <c r="D37" i="6"/>
  <c r="V37" i="6" s="1"/>
  <c r="AW37" i="6" s="1"/>
  <c r="V37" i="5"/>
  <c r="AW37" i="5" s="1"/>
  <c r="D41" i="6"/>
  <c r="V41" i="6" s="1"/>
  <c r="AW41" i="6" s="1"/>
  <c r="V41" i="5"/>
  <c r="AW41" i="5" s="1"/>
  <c r="D45" i="6"/>
  <c r="V45" i="6" s="1"/>
  <c r="AW45" i="6" s="1"/>
  <c r="V45" i="5"/>
  <c r="AW45" i="5" s="1"/>
  <c r="D50" i="6"/>
  <c r="V50" i="5"/>
  <c r="AW50" i="5" s="1"/>
  <c r="D54" i="6"/>
  <c r="V54" i="6" s="1"/>
  <c r="AW54" i="6" s="1"/>
  <c r="V54" i="5"/>
  <c r="AW54" i="5" s="1"/>
  <c r="W11" i="5"/>
  <c r="AX11" i="5" s="1"/>
  <c r="E11" i="6"/>
  <c r="W11" i="6" s="1"/>
  <c r="AX11" i="6" s="1"/>
  <c r="E15" i="6"/>
  <c r="W15" i="6" s="1"/>
  <c r="AX15" i="6" s="1"/>
  <c r="W15" i="5"/>
  <c r="AX15" i="5" s="1"/>
  <c r="W19" i="5"/>
  <c r="AX19" i="5" s="1"/>
  <c r="E19" i="6"/>
  <c r="W19" i="6" s="1"/>
  <c r="AX19" i="6" s="1"/>
  <c r="E23" i="6"/>
  <c r="W23" i="6" s="1"/>
  <c r="AX23" i="6" s="1"/>
  <c r="W23" i="5"/>
  <c r="AX23" i="5" s="1"/>
  <c r="E27" i="6"/>
  <c r="W27" i="6" s="1"/>
  <c r="AX27" i="6" s="1"/>
  <c r="W27" i="5"/>
  <c r="AX27" i="5" s="1"/>
  <c r="E31" i="6"/>
  <c r="W31" i="6" s="1"/>
  <c r="AX31" i="6" s="1"/>
  <c r="W31" i="5"/>
  <c r="AX31" i="5" s="1"/>
  <c r="W35" i="5"/>
  <c r="AX35" i="5" s="1"/>
  <c r="E35" i="6"/>
  <c r="W35" i="6" s="1"/>
  <c r="AX35" i="6" s="1"/>
  <c r="W39" i="5"/>
  <c r="AX39" i="5" s="1"/>
  <c r="E39" i="6"/>
  <c r="W39" i="6" s="1"/>
  <c r="AX39" i="6" s="1"/>
  <c r="E43" i="6"/>
  <c r="W43" i="6" s="1"/>
  <c r="AX43" i="6" s="1"/>
  <c r="W43" i="5"/>
  <c r="AX43" i="5" s="1"/>
  <c r="E47" i="6"/>
  <c r="W47" i="6" s="1"/>
  <c r="AX47" i="6" s="1"/>
  <c r="W47" i="5"/>
  <c r="AX47" i="5" s="1"/>
  <c r="E52" i="6"/>
  <c r="W52" i="6" s="1"/>
  <c r="AX52" i="6" s="1"/>
  <c r="W52" i="5"/>
  <c r="AX52" i="5" s="1"/>
  <c r="E56" i="6"/>
  <c r="W56" i="6" s="1"/>
  <c r="AX56" i="6" s="1"/>
  <c r="W56" i="5"/>
  <c r="AX56" i="5" s="1"/>
  <c r="Y13" i="5"/>
  <c r="AZ13" i="5" s="1"/>
  <c r="G13" i="6"/>
  <c r="Y13" i="6" s="1"/>
  <c r="AZ13" i="6" s="1"/>
  <c r="G17" i="6"/>
  <c r="Y17" i="6" s="1"/>
  <c r="AZ17" i="6" s="1"/>
  <c r="Y17" i="5"/>
  <c r="AZ17" i="5" s="1"/>
  <c r="Y21" i="5"/>
  <c r="AZ21" i="5" s="1"/>
  <c r="G21" i="6"/>
  <c r="Y21" i="6" s="1"/>
  <c r="AZ21" i="6" s="1"/>
  <c r="G25" i="6"/>
  <c r="Y25" i="6" s="1"/>
  <c r="AZ25" i="6" s="1"/>
  <c r="Y25" i="5"/>
  <c r="AZ25" i="5" s="1"/>
  <c r="G29" i="6"/>
  <c r="Y29" i="6" s="1"/>
  <c r="AZ29" i="6" s="1"/>
  <c r="Y29" i="5"/>
  <c r="AZ29" i="5" s="1"/>
  <c r="Y33" i="5"/>
  <c r="AZ33" i="5" s="1"/>
  <c r="G33" i="6"/>
  <c r="Y33" i="6" s="1"/>
  <c r="AZ33" i="6" s="1"/>
  <c r="G37" i="6"/>
  <c r="Y37" i="6" s="1"/>
  <c r="AZ37" i="6" s="1"/>
  <c r="Y37" i="5"/>
  <c r="AZ37" i="5" s="1"/>
  <c r="G41" i="6"/>
  <c r="Y41" i="6" s="1"/>
  <c r="AZ41" i="6" s="1"/>
  <c r="Y41" i="5"/>
  <c r="AZ41" i="5" s="1"/>
  <c r="G45" i="6"/>
  <c r="Y45" i="6" s="1"/>
  <c r="AZ45" i="6" s="1"/>
  <c r="Y45" i="5"/>
  <c r="AZ45" i="5" s="1"/>
  <c r="G50" i="6"/>
  <c r="Y50" i="5"/>
  <c r="AZ50" i="5" s="1"/>
  <c r="G49" i="5"/>
  <c r="Y49" i="5" s="1"/>
  <c r="AZ49" i="5" s="1"/>
  <c r="Y54" i="5"/>
  <c r="AZ54" i="5" s="1"/>
  <c r="G54" i="6"/>
  <c r="Y54" i="6" s="1"/>
  <c r="AZ54" i="6" s="1"/>
  <c r="O54" i="6"/>
  <c r="O50" i="6"/>
  <c r="O49" i="5"/>
  <c r="O45" i="6"/>
  <c r="R55" i="5"/>
  <c r="Q55" i="5"/>
  <c r="K55" i="6"/>
  <c r="Q51" i="5"/>
  <c r="K51" i="6"/>
  <c r="R51" i="5"/>
  <c r="K46" i="6"/>
  <c r="Q46" i="5"/>
  <c r="R46" i="5"/>
  <c r="K42" i="6"/>
  <c r="Q42" i="5"/>
  <c r="R42" i="5"/>
  <c r="R38" i="5"/>
  <c r="K38" i="6"/>
  <c r="Q38" i="5"/>
  <c r="Q34" i="5"/>
  <c r="K34" i="6"/>
  <c r="R34" i="5"/>
  <c r="K30" i="6"/>
  <c r="Q30" i="5"/>
  <c r="R30" i="5"/>
  <c r="K26" i="6"/>
  <c r="Q26" i="5"/>
  <c r="R26" i="5"/>
  <c r="R22" i="5"/>
  <c r="K22" i="6"/>
  <c r="Q22" i="5"/>
  <c r="K18" i="6"/>
  <c r="Q18" i="5"/>
  <c r="R18" i="5"/>
  <c r="K14" i="6"/>
  <c r="R14" i="5"/>
  <c r="Q14" i="5"/>
  <c r="O37" i="6"/>
  <c r="O33" i="6"/>
  <c r="U21" i="5"/>
  <c r="AV21" i="5" s="1"/>
  <c r="C21" i="6"/>
  <c r="U21" i="6" s="1"/>
  <c r="AV21" i="6" s="1"/>
  <c r="C33" i="6"/>
  <c r="U33" i="6" s="1"/>
  <c r="AV33" i="6" s="1"/>
  <c r="U33" i="5"/>
  <c r="AV33" i="5" s="1"/>
  <c r="U41" i="5"/>
  <c r="AV41" i="5" s="1"/>
  <c r="C41" i="6"/>
  <c r="U41" i="6" s="1"/>
  <c r="AV41" i="6" s="1"/>
  <c r="V11" i="5"/>
  <c r="AW11" i="5" s="1"/>
  <c r="D11" i="6"/>
  <c r="V11" i="6" s="1"/>
  <c r="AW11" i="6" s="1"/>
  <c r="D23" i="6"/>
  <c r="V23" i="6" s="1"/>
  <c r="AW23" i="6" s="1"/>
  <c r="V23" i="5"/>
  <c r="AW23" i="5" s="1"/>
  <c r="V35" i="5"/>
  <c r="AW35" i="5" s="1"/>
  <c r="D35" i="6"/>
  <c r="V35" i="6" s="1"/>
  <c r="AW35" i="6" s="1"/>
  <c r="D52" i="6"/>
  <c r="V52" i="6" s="1"/>
  <c r="AW52" i="6" s="1"/>
  <c r="V52" i="5"/>
  <c r="AW52" i="5" s="1"/>
  <c r="E17" i="6"/>
  <c r="W17" i="6" s="1"/>
  <c r="AX17" i="6" s="1"/>
  <c r="W17" i="5"/>
  <c r="AX17" i="5" s="1"/>
  <c r="W25" i="5"/>
  <c r="AX25" i="5" s="1"/>
  <c r="E25" i="6"/>
  <c r="W25" i="6" s="1"/>
  <c r="AX25" i="6" s="1"/>
  <c r="W41" i="5"/>
  <c r="AX41" i="5" s="1"/>
  <c r="E41" i="6"/>
  <c r="W41" i="6" s="1"/>
  <c r="AX41" i="6" s="1"/>
  <c r="F11" i="6"/>
  <c r="X11" i="6" s="1"/>
  <c r="AY11" i="6" s="1"/>
  <c r="X11" i="5"/>
  <c r="AY11" i="5" s="1"/>
  <c r="X23" i="5"/>
  <c r="AY23" i="5" s="1"/>
  <c r="F23" i="6"/>
  <c r="X23" i="6" s="1"/>
  <c r="AY23" i="6" s="1"/>
  <c r="F35" i="6"/>
  <c r="X35" i="5"/>
  <c r="AY35" i="5" s="1"/>
  <c r="Y15" i="5"/>
  <c r="AZ15" i="5" s="1"/>
  <c r="G15" i="6"/>
  <c r="Y15" i="6" s="1"/>
  <c r="AZ15" i="6" s="1"/>
  <c r="Y31" i="5"/>
  <c r="AZ31" i="5" s="1"/>
  <c r="G31" i="6"/>
  <c r="Y31" i="6" s="1"/>
  <c r="AZ31" i="6" s="1"/>
  <c r="G43" i="6"/>
  <c r="Y43" i="6" s="1"/>
  <c r="AZ43" i="6" s="1"/>
  <c r="Y43" i="5"/>
  <c r="AZ43" i="5" s="1"/>
  <c r="G56" i="6"/>
  <c r="Y56" i="6" s="1"/>
  <c r="AZ56" i="6" s="1"/>
  <c r="Y56" i="5"/>
  <c r="AZ56" i="5" s="1"/>
  <c r="O47" i="6"/>
  <c r="R28" i="5"/>
  <c r="Q28" i="5"/>
  <c r="K28" i="6"/>
  <c r="E14" i="6"/>
  <c r="W14" i="6" s="1"/>
  <c r="AX14" i="6" s="1"/>
  <c r="W14" i="5"/>
  <c r="AX14" i="5" s="1"/>
  <c r="E18" i="6"/>
  <c r="W18" i="6" s="1"/>
  <c r="AX18" i="6" s="1"/>
  <c r="W18" i="5"/>
  <c r="AX18" i="5" s="1"/>
  <c r="W26" i="5"/>
  <c r="AX26" i="5" s="1"/>
  <c r="E26" i="6"/>
  <c r="W26" i="6" s="1"/>
  <c r="AX26" i="6" s="1"/>
  <c r="E34" i="6"/>
  <c r="W34" i="6" s="1"/>
  <c r="AX34" i="6" s="1"/>
  <c r="W34" i="5"/>
  <c r="AX34" i="5" s="1"/>
  <c r="E42" i="6"/>
  <c r="W42" i="6" s="1"/>
  <c r="AX42" i="6" s="1"/>
  <c r="W42" i="5"/>
  <c r="AX42" i="5" s="1"/>
  <c r="W46" i="5"/>
  <c r="AX46" i="5" s="1"/>
  <c r="E46" i="6"/>
  <c r="W46" i="6" s="1"/>
  <c r="AX46" i="6" s="1"/>
  <c r="E55" i="6"/>
  <c r="W55" i="6" s="1"/>
  <c r="AX55" i="6" s="1"/>
  <c r="W55" i="5"/>
  <c r="AX55" i="5" s="1"/>
  <c r="G12" i="6"/>
  <c r="Y12" i="6" s="1"/>
  <c r="AZ12" i="6" s="1"/>
  <c r="Y12" i="5"/>
  <c r="AZ12" i="5" s="1"/>
  <c r="G16" i="6"/>
  <c r="Y16" i="6" s="1"/>
  <c r="AZ16" i="6" s="1"/>
  <c r="Y16" i="5"/>
  <c r="AZ16" i="5" s="1"/>
  <c r="G24" i="6"/>
  <c r="Y24" i="6" s="1"/>
  <c r="AZ24" i="6" s="1"/>
  <c r="Y24" i="5"/>
  <c r="AZ24" i="5" s="1"/>
  <c r="G32" i="6"/>
  <c r="Y32" i="6" s="1"/>
  <c r="AZ32" i="6" s="1"/>
  <c r="Y32" i="5"/>
  <c r="AZ32" i="5" s="1"/>
  <c r="G40" i="6"/>
  <c r="Y40" i="6" s="1"/>
  <c r="AZ40" i="6" s="1"/>
  <c r="Y40" i="5"/>
  <c r="AZ40" i="5" s="1"/>
  <c r="Y53" i="5"/>
  <c r="AZ53" i="5" s="1"/>
  <c r="G53" i="6"/>
  <c r="Y53" i="6" s="1"/>
  <c r="AZ53" i="6" s="1"/>
  <c r="K56" i="6"/>
  <c r="R56" i="5"/>
  <c r="Q56" i="5"/>
  <c r="O55" i="6"/>
  <c r="O46" i="6"/>
  <c r="R52" i="5"/>
  <c r="K52" i="6"/>
  <c r="Q52" i="5"/>
  <c r="Q43" i="5"/>
  <c r="K43" i="6"/>
  <c r="R43" i="5"/>
  <c r="Q35" i="5"/>
  <c r="K35" i="6"/>
  <c r="R35" i="5"/>
  <c r="Q27" i="5"/>
  <c r="R27" i="5"/>
  <c r="K27" i="6"/>
  <c r="K15" i="6"/>
  <c r="Q15" i="5"/>
  <c r="R15" i="5"/>
  <c r="U12" i="5"/>
  <c r="AV12" i="5" s="1"/>
  <c r="C12" i="6"/>
  <c r="U12" i="6" s="1"/>
  <c r="AV12" i="6" s="1"/>
  <c r="C16" i="6"/>
  <c r="U16" i="6" s="1"/>
  <c r="AV16" i="6" s="1"/>
  <c r="U16" i="5"/>
  <c r="AV16" i="5" s="1"/>
  <c r="C20" i="6"/>
  <c r="U20" i="6" s="1"/>
  <c r="AV20" i="6" s="1"/>
  <c r="U20" i="5"/>
  <c r="AV20" i="5" s="1"/>
  <c r="C24" i="6"/>
  <c r="U24" i="6" s="1"/>
  <c r="AV24" i="6" s="1"/>
  <c r="U24" i="5"/>
  <c r="AV24" i="5" s="1"/>
  <c r="C28" i="6"/>
  <c r="U28" i="6" s="1"/>
  <c r="AV28" i="6" s="1"/>
  <c r="U28" i="5"/>
  <c r="AV28" i="5" s="1"/>
  <c r="U32" i="5"/>
  <c r="AV32" i="5" s="1"/>
  <c r="C32" i="6"/>
  <c r="U32" i="6" s="1"/>
  <c r="AV32" i="6" s="1"/>
  <c r="U36" i="5"/>
  <c r="AV36" i="5" s="1"/>
  <c r="C36" i="6"/>
  <c r="U36" i="6" s="1"/>
  <c r="AV36" i="6" s="1"/>
  <c r="C40" i="6"/>
  <c r="U40" i="6" s="1"/>
  <c r="AV40" i="6" s="1"/>
  <c r="U40" i="5"/>
  <c r="AV40" i="5" s="1"/>
  <c r="C44" i="6"/>
  <c r="U44" i="6" s="1"/>
  <c r="AV44" i="6" s="1"/>
  <c r="U44" i="5"/>
  <c r="AV44" i="5" s="1"/>
  <c r="C53" i="6"/>
  <c r="U53" i="6" s="1"/>
  <c r="AV53" i="6" s="1"/>
  <c r="U53" i="5"/>
  <c r="AV53" i="5" s="1"/>
  <c r="D14" i="6"/>
  <c r="V14" i="6" s="1"/>
  <c r="AW14" i="6" s="1"/>
  <c r="V14" i="5"/>
  <c r="AW14" i="5" s="1"/>
  <c r="V18" i="5"/>
  <c r="AW18" i="5" s="1"/>
  <c r="D18" i="6"/>
  <c r="V18" i="6" s="1"/>
  <c r="AW18" i="6" s="1"/>
  <c r="D22" i="6"/>
  <c r="V22" i="6" s="1"/>
  <c r="AW22" i="6" s="1"/>
  <c r="V22" i="5"/>
  <c r="AW22" i="5" s="1"/>
  <c r="D26" i="6"/>
  <c r="V26" i="6" s="1"/>
  <c r="AW26" i="6" s="1"/>
  <c r="V26" i="5"/>
  <c r="AW26" i="5" s="1"/>
  <c r="D30" i="6"/>
  <c r="V30" i="6" s="1"/>
  <c r="AW30" i="6" s="1"/>
  <c r="V30" i="5"/>
  <c r="AW30" i="5" s="1"/>
  <c r="V34" i="5"/>
  <c r="AW34" i="5" s="1"/>
  <c r="D34" i="6"/>
  <c r="V34" i="6" s="1"/>
  <c r="AW34" i="6" s="1"/>
  <c r="D38" i="6"/>
  <c r="V38" i="6" s="1"/>
  <c r="AW38" i="6" s="1"/>
  <c r="V38" i="5"/>
  <c r="AW38" i="5" s="1"/>
  <c r="D42" i="6"/>
  <c r="V42" i="6" s="1"/>
  <c r="AW42" i="6" s="1"/>
  <c r="V42" i="5"/>
  <c r="AW42" i="5" s="1"/>
  <c r="D46" i="6"/>
  <c r="V46" i="6" s="1"/>
  <c r="AW46" i="6" s="1"/>
  <c r="V46" i="5"/>
  <c r="AW46" i="5" s="1"/>
  <c r="D51" i="6"/>
  <c r="V51" i="6" s="1"/>
  <c r="AW51" i="6" s="1"/>
  <c r="V51" i="5"/>
  <c r="AW51" i="5" s="1"/>
  <c r="V55" i="5"/>
  <c r="AW55" i="5" s="1"/>
  <c r="D55" i="6"/>
  <c r="V55" i="6" s="1"/>
  <c r="AW55" i="6" s="1"/>
  <c r="E12" i="6"/>
  <c r="W12" i="6" s="1"/>
  <c r="AX12" i="6" s="1"/>
  <c r="W12" i="5"/>
  <c r="AX12" i="5" s="1"/>
  <c r="E16" i="6"/>
  <c r="W16" i="6" s="1"/>
  <c r="AX16" i="6" s="1"/>
  <c r="W16" i="5"/>
  <c r="AX16" i="5" s="1"/>
  <c r="E20" i="6"/>
  <c r="W20" i="6" s="1"/>
  <c r="AX20" i="6" s="1"/>
  <c r="W20" i="5"/>
  <c r="AX20" i="5" s="1"/>
  <c r="W24" i="5"/>
  <c r="AX24" i="5" s="1"/>
  <c r="E24" i="6"/>
  <c r="W24" i="6" s="1"/>
  <c r="AX24" i="6" s="1"/>
  <c r="E28" i="6"/>
  <c r="W28" i="6" s="1"/>
  <c r="AX28" i="6" s="1"/>
  <c r="W28" i="5"/>
  <c r="AX28" i="5" s="1"/>
  <c r="E32" i="6"/>
  <c r="W32" i="6" s="1"/>
  <c r="AX32" i="6" s="1"/>
  <c r="W32" i="5"/>
  <c r="AX32" i="5" s="1"/>
  <c r="E36" i="6"/>
  <c r="W36" i="6" s="1"/>
  <c r="AX36" i="6" s="1"/>
  <c r="W36" i="5"/>
  <c r="AX36" i="5" s="1"/>
  <c r="E40" i="6"/>
  <c r="W40" i="6" s="1"/>
  <c r="AX40" i="6" s="1"/>
  <c r="W40" i="5"/>
  <c r="AX40" i="5" s="1"/>
  <c r="E44" i="6"/>
  <c r="W44" i="6" s="1"/>
  <c r="AX44" i="6" s="1"/>
  <c r="W44" i="5"/>
  <c r="AX44" i="5" s="1"/>
  <c r="E53" i="6"/>
  <c r="W53" i="6" s="1"/>
  <c r="AX53" i="6" s="1"/>
  <c r="W53" i="5"/>
  <c r="AX53" i="5" s="1"/>
  <c r="F47" i="6"/>
  <c r="X47" i="5"/>
  <c r="AY47" i="5" s="1"/>
  <c r="F52" i="6"/>
  <c r="X52" i="5"/>
  <c r="AY52" i="5" s="1"/>
  <c r="F56" i="6"/>
  <c r="X56" i="6" s="1"/>
  <c r="AY56" i="6" s="1"/>
  <c r="X56" i="5"/>
  <c r="AY56" i="5" s="1"/>
  <c r="G14" i="6"/>
  <c r="Y14" i="6" s="1"/>
  <c r="AZ14" i="6" s="1"/>
  <c r="Y14" i="5"/>
  <c r="AZ14" i="5" s="1"/>
  <c r="G18" i="6"/>
  <c r="Y18" i="6" s="1"/>
  <c r="AZ18" i="6" s="1"/>
  <c r="Y18" i="5"/>
  <c r="AZ18" i="5" s="1"/>
  <c r="G22" i="6"/>
  <c r="Y22" i="6" s="1"/>
  <c r="AZ22" i="6" s="1"/>
  <c r="Y22" i="5"/>
  <c r="AZ22" i="5" s="1"/>
  <c r="G26" i="6"/>
  <c r="Y26" i="6" s="1"/>
  <c r="AZ26" i="6" s="1"/>
  <c r="Y26" i="5"/>
  <c r="AZ26" i="5" s="1"/>
  <c r="G30" i="6"/>
  <c r="Y30" i="6" s="1"/>
  <c r="AZ30" i="6" s="1"/>
  <c r="Y30" i="5"/>
  <c r="AZ30" i="5" s="1"/>
  <c r="G34" i="6"/>
  <c r="Y34" i="6" s="1"/>
  <c r="AZ34" i="6" s="1"/>
  <c r="Y34" i="5"/>
  <c r="AZ34" i="5" s="1"/>
  <c r="G38" i="6"/>
  <c r="Y38" i="6" s="1"/>
  <c r="AZ38" i="6" s="1"/>
  <c r="Y38" i="5"/>
  <c r="AZ38" i="5" s="1"/>
  <c r="Y42" i="5"/>
  <c r="AZ42" i="5" s="1"/>
  <c r="G42" i="6"/>
  <c r="Y42" i="6" s="1"/>
  <c r="AZ42" i="6" s="1"/>
  <c r="G46" i="6"/>
  <c r="Y46" i="6" s="1"/>
  <c r="AZ46" i="6" s="1"/>
  <c r="Y46" i="5"/>
  <c r="AZ46" i="5" s="1"/>
  <c r="G51" i="6"/>
  <c r="Y51" i="6" s="1"/>
  <c r="AZ51" i="6" s="1"/>
  <c r="Y51" i="5"/>
  <c r="AZ51" i="5" s="1"/>
  <c r="Y55" i="5"/>
  <c r="AZ55" i="5" s="1"/>
  <c r="G55" i="6"/>
  <c r="Y55" i="6" s="1"/>
  <c r="AZ55" i="6" s="1"/>
  <c r="O53" i="6"/>
  <c r="O44" i="6"/>
  <c r="K54" i="6"/>
  <c r="Q54" i="5"/>
  <c r="R54" i="5"/>
  <c r="Q50" i="5"/>
  <c r="K49" i="5"/>
  <c r="R50" i="5"/>
  <c r="K50" i="6"/>
  <c r="K45" i="6"/>
  <c r="Q45" i="5"/>
  <c r="R45" i="5"/>
  <c r="K41" i="6"/>
  <c r="R41" i="5"/>
  <c r="Q41" i="5"/>
  <c r="R37" i="5"/>
  <c r="K37" i="6"/>
  <c r="Q37" i="5"/>
  <c r="R33" i="5"/>
  <c r="Q33" i="5"/>
  <c r="K33" i="6"/>
  <c r="Q29" i="5"/>
  <c r="R29" i="5"/>
  <c r="K29" i="6"/>
  <c r="Q25" i="5"/>
  <c r="K25" i="6"/>
  <c r="R25" i="5"/>
  <c r="Q21" i="5"/>
  <c r="R21" i="5"/>
  <c r="K21" i="6"/>
  <c r="Q17" i="5"/>
  <c r="K17" i="6"/>
  <c r="R17" i="5"/>
  <c r="K13" i="6"/>
  <c r="Q13" i="5"/>
  <c r="R13" i="5"/>
  <c r="O36" i="6"/>
  <c r="O32" i="6"/>
  <c r="U17" i="4"/>
  <c r="AV17" i="4" s="1"/>
  <c r="U29" i="4"/>
  <c r="AV29" i="4" s="1"/>
  <c r="U50" i="4"/>
  <c r="AV50" i="4" s="1"/>
  <c r="V15" i="4"/>
  <c r="AW15" i="4" s="1"/>
  <c r="V27" i="4"/>
  <c r="AW27" i="4" s="1"/>
  <c r="V39" i="4"/>
  <c r="AW39" i="4" s="1"/>
  <c r="V47" i="4"/>
  <c r="AW47" i="4" s="1"/>
  <c r="W13" i="4"/>
  <c r="AX13" i="4" s="1"/>
  <c r="W33" i="4"/>
  <c r="AX33" i="4" s="1"/>
  <c r="W45" i="4"/>
  <c r="AX45" i="4" s="1"/>
  <c r="X15" i="4"/>
  <c r="AY15" i="4" s="1"/>
  <c r="X27" i="4"/>
  <c r="AY27" i="4" s="1"/>
  <c r="X43" i="4"/>
  <c r="AY43" i="4" s="1"/>
  <c r="Y23" i="4"/>
  <c r="AZ23" i="4" s="1"/>
  <c r="Y47" i="4"/>
  <c r="AZ47" i="4" s="1"/>
  <c r="R36" i="4"/>
  <c r="R24" i="4"/>
  <c r="R12" i="4"/>
  <c r="U26" i="4"/>
  <c r="AV26" i="4" s="1"/>
  <c r="U13" i="4"/>
  <c r="AV13" i="4" s="1"/>
  <c r="U25" i="4"/>
  <c r="AV25" i="4" s="1"/>
  <c r="U37" i="4"/>
  <c r="AV37" i="4" s="1"/>
  <c r="U45" i="4"/>
  <c r="AV45" i="4" s="1"/>
  <c r="U54" i="4"/>
  <c r="AV54" i="4" s="1"/>
  <c r="V19" i="4"/>
  <c r="AW19" i="4" s="1"/>
  <c r="V31" i="4"/>
  <c r="AW31" i="4" s="1"/>
  <c r="V43" i="4"/>
  <c r="AW43" i="4" s="1"/>
  <c r="V56" i="4"/>
  <c r="AW56" i="4" s="1"/>
  <c r="W21" i="4"/>
  <c r="AX21" i="4" s="1"/>
  <c r="W29" i="4"/>
  <c r="AX29" i="4" s="1"/>
  <c r="W37" i="4"/>
  <c r="AX37" i="4" s="1"/>
  <c r="W50" i="4"/>
  <c r="AX50" i="4" s="1"/>
  <c r="W54" i="4"/>
  <c r="AX54" i="4" s="1"/>
  <c r="X19" i="4"/>
  <c r="AY19" i="4" s="1"/>
  <c r="X31" i="4"/>
  <c r="AY31" i="4" s="1"/>
  <c r="X39" i="4"/>
  <c r="AY39" i="4" s="1"/>
  <c r="X45" i="4"/>
  <c r="AY45" i="4" s="1"/>
  <c r="Y11" i="4"/>
  <c r="AZ11" i="4" s="1"/>
  <c r="Y19" i="4"/>
  <c r="AZ19" i="4" s="1"/>
  <c r="Y27" i="4"/>
  <c r="AZ27" i="4" s="1"/>
  <c r="Y35" i="4"/>
  <c r="AZ35" i="4" s="1"/>
  <c r="Y39" i="4"/>
  <c r="AZ39" i="4" s="1"/>
  <c r="Y52" i="4"/>
  <c r="AZ52" i="4" s="1"/>
  <c r="R40" i="4"/>
  <c r="R32" i="4"/>
  <c r="R20" i="4"/>
  <c r="R16" i="4"/>
  <c r="N49" i="6"/>
  <c r="U14" i="4"/>
  <c r="AV14" i="4" s="1"/>
  <c r="U18" i="4"/>
  <c r="AV18" i="4" s="1"/>
  <c r="U22" i="4"/>
  <c r="AV22" i="4" s="1"/>
  <c r="U30" i="4"/>
  <c r="AV30" i="4" s="1"/>
  <c r="U34" i="4"/>
  <c r="AV34" i="4" s="1"/>
  <c r="U38" i="4"/>
  <c r="AV38" i="4" s="1"/>
  <c r="U42" i="4"/>
  <c r="AV42" i="4" s="1"/>
  <c r="U46" i="4"/>
  <c r="AV46" i="4" s="1"/>
  <c r="U51" i="4"/>
  <c r="AV51" i="4" s="1"/>
  <c r="U55" i="4"/>
  <c r="AV55" i="4" s="1"/>
  <c r="V12" i="4"/>
  <c r="AW12" i="4" s="1"/>
  <c r="V16" i="4"/>
  <c r="AW16" i="4" s="1"/>
  <c r="V20" i="4"/>
  <c r="AW20" i="4" s="1"/>
  <c r="V24" i="4"/>
  <c r="AW24" i="4" s="1"/>
  <c r="V28" i="4"/>
  <c r="AW28" i="4" s="1"/>
  <c r="V32" i="4"/>
  <c r="AW32" i="4" s="1"/>
  <c r="V36" i="4"/>
  <c r="AW36" i="4" s="1"/>
  <c r="V40" i="4"/>
  <c r="AW40" i="4" s="1"/>
  <c r="V44" i="4"/>
  <c r="AW44" i="4" s="1"/>
  <c r="W22" i="4"/>
  <c r="AX22" i="4" s="1"/>
  <c r="W30" i="4"/>
  <c r="AX30" i="4" s="1"/>
  <c r="W38" i="4"/>
  <c r="AX38" i="4" s="1"/>
  <c r="W51" i="4"/>
  <c r="AX51" i="4" s="1"/>
  <c r="Y20" i="4"/>
  <c r="AZ20" i="4" s="1"/>
  <c r="Y28" i="4"/>
  <c r="AZ28" i="4" s="1"/>
  <c r="Y36" i="4"/>
  <c r="AZ36" i="4" s="1"/>
  <c r="Y44" i="4"/>
  <c r="AZ44" i="4" s="1"/>
  <c r="R52" i="4"/>
  <c r="R31" i="4"/>
  <c r="U11" i="4"/>
  <c r="AV11" i="4" s="1"/>
  <c r="U15" i="4"/>
  <c r="AV15" i="4" s="1"/>
  <c r="U19" i="4"/>
  <c r="AV19" i="4" s="1"/>
  <c r="U23" i="4"/>
  <c r="AV23" i="4" s="1"/>
  <c r="U27" i="4"/>
  <c r="AV27" i="4" s="1"/>
  <c r="U31" i="4"/>
  <c r="AV31" i="4" s="1"/>
  <c r="U35" i="4"/>
  <c r="AV35" i="4" s="1"/>
  <c r="U39" i="4"/>
  <c r="AV39" i="4" s="1"/>
  <c r="U43" i="4"/>
  <c r="AV43" i="4" s="1"/>
  <c r="U47" i="4"/>
  <c r="AV47" i="4" s="1"/>
  <c r="U52" i="4"/>
  <c r="AV52" i="4" s="1"/>
  <c r="U56" i="4"/>
  <c r="AV56" i="4" s="1"/>
  <c r="V13" i="4"/>
  <c r="AW13" i="4" s="1"/>
  <c r="V17" i="4"/>
  <c r="AW17" i="4" s="1"/>
  <c r="V21" i="4"/>
  <c r="AW21" i="4" s="1"/>
  <c r="V25" i="4"/>
  <c r="AW25" i="4" s="1"/>
  <c r="V29" i="4"/>
  <c r="AW29" i="4" s="1"/>
  <c r="V33" i="4"/>
  <c r="AW33" i="4" s="1"/>
  <c r="V37" i="4"/>
  <c r="AW37" i="4" s="1"/>
  <c r="V41" i="4"/>
  <c r="AW41" i="4" s="1"/>
  <c r="V45" i="4"/>
  <c r="AW45" i="4" s="1"/>
  <c r="V50" i="4"/>
  <c r="AW50" i="4" s="1"/>
  <c r="V54" i="4"/>
  <c r="AW54" i="4" s="1"/>
  <c r="W11" i="4"/>
  <c r="AX11" i="4" s="1"/>
  <c r="W15" i="4"/>
  <c r="AX15" i="4" s="1"/>
  <c r="W19" i="4"/>
  <c r="AX19" i="4" s="1"/>
  <c r="W23" i="4"/>
  <c r="AX23" i="4" s="1"/>
  <c r="W27" i="4"/>
  <c r="AX27" i="4" s="1"/>
  <c r="W31" i="4"/>
  <c r="AX31" i="4" s="1"/>
  <c r="W35" i="4"/>
  <c r="AX35" i="4" s="1"/>
  <c r="W39" i="4"/>
  <c r="AX39" i="4" s="1"/>
  <c r="W43" i="4"/>
  <c r="AX43" i="4" s="1"/>
  <c r="W47" i="4"/>
  <c r="AX47" i="4" s="1"/>
  <c r="W52" i="4"/>
  <c r="AX52" i="4" s="1"/>
  <c r="W56" i="4"/>
  <c r="AX56" i="4" s="1"/>
  <c r="Y13" i="4"/>
  <c r="AZ13" i="4" s="1"/>
  <c r="Y17" i="4"/>
  <c r="AZ17" i="4" s="1"/>
  <c r="Y21" i="4"/>
  <c r="AZ21" i="4" s="1"/>
  <c r="Y25" i="4"/>
  <c r="AZ25" i="4" s="1"/>
  <c r="Y29" i="4"/>
  <c r="AZ29" i="4" s="1"/>
  <c r="Y33" i="4"/>
  <c r="AZ33" i="4" s="1"/>
  <c r="Y37" i="4"/>
  <c r="AZ37" i="4" s="1"/>
  <c r="Y41" i="4"/>
  <c r="AZ41" i="4" s="1"/>
  <c r="Y45" i="4"/>
  <c r="AZ45" i="4" s="1"/>
  <c r="Y50" i="4"/>
  <c r="AZ50" i="4" s="1"/>
  <c r="Y54" i="4"/>
  <c r="AZ54" i="4" s="1"/>
  <c r="R51" i="4"/>
  <c r="R47" i="4"/>
  <c r="Q39" i="4"/>
  <c r="Q29" i="4"/>
  <c r="R26" i="4"/>
  <c r="R23" i="4"/>
  <c r="R19" i="4"/>
  <c r="Q11" i="4"/>
  <c r="R55" i="4"/>
  <c r="Q51" i="4"/>
  <c r="R46" i="4"/>
  <c r="Q42" i="4"/>
  <c r="R38" i="4"/>
  <c r="Q34" i="4"/>
  <c r="R30" i="4"/>
  <c r="Q26" i="4"/>
  <c r="R22" i="4"/>
  <c r="Q18" i="4"/>
  <c r="R14" i="4"/>
  <c r="Q37" i="4"/>
  <c r="R33" i="4"/>
  <c r="L49" i="6"/>
  <c r="P49" i="6"/>
  <c r="M49" i="6"/>
  <c r="U21" i="4"/>
  <c r="AV21" i="4" s="1"/>
  <c r="U33" i="4"/>
  <c r="AV33" i="4" s="1"/>
  <c r="U41" i="4"/>
  <c r="AV41" i="4" s="1"/>
  <c r="V11" i="4"/>
  <c r="AW11" i="4" s="1"/>
  <c r="V23" i="4"/>
  <c r="AW23" i="4" s="1"/>
  <c r="V35" i="4"/>
  <c r="AW35" i="4" s="1"/>
  <c r="V52" i="4"/>
  <c r="AW52" i="4" s="1"/>
  <c r="W17" i="4"/>
  <c r="AX17" i="4" s="1"/>
  <c r="W25" i="4"/>
  <c r="AX25" i="4" s="1"/>
  <c r="W41" i="4"/>
  <c r="AX41" i="4" s="1"/>
  <c r="X11" i="4"/>
  <c r="AY11" i="4" s="1"/>
  <c r="X23" i="4"/>
  <c r="AY23" i="4" s="1"/>
  <c r="X35" i="4"/>
  <c r="AY35" i="4" s="1"/>
  <c r="Y15" i="4"/>
  <c r="AZ15" i="4" s="1"/>
  <c r="Y31" i="4"/>
  <c r="AZ31" i="4" s="1"/>
  <c r="Y43" i="4"/>
  <c r="AZ43" i="4" s="1"/>
  <c r="Y56" i="4"/>
  <c r="AZ56" i="4" s="1"/>
  <c r="R28" i="4"/>
  <c r="W14" i="4"/>
  <c r="AX14" i="4" s="1"/>
  <c r="W18" i="4"/>
  <c r="AX18" i="4" s="1"/>
  <c r="W26" i="4"/>
  <c r="AX26" i="4" s="1"/>
  <c r="W34" i="4"/>
  <c r="AX34" i="4" s="1"/>
  <c r="W42" i="4"/>
  <c r="AX42" i="4" s="1"/>
  <c r="W46" i="4"/>
  <c r="AX46" i="4" s="1"/>
  <c r="W55" i="4"/>
  <c r="AX55" i="4" s="1"/>
  <c r="H49" i="3"/>
  <c r="Y12" i="4"/>
  <c r="AZ12" i="4" s="1"/>
  <c r="Y16" i="4"/>
  <c r="AZ16" i="4" s="1"/>
  <c r="Y24" i="4"/>
  <c r="AZ24" i="4" s="1"/>
  <c r="Y32" i="4"/>
  <c r="AZ32" i="4" s="1"/>
  <c r="Y40" i="4"/>
  <c r="AZ40" i="4" s="1"/>
  <c r="Y53" i="4"/>
  <c r="AZ53" i="4" s="1"/>
  <c r="Q47" i="4"/>
  <c r="Q43" i="4"/>
  <c r="Q35" i="4"/>
  <c r="U12" i="4"/>
  <c r="AV12" i="4" s="1"/>
  <c r="U16" i="4"/>
  <c r="AV16" i="4" s="1"/>
  <c r="U20" i="4"/>
  <c r="AV20" i="4" s="1"/>
  <c r="U24" i="4"/>
  <c r="AV24" i="4" s="1"/>
  <c r="U28" i="4"/>
  <c r="AV28" i="4" s="1"/>
  <c r="U32" i="4"/>
  <c r="AV32" i="4" s="1"/>
  <c r="U36" i="4"/>
  <c r="AV36" i="4" s="1"/>
  <c r="U40" i="4"/>
  <c r="AV40" i="4" s="1"/>
  <c r="U44" i="4"/>
  <c r="AV44" i="4" s="1"/>
  <c r="U53" i="4"/>
  <c r="AV53" i="4" s="1"/>
  <c r="V14" i="4"/>
  <c r="AW14" i="4" s="1"/>
  <c r="V18" i="4"/>
  <c r="AW18" i="4" s="1"/>
  <c r="V22" i="4"/>
  <c r="AW22" i="4" s="1"/>
  <c r="V26" i="4"/>
  <c r="AW26" i="4" s="1"/>
  <c r="V30" i="4"/>
  <c r="AW30" i="4" s="1"/>
  <c r="V34" i="4"/>
  <c r="AW34" i="4" s="1"/>
  <c r="V38" i="4"/>
  <c r="AW38" i="4" s="1"/>
  <c r="V42" i="4"/>
  <c r="AW42" i="4" s="1"/>
  <c r="V46" i="4"/>
  <c r="AW46" i="4" s="1"/>
  <c r="V51" i="4"/>
  <c r="AW51" i="4" s="1"/>
  <c r="V55" i="4"/>
  <c r="AW55" i="4" s="1"/>
  <c r="W12" i="4"/>
  <c r="AX12" i="4" s="1"/>
  <c r="W16" i="4"/>
  <c r="AX16" i="4" s="1"/>
  <c r="W20" i="4"/>
  <c r="AX20" i="4" s="1"/>
  <c r="W24" i="4"/>
  <c r="AX24" i="4" s="1"/>
  <c r="W28" i="4"/>
  <c r="AX28" i="4" s="1"/>
  <c r="W32" i="4"/>
  <c r="AX32" i="4" s="1"/>
  <c r="W36" i="4"/>
  <c r="AX36" i="4" s="1"/>
  <c r="W40" i="4"/>
  <c r="AX40" i="4" s="1"/>
  <c r="W44" i="4"/>
  <c r="AX44" i="4" s="1"/>
  <c r="W53" i="4"/>
  <c r="AX53" i="4" s="1"/>
  <c r="X47" i="4"/>
  <c r="AY47" i="4" s="1"/>
  <c r="X52" i="4"/>
  <c r="AY52" i="4" s="1"/>
  <c r="X56" i="4"/>
  <c r="AY56" i="4" s="1"/>
  <c r="Y14" i="4"/>
  <c r="AZ14" i="4" s="1"/>
  <c r="Y18" i="4"/>
  <c r="AZ18" i="4" s="1"/>
  <c r="Y22" i="4"/>
  <c r="AZ22" i="4" s="1"/>
  <c r="Y26" i="4"/>
  <c r="AZ26" i="4" s="1"/>
  <c r="Y30" i="4"/>
  <c r="AZ30" i="4" s="1"/>
  <c r="Y34" i="4"/>
  <c r="AZ34" i="4" s="1"/>
  <c r="Y38" i="4"/>
  <c r="AZ38" i="4" s="1"/>
  <c r="Y42" i="4"/>
  <c r="AZ42" i="4" s="1"/>
  <c r="Y46" i="4"/>
  <c r="AZ46" i="4" s="1"/>
  <c r="Y51" i="4"/>
  <c r="AZ51" i="4" s="1"/>
  <c r="Y55" i="4"/>
  <c r="AZ55" i="4" s="1"/>
  <c r="R42" i="4"/>
  <c r="R39" i="4"/>
  <c r="R34" i="4"/>
  <c r="R29" i="4"/>
  <c r="R15" i="4"/>
  <c r="R11" i="4"/>
  <c r="M9" i="5"/>
  <c r="M8" i="5" s="1"/>
  <c r="M48" i="6"/>
  <c r="M9" i="6" s="1"/>
  <c r="N48" i="6"/>
  <c r="N9" i="6" s="1"/>
  <c r="N8" i="6" s="1"/>
  <c r="N9" i="5"/>
  <c r="N8" i="5" s="1"/>
  <c r="P48" i="6"/>
  <c r="P9" i="6" s="1"/>
  <c r="P8" i="6" s="1"/>
  <c r="P9" i="5"/>
  <c r="P8" i="5" s="1"/>
  <c r="L9" i="5"/>
  <c r="L8" i="5" s="1"/>
  <c r="L48" i="6"/>
  <c r="L9" i="6" s="1"/>
  <c r="L8" i="6" s="1"/>
  <c r="N9" i="4"/>
  <c r="N8" i="4" s="1"/>
  <c r="E9" i="5"/>
  <c r="E10" i="6"/>
  <c r="W10" i="5"/>
  <c r="AX10" i="5" s="1"/>
  <c r="K10" i="6"/>
  <c r="R10" i="5"/>
  <c r="K9" i="5"/>
  <c r="Q10" i="5"/>
  <c r="C48" i="6"/>
  <c r="U48" i="5"/>
  <c r="AV48" i="5" s="1"/>
  <c r="D9" i="5"/>
  <c r="V10" i="5"/>
  <c r="AW10" i="5" s="1"/>
  <c r="D10" i="6"/>
  <c r="E48" i="6"/>
  <c r="W48" i="5"/>
  <c r="AX48" i="5" s="1"/>
  <c r="G10" i="6"/>
  <c r="G9" i="5"/>
  <c r="Y10" i="5"/>
  <c r="AZ10" i="5" s="1"/>
  <c r="O48" i="6"/>
  <c r="O9" i="5"/>
  <c r="O10" i="6"/>
  <c r="C10" i="6"/>
  <c r="U10" i="5"/>
  <c r="AV10" i="5" s="1"/>
  <c r="C9" i="5"/>
  <c r="D48" i="6"/>
  <c r="V48" i="5"/>
  <c r="AW48" i="5" s="1"/>
  <c r="G48" i="6"/>
  <c r="Y48" i="5"/>
  <c r="AZ48" i="5" s="1"/>
  <c r="K48" i="6"/>
  <c r="R48" i="5"/>
  <c r="Q48" i="5"/>
  <c r="W10" i="4"/>
  <c r="AX10" i="4" s="1"/>
  <c r="R10" i="4"/>
  <c r="U48" i="4"/>
  <c r="AV48" i="4" s="1"/>
  <c r="V10" i="4"/>
  <c r="AW10" i="4" s="1"/>
  <c r="W48" i="4"/>
  <c r="AX48" i="4" s="1"/>
  <c r="Y10" i="4"/>
  <c r="AZ10" i="4" s="1"/>
  <c r="U10" i="4"/>
  <c r="AV10" i="4" s="1"/>
  <c r="V48" i="4"/>
  <c r="AW48" i="4" s="1"/>
  <c r="Y48" i="4"/>
  <c r="AZ48" i="4" s="1"/>
  <c r="Q8" i="3"/>
  <c r="Q55" i="4"/>
  <c r="Q46" i="4"/>
  <c r="Q38" i="4"/>
  <c r="Q33" i="4"/>
  <c r="Q30" i="4"/>
  <c r="Q22" i="4"/>
  <c r="Q14" i="4"/>
  <c r="Q10" i="4"/>
  <c r="K9" i="4"/>
  <c r="R53" i="4"/>
  <c r="R48" i="4"/>
  <c r="R44" i="4"/>
  <c r="F50" i="4"/>
  <c r="F49" i="3"/>
  <c r="F13" i="4"/>
  <c r="F17" i="4"/>
  <c r="F21" i="4"/>
  <c r="F25" i="4"/>
  <c r="F29" i="4"/>
  <c r="F33" i="4"/>
  <c r="F37" i="4"/>
  <c r="F41" i="4"/>
  <c r="F46" i="4"/>
  <c r="F51" i="4"/>
  <c r="F55" i="4"/>
  <c r="Q53" i="4"/>
  <c r="Q48" i="4"/>
  <c r="Q44" i="4"/>
  <c r="Q40" i="4"/>
  <c r="Q36" i="4"/>
  <c r="Q32" i="4"/>
  <c r="Q28" i="4"/>
  <c r="Q24" i="4"/>
  <c r="Q20" i="4"/>
  <c r="Q16" i="4"/>
  <c r="Q12" i="4"/>
  <c r="O9" i="4"/>
  <c r="I49" i="3"/>
  <c r="F54" i="4"/>
  <c r="D49" i="3"/>
  <c r="C9" i="3"/>
  <c r="C49" i="3"/>
  <c r="D9" i="4"/>
  <c r="V9" i="4" s="1"/>
  <c r="AW9" i="4" s="1"/>
  <c r="F10" i="4"/>
  <c r="F14" i="4"/>
  <c r="F18" i="4"/>
  <c r="F22" i="4"/>
  <c r="F26" i="4"/>
  <c r="F30" i="4"/>
  <c r="F34" i="4"/>
  <c r="F38" i="4"/>
  <c r="F42" i="4"/>
  <c r="G9" i="4"/>
  <c r="Y9" i="4" s="1"/>
  <c r="AZ9" i="4" s="1"/>
  <c r="R8" i="3"/>
  <c r="G49" i="4"/>
  <c r="Y49" i="4" s="1"/>
  <c r="AZ49" i="4" s="1"/>
  <c r="R56" i="4"/>
  <c r="Q56" i="4"/>
  <c r="K49" i="4"/>
  <c r="O49" i="4"/>
  <c r="C49" i="4"/>
  <c r="U49" i="4" s="1"/>
  <c r="AV49" i="4" s="1"/>
  <c r="E49" i="4"/>
  <c r="W49" i="4" s="1"/>
  <c r="AX49" i="4" s="1"/>
  <c r="G49" i="3"/>
  <c r="F53" i="4"/>
  <c r="C9" i="4"/>
  <c r="U9" i="4" s="1"/>
  <c r="AV9" i="4" s="1"/>
  <c r="E49" i="3"/>
  <c r="D53" i="4"/>
  <c r="E9" i="4"/>
  <c r="F12" i="4"/>
  <c r="F16" i="4"/>
  <c r="F20" i="4"/>
  <c r="F24" i="4"/>
  <c r="F28" i="4"/>
  <c r="F32" i="4"/>
  <c r="F36" i="4"/>
  <c r="F40" i="4"/>
  <c r="F44" i="4"/>
  <c r="F48" i="4"/>
  <c r="P8" i="3"/>
  <c r="G9" i="3"/>
  <c r="D9" i="3"/>
  <c r="H9" i="3"/>
  <c r="E9" i="3"/>
  <c r="I9" i="3"/>
  <c r="F9" i="3"/>
  <c r="F21" i="5"/>
  <c r="F10" i="5"/>
  <c r="F13" i="5"/>
  <c r="F41" i="5"/>
  <c r="F30" i="5"/>
  <c r="F32" i="5"/>
  <c r="F44" i="5"/>
  <c r="F17" i="5"/>
  <c r="F55" i="5"/>
  <c r="F54" i="5"/>
  <c r="F37" i="5"/>
  <c r="F26" i="5"/>
  <c r="F33" i="5"/>
  <c r="F16" i="5"/>
  <c r="F46" i="5"/>
  <c r="F42" i="5"/>
  <c r="F20" i="5"/>
  <c r="F28" i="5"/>
  <c r="F29" i="5"/>
  <c r="F22" i="5"/>
  <c r="F38" i="5"/>
  <c r="F14" i="5"/>
  <c r="F34" i="5"/>
  <c r="F48" i="5"/>
  <c r="F53" i="5"/>
  <c r="F12" i="5"/>
  <c r="F25" i="5"/>
  <c r="F50" i="5"/>
  <c r="D53" i="5"/>
  <c r="F18" i="5"/>
  <c r="F36" i="5"/>
  <c r="F51" i="5"/>
  <c r="F24" i="5"/>
  <c r="F40" i="5"/>
  <c r="AI8" i="6" l="1"/>
  <c r="AJ8" i="6"/>
  <c r="AR8" i="6"/>
  <c r="AS8" i="6"/>
  <c r="H8" i="3"/>
  <c r="M8" i="6"/>
  <c r="X15" i="6"/>
  <c r="AY15" i="6" s="1"/>
  <c r="X19" i="6"/>
  <c r="AY19" i="6" s="1"/>
  <c r="F8" i="3"/>
  <c r="X39" i="6"/>
  <c r="AY39" i="6" s="1"/>
  <c r="I8" i="3"/>
  <c r="G8" i="3"/>
  <c r="X47" i="6"/>
  <c r="AY47" i="6" s="1"/>
  <c r="X52" i="6"/>
  <c r="AY52" i="6" s="1"/>
  <c r="O8" i="5"/>
  <c r="X31" i="6"/>
  <c r="AY31" i="6" s="1"/>
  <c r="W48" i="6"/>
  <c r="AX48" i="6" s="1"/>
  <c r="X35" i="6"/>
  <c r="AY35" i="6" s="1"/>
  <c r="X16" i="5"/>
  <c r="AY16" i="5" s="1"/>
  <c r="F16" i="6"/>
  <c r="X16" i="6" s="1"/>
  <c r="AY16" i="6" s="1"/>
  <c r="X28" i="5"/>
  <c r="AY28" i="5" s="1"/>
  <c r="F28" i="6"/>
  <c r="X28" i="6" s="1"/>
  <c r="AY28" i="6" s="1"/>
  <c r="F24" i="6"/>
  <c r="X24" i="6" s="1"/>
  <c r="AY24" i="6" s="1"/>
  <c r="X24" i="5"/>
  <c r="AY24" i="5" s="1"/>
  <c r="F42" i="6"/>
  <c r="X42" i="6" s="1"/>
  <c r="AY42" i="6" s="1"/>
  <c r="X42" i="5"/>
  <c r="AY42" i="5" s="1"/>
  <c r="X33" i="5"/>
  <c r="AY33" i="5" s="1"/>
  <c r="F33" i="6"/>
  <c r="X33" i="6" s="1"/>
  <c r="AY33" i="6" s="1"/>
  <c r="X32" i="5"/>
  <c r="AY32" i="5" s="1"/>
  <c r="F32" i="6"/>
  <c r="X32" i="6" s="1"/>
  <c r="AY32" i="6" s="1"/>
  <c r="F30" i="6"/>
  <c r="X30" i="6" s="1"/>
  <c r="AY30" i="6" s="1"/>
  <c r="X30" i="5"/>
  <c r="AY30" i="5" s="1"/>
  <c r="F40" i="6"/>
  <c r="X40" i="6" s="1"/>
  <c r="AY40" i="6" s="1"/>
  <c r="X40" i="5"/>
  <c r="AY40" i="5" s="1"/>
  <c r="F53" i="6"/>
  <c r="X53" i="6" s="1"/>
  <c r="AY53" i="6" s="1"/>
  <c r="X53" i="5"/>
  <c r="AY53" i="5" s="1"/>
  <c r="F26" i="6"/>
  <c r="X26" i="6" s="1"/>
  <c r="AY26" i="6" s="1"/>
  <c r="X26" i="5"/>
  <c r="AY26" i="5" s="1"/>
  <c r="F51" i="6"/>
  <c r="X51" i="6" s="1"/>
  <c r="AY51" i="6" s="1"/>
  <c r="X51" i="5"/>
  <c r="AY51" i="5" s="1"/>
  <c r="F17" i="6"/>
  <c r="X17" i="6" s="1"/>
  <c r="AY17" i="6" s="1"/>
  <c r="X17" i="5"/>
  <c r="AY17" i="5" s="1"/>
  <c r="F36" i="6"/>
  <c r="X36" i="6" s="1"/>
  <c r="AY36" i="6" s="1"/>
  <c r="X36" i="5"/>
  <c r="AY36" i="5" s="1"/>
  <c r="X20" i="5"/>
  <c r="AY20" i="5" s="1"/>
  <c r="F20" i="6"/>
  <c r="X20" i="6" s="1"/>
  <c r="AY20" i="6" s="1"/>
  <c r="V53" i="5"/>
  <c r="AW53" i="5" s="1"/>
  <c r="D53" i="6"/>
  <c r="V53" i="6" s="1"/>
  <c r="AW53" i="6" s="1"/>
  <c r="D49" i="5"/>
  <c r="V49" i="5" s="1"/>
  <c r="AW49" i="5" s="1"/>
  <c r="F38" i="6"/>
  <c r="X38" i="6" s="1"/>
  <c r="AY38" i="6" s="1"/>
  <c r="X38" i="5"/>
  <c r="AY38" i="5" s="1"/>
  <c r="X22" i="5"/>
  <c r="AY22" i="5" s="1"/>
  <c r="F22" i="6"/>
  <c r="X22" i="6" s="1"/>
  <c r="AY22" i="6" s="1"/>
  <c r="F54" i="6"/>
  <c r="X54" i="6" s="1"/>
  <c r="AY54" i="6" s="1"/>
  <c r="X54" i="5"/>
  <c r="AY54" i="5" s="1"/>
  <c r="X46" i="5"/>
  <c r="AY46" i="5" s="1"/>
  <c r="F46" i="6"/>
  <c r="X46" i="6" s="1"/>
  <c r="AY46" i="6" s="1"/>
  <c r="F29" i="6"/>
  <c r="X29" i="6" s="1"/>
  <c r="AY29" i="6" s="1"/>
  <c r="X29" i="5"/>
  <c r="AY29" i="5" s="1"/>
  <c r="F13" i="6"/>
  <c r="X13" i="6" s="1"/>
  <c r="AY13" i="6" s="1"/>
  <c r="X13" i="5"/>
  <c r="AY13" i="5" s="1"/>
  <c r="F34" i="6"/>
  <c r="X34" i="6" s="1"/>
  <c r="AY34" i="6" s="1"/>
  <c r="X34" i="5"/>
  <c r="AY34" i="5" s="1"/>
  <c r="F18" i="6"/>
  <c r="X18" i="6" s="1"/>
  <c r="AY18" i="6" s="1"/>
  <c r="X18" i="5"/>
  <c r="AY18" i="5" s="1"/>
  <c r="F41" i="6"/>
  <c r="X41" i="6" s="1"/>
  <c r="AY41" i="6" s="1"/>
  <c r="X41" i="5"/>
  <c r="AY41" i="5" s="1"/>
  <c r="F25" i="6"/>
  <c r="X25" i="6" s="1"/>
  <c r="AY25" i="6" s="1"/>
  <c r="X25" i="5"/>
  <c r="AY25" i="5" s="1"/>
  <c r="X44" i="5"/>
  <c r="AY44" i="5" s="1"/>
  <c r="F44" i="6"/>
  <c r="X44" i="6" s="1"/>
  <c r="AY44" i="6" s="1"/>
  <c r="F12" i="6"/>
  <c r="X12" i="6" s="1"/>
  <c r="AY12" i="6" s="1"/>
  <c r="X12" i="5"/>
  <c r="AY12" i="5" s="1"/>
  <c r="F14" i="6"/>
  <c r="X14" i="6" s="1"/>
  <c r="AY14" i="6" s="1"/>
  <c r="X14" i="5"/>
  <c r="AY14" i="5" s="1"/>
  <c r="F55" i="6"/>
  <c r="X55" i="6" s="1"/>
  <c r="AY55" i="6" s="1"/>
  <c r="X55" i="5"/>
  <c r="AY55" i="5" s="1"/>
  <c r="F37" i="6"/>
  <c r="X37" i="6" s="1"/>
  <c r="AY37" i="6" s="1"/>
  <c r="X37" i="5"/>
  <c r="AY37" i="5" s="1"/>
  <c r="X21" i="5"/>
  <c r="AY21" i="5" s="1"/>
  <c r="F21" i="6"/>
  <c r="X21" i="6" s="1"/>
  <c r="AY21" i="6" s="1"/>
  <c r="F50" i="6"/>
  <c r="X50" i="5"/>
  <c r="AY50" i="5" s="1"/>
  <c r="F49" i="5"/>
  <c r="X49" i="5" s="1"/>
  <c r="AY49" i="5" s="1"/>
  <c r="X16" i="4"/>
  <c r="AY16" i="4" s="1"/>
  <c r="X28" i="4"/>
  <c r="AY28" i="4" s="1"/>
  <c r="X24" i="4"/>
  <c r="AY24" i="4" s="1"/>
  <c r="X42" i="4"/>
  <c r="AY42" i="4" s="1"/>
  <c r="X33" i="4"/>
  <c r="AY33" i="4" s="1"/>
  <c r="R17" i="6"/>
  <c r="Q17" i="6"/>
  <c r="R29" i="6"/>
  <c r="Q29" i="6"/>
  <c r="Q15" i="6"/>
  <c r="R15" i="6"/>
  <c r="Q43" i="6"/>
  <c r="R43" i="6"/>
  <c r="R28" i="6"/>
  <c r="Q28" i="6"/>
  <c r="R34" i="6"/>
  <c r="Q34" i="6"/>
  <c r="Q51" i="6"/>
  <c r="R51" i="6"/>
  <c r="R39" i="6"/>
  <c r="Q39" i="6"/>
  <c r="R44" i="6"/>
  <c r="Q44" i="6"/>
  <c r="X32" i="4"/>
  <c r="AY32" i="4" s="1"/>
  <c r="X30" i="4"/>
  <c r="AY30" i="4" s="1"/>
  <c r="X40" i="4"/>
  <c r="AY40" i="4" s="1"/>
  <c r="X53" i="4"/>
  <c r="AY53" i="4" s="1"/>
  <c r="X26" i="4"/>
  <c r="AY26" i="4" s="1"/>
  <c r="X51" i="4"/>
  <c r="AY51" i="4" s="1"/>
  <c r="X17" i="4"/>
  <c r="AY17" i="4" s="1"/>
  <c r="X36" i="4"/>
  <c r="AY36" i="4" s="1"/>
  <c r="X20" i="4"/>
  <c r="AY20" i="4" s="1"/>
  <c r="V53" i="4"/>
  <c r="AW53" i="4" s="1"/>
  <c r="D49" i="4"/>
  <c r="V49" i="4" s="1"/>
  <c r="AW49" i="4" s="1"/>
  <c r="X38" i="4"/>
  <c r="AY38" i="4" s="1"/>
  <c r="X22" i="4"/>
  <c r="AY22" i="4" s="1"/>
  <c r="X54" i="4"/>
  <c r="AY54" i="4" s="1"/>
  <c r="X46" i="4"/>
  <c r="AY46" i="4" s="1"/>
  <c r="X29" i="4"/>
  <c r="AY29" i="4" s="1"/>
  <c r="X13" i="4"/>
  <c r="AY13" i="4" s="1"/>
  <c r="R49" i="5"/>
  <c r="Q49" i="5"/>
  <c r="R54" i="6"/>
  <c r="Q54" i="6"/>
  <c r="R27" i="6"/>
  <c r="Q27" i="6"/>
  <c r="Q35" i="6"/>
  <c r="R35" i="6"/>
  <c r="Q56" i="6"/>
  <c r="R56" i="6"/>
  <c r="R18" i="6"/>
  <c r="Q18" i="6"/>
  <c r="Y50" i="6"/>
  <c r="AZ50" i="6" s="1"/>
  <c r="G49" i="6"/>
  <c r="Y49" i="6" s="1"/>
  <c r="AZ49" i="6" s="1"/>
  <c r="Q23" i="6"/>
  <c r="R23" i="6"/>
  <c r="R31" i="6"/>
  <c r="Q31" i="6"/>
  <c r="R47" i="6"/>
  <c r="Q47" i="6"/>
  <c r="R20" i="6"/>
  <c r="Q20" i="6"/>
  <c r="Q40" i="6"/>
  <c r="R40" i="6"/>
  <c r="Q12" i="6"/>
  <c r="R12" i="6"/>
  <c r="U50" i="6"/>
  <c r="AV50" i="6" s="1"/>
  <c r="C49" i="6"/>
  <c r="U49" i="6" s="1"/>
  <c r="AV49" i="6" s="1"/>
  <c r="X34" i="4"/>
  <c r="AY34" i="4" s="1"/>
  <c r="X18" i="4"/>
  <c r="AY18" i="4" s="1"/>
  <c r="X41" i="4"/>
  <c r="AY41" i="4" s="1"/>
  <c r="X25" i="4"/>
  <c r="AY25" i="4" s="1"/>
  <c r="R13" i="6"/>
  <c r="Q13" i="6"/>
  <c r="Q21" i="6"/>
  <c r="R21" i="6"/>
  <c r="R25" i="6"/>
  <c r="Q25" i="6"/>
  <c r="Q45" i="6"/>
  <c r="R45" i="6"/>
  <c r="Q14" i="6"/>
  <c r="R14" i="6"/>
  <c r="Q30" i="6"/>
  <c r="R30" i="6"/>
  <c r="Q46" i="6"/>
  <c r="R46" i="6"/>
  <c r="R55" i="6"/>
  <c r="Q55" i="6"/>
  <c r="R16" i="6"/>
  <c r="Q16" i="6"/>
  <c r="R32" i="6"/>
  <c r="Q32" i="6"/>
  <c r="Q53" i="6"/>
  <c r="R53" i="6"/>
  <c r="E49" i="6"/>
  <c r="W49" i="6" s="1"/>
  <c r="AX49" i="6" s="1"/>
  <c r="W50" i="6"/>
  <c r="AX50" i="6" s="1"/>
  <c r="R24" i="6"/>
  <c r="Q24" i="6"/>
  <c r="R36" i="6"/>
  <c r="Q36" i="6"/>
  <c r="X43" i="6"/>
  <c r="AY43" i="6" s="1"/>
  <c r="X44" i="4"/>
  <c r="AY44" i="4" s="1"/>
  <c r="X12" i="4"/>
  <c r="AY12" i="4" s="1"/>
  <c r="X14" i="4"/>
  <c r="AY14" i="4" s="1"/>
  <c r="X55" i="4"/>
  <c r="AY55" i="4" s="1"/>
  <c r="X37" i="4"/>
  <c r="AY37" i="4" s="1"/>
  <c r="X21" i="4"/>
  <c r="AY21" i="4" s="1"/>
  <c r="X50" i="4"/>
  <c r="AY50" i="4" s="1"/>
  <c r="Q33" i="6"/>
  <c r="R33" i="6"/>
  <c r="Q37" i="6"/>
  <c r="R37" i="6"/>
  <c r="R41" i="6"/>
  <c r="Q41" i="6"/>
  <c r="Q50" i="6"/>
  <c r="R50" i="6"/>
  <c r="K49" i="6"/>
  <c r="R52" i="6"/>
  <c r="Q52" i="6"/>
  <c r="R22" i="6"/>
  <c r="Q22" i="6"/>
  <c r="Q26" i="6"/>
  <c r="R26" i="6"/>
  <c r="Q38" i="6"/>
  <c r="R38" i="6"/>
  <c r="R42" i="6"/>
  <c r="Q42" i="6"/>
  <c r="O49" i="6"/>
  <c r="V50" i="6"/>
  <c r="AW50" i="6" s="1"/>
  <c r="R11" i="6"/>
  <c r="Q11" i="6"/>
  <c r="Q19" i="6"/>
  <c r="R19" i="6"/>
  <c r="X45" i="6"/>
  <c r="AY45" i="6" s="1"/>
  <c r="Y48" i="6"/>
  <c r="AZ48" i="6" s="1"/>
  <c r="C8" i="3"/>
  <c r="V48" i="6"/>
  <c r="AW48" i="6" s="1"/>
  <c r="Q9" i="4"/>
  <c r="U48" i="6"/>
  <c r="AV48" i="6" s="1"/>
  <c r="R9" i="4"/>
  <c r="O9" i="6"/>
  <c r="F48" i="6"/>
  <c r="X48" i="6" s="1"/>
  <c r="AY48" i="6" s="1"/>
  <c r="X48" i="5"/>
  <c r="AY48" i="5" s="1"/>
  <c r="F10" i="6"/>
  <c r="F9" i="5"/>
  <c r="X10" i="5"/>
  <c r="AY10" i="5" s="1"/>
  <c r="E8" i="4"/>
  <c r="W8" i="4" s="1"/>
  <c r="AX8" i="4" s="1"/>
  <c r="W9" i="4"/>
  <c r="AX9" i="4" s="1"/>
  <c r="R48" i="6"/>
  <c r="Q48" i="6"/>
  <c r="Y9" i="5"/>
  <c r="AZ9" i="5" s="1"/>
  <c r="G8" i="5"/>
  <c r="Y8" i="5" s="1"/>
  <c r="AZ8" i="5" s="1"/>
  <c r="V10" i="6"/>
  <c r="AW10" i="6" s="1"/>
  <c r="D9" i="6"/>
  <c r="Q10" i="6"/>
  <c r="R10" i="6"/>
  <c r="K9" i="6"/>
  <c r="U9" i="5"/>
  <c r="AV9" i="5" s="1"/>
  <c r="C8" i="5"/>
  <c r="U8" i="5" s="1"/>
  <c r="AV8" i="5" s="1"/>
  <c r="Y10" i="6"/>
  <c r="AZ10" i="6" s="1"/>
  <c r="G9" i="6"/>
  <c r="X48" i="4"/>
  <c r="AY48" i="4" s="1"/>
  <c r="O8" i="4"/>
  <c r="G8" i="4"/>
  <c r="Y8" i="4" s="1"/>
  <c r="AZ8" i="4" s="1"/>
  <c r="X10" i="4"/>
  <c r="AY10" i="4" s="1"/>
  <c r="V9" i="5"/>
  <c r="AW9" i="5" s="1"/>
  <c r="Q9" i="5"/>
  <c r="R9" i="5"/>
  <c r="K8" i="5"/>
  <c r="W10" i="6"/>
  <c r="AX10" i="6" s="1"/>
  <c r="E9" i="6"/>
  <c r="U10" i="6"/>
  <c r="AV10" i="6" s="1"/>
  <c r="C9" i="6"/>
  <c r="W9" i="5"/>
  <c r="AX9" i="5" s="1"/>
  <c r="E8" i="5"/>
  <c r="W8" i="5" s="1"/>
  <c r="AX8" i="5" s="1"/>
  <c r="F49" i="4"/>
  <c r="X49" i="4" s="1"/>
  <c r="AY49" i="4" s="1"/>
  <c r="C8" i="4"/>
  <c r="U8" i="4" s="1"/>
  <c r="AV8" i="4" s="1"/>
  <c r="E8" i="3"/>
  <c r="D8" i="3"/>
  <c r="F9" i="4"/>
  <c r="X9" i="4" s="1"/>
  <c r="AY9" i="4" s="1"/>
  <c r="R49" i="4"/>
  <c r="Q49" i="4"/>
  <c r="K8" i="4"/>
  <c r="B56" i="4"/>
  <c r="B55" i="4"/>
  <c r="B54" i="4"/>
  <c r="B53" i="4"/>
  <c r="B52" i="4"/>
  <c r="B51" i="4"/>
  <c r="B50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16" i="5"/>
  <c r="B20" i="5"/>
  <c r="B56" i="5"/>
  <c r="B15" i="5"/>
  <c r="B10" i="5"/>
  <c r="B54" i="5"/>
  <c r="B37" i="5"/>
  <c r="B14" i="5"/>
  <c r="B33" i="5"/>
  <c r="B45" i="5"/>
  <c r="B17" i="5"/>
  <c r="B31" i="5"/>
  <c r="B25" i="5"/>
  <c r="B36" i="5"/>
  <c r="B50" i="5"/>
  <c r="B29" i="5"/>
  <c r="B34" i="5"/>
  <c r="B48" i="5"/>
  <c r="B22" i="5"/>
  <c r="B12" i="5"/>
  <c r="B53" i="5"/>
  <c r="B41" i="5"/>
  <c r="B43" i="5"/>
  <c r="B32" i="5"/>
  <c r="B18" i="5"/>
  <c r="B28" i="5"/>
  <c r="B26" i="5"/>
  <c r="B51" i="5"/>
  <c r="B27" i="5"/>
  <c r="B23" i="5"/>
  <c r="B46" i="5"/>
  <c r="B30" i="5"/>
  <c r="B35" i="5"/>
  <c r="B19" i="5"/>
  <c r="B42" i="5"/>
  <c r="B52" i="5"/>
  <c r="B38" i="5"/>
  <c r="B40" i="5"/>
  <c r="B39" i="5"/>
  <c r="B44" i="5"/>
  <c r="B55" i="5"/>
  <c r="B13" i="5"/>
  <c r="B47" i="5"/>
  <c r="B11" i="5"/>
  <c r="B24" i="5"/>
  <c r="B21" i="5"/>
  <c r="D8" i="4" l="1"/>
  <c r="V8" i="4" s="1"/>
  <c r="AW8" i="4" s="1"/>
  <c r="D8" i="5"/>
  <c r="V8" i="5" s="1"/>
  <c r="AW8" i="5" s="1"/>
  <c r="D49" i="6"/>
  <c r="V49" i="6" s="1"/>
  <c r="AW49" i="6" s="1"/>
  <c r="B17" i="6"/>
  <c r="T17" i="5"/>
  <c r="I17" i="5"/>
  <c r="H17" i="5"/>
  <c r="I12" i="5"/>
  <c r="B12" i="6"/>
  <c r="T12" i="5"/>
  <c r="H12" i="5"/>
  <c r="B16" i="6"/>
  <c r="H16" i="5"/>
  <c r="T16" i="5"/>
  <c r="I16" i="5"/>
  <c r="H20" i="5"/>
  <c r="I20" i="5"/>
  <c r="T20" i="5"/>
  <c r="B20" i="6"/>
  <c r="H24" i="5"/>
  <c r="I24" i="5"/>
  <c r="B24" i="6"/>
  <c r="T24" i="5"/>
  <c r="B28" i="6"/>
  <c r="T28" i="5"/>
  <c r="H28" i="5"/>
  <c r="I28" i="5"/>
  <c r="H32" i="5"/>
  <c r="B32" i="6"/>
  <c r="T32" i="5"/>
  <c r="I32" i="5"/>
  <c r="H36" i="5"/>
  <c r="B36" i="6"/>
  <c r="T36" i="5"/>
  <c r="I36" i="5"/>
  <c r="I40" i="5"/>
  <c r="H40" i="5"/>
  <c r="T40" i="5"/>
  <c r="B40" i="6"/>
  <c r="T44" i="5"/>
  <c r="H44" i="5"/>
  <c r="I44" i="5"/>
  <c r="B44" i="6"/>
  <c r="I53" i="5"/>
  <c r="H53" i="5"/>
  <c r="T53" i="5"/>
  <c r="B53" i="6"/>
  <c r="T25" i="5"/>
  <c r="H25" i="5"/>
  <c r="I25" i="5"/>
  <c r="B25" i="6"/>
  <c r="H29" i="5"/>
  <c r="B29" i="6"/>
  <c r="I29" i="5"/>
  <c r="T29" i="5"/>
  <c r="H33" i="5"/>
  <c r="T33" i="5"/>
  <c r="B33" i="6"/>
  <c r="I33" i="5"/>
  <c r="B37" i="6"/>
  <c r="I37" i="5"/>
  <c r="T37" i="5"/>
  <c r="H37" i="5"/>
  <c r="B41" i="6"/>
  <c r="H41" i="5"/>
  <c r="I41" i="5"/>
  <c r="T41" i="5"/>
  <c r="T45" i="5"/>
  <c r="I45" i="5"/>
  <c r="H45" i="5"/>
  <c r="B45" i="6"/>
  <c r="B50" i="6"/>
  <c r="B49" i="5"/>
  <c r="T50" i="5"/>
  <c r="H50" i="5"/>
  <c r="I50" i="5"/>
  <c r="T54" i="5"/>
  <c r="I54" i="5"/>
  <c r="B54" i="6"/>
  <c r="H54" i="5"/>
  <c r="B13" i="6"/>
  <c r="T13" i="5"/>
  <c r="I13" i="5"/>
  <c r="H13" i="5"/>
  <c r="B14" i="6"/>
  <c r="T14" i="5"/>
  <c r="H14" i="5"/>
  <c r="I14" i="5"/>
  <c r="H18" i="5"/>
  <c r="B18" i="6"/>
  <c r="T18" i="5"/>
  <c r="I18" i="5"/>
  <c r="T22" i="5"/>
  <c r="I22" i="5"/>
  <c r="B22" i="6"/>
  <c r="H22" i="5"/>
  <c r="B26" i="6"/>
  <c r="I26" i="5"/>
  <c r="H26" i="5"/>
  <c r="T26" i="5"/>
  <c r="I30" i="5"/>
  <c r="B30" i="6"/>
  <c r="T30" i="5"/>
  <c r="H30" i="5"/>
  <c r="H34" i="5"/>
  <c r="B34" i="6"/>
  <c r="I34" i="5"/>
  <c r="T34" i="5"/>
  <c r="B38" i="6"/>
  <c r="T38" i="5"/>
  <c r="I38" i="5"/>
  <c r="H38" i="5"/>
  <c r="T42" i="5"/>
  <c r="I42" i="5"/>
  <c r="B42" i="6"/>
  <c r="H42" i="5"/>
  <c r="H46" i="5"/>
  <c r="I46" i="5"/>
  <c r="B46" i="6"/>
  <c r="T46" i="5"/>
  <c r="H51" i="5"/>
  <c r="B51" i="6"/>
  <c r="I51" i="5"/>
  <c r="T51" i="5"/>
  <c r="B55" i="6"/>
  <c r="H55" i="5"/>
  <c r="T55" i="5"/>
  <c r="I55" i="5"/>
  <c r="I21" i="5"/>
  <c r="B21" i="6"/>
  <c r="T21" i="5"/>
  <c r="H21" i="5"/>
  <c r="T11" i="5"/>
  <c r="I11" i="5"/>
  <c r="H11" i="5"/>
  <c r="B11" i="6"/>
  <c r="H15" i="5"/>
  <c r="I15" i="5"/>
  <c r="B15" i="6"/>
  <c r="T15" i="5"/>
  <c r="B19" i="6"/>
  <c r="I19" i="5"/>
  <c r="H19" i="5"/>
  <c r="T19" i="5"/>
  <c r="H23" i="5"/>
  <c r="I23" i="5"/>
  <c r="T23" i="5"/>
  <c r="B23" i="6"/>
  <c r="T27" i="5"/>
  <c r="I27" i="5"/>
  <c r="H27" i="5"/>
  <c r="B27" i="6"/>
  <c r="T31" i="5"/>
  <c r="H31" i="5"/>
  <c r="I31" i="5"/>
  <c r="B31" i="6"/>
  <c r="H35" i="5"/>
  <c r="T35" i="5"/>
  <c r="I35" i="5"/>
  <c r="B35" i="6"/>
  <c r="I39" i="5"/>
  <c r="T39" i="5"/>
  <c r="B39" i="6"/>
  <c r="H39" i="5"/>
  <c r="I43" i="5"/>
  <c r="H43" i="5"/>
  <c r="T43" i="5"/>
  <c r="B43" i="6"/>
  <c r="I47" i="5"/>
  <c r="B47" i="6"/>
  <c r="T47" i="5"/>
  <c r="H47" i="5"/>
  <c r="T52" i="5"/>
  <c r="H52" i="5"/>
  <c r="B52" i="6"/>
  <c r="I52" i="5"/>
  <c r="H56" i="5"/>
  <c r="T56" i="5"/>
  <c r="I56" i="5"/>
  <c r="B56" i="6"/>
  <c r="T17" i="4"/>
  <c r="T12" i="4"/>
  <c r="T16" i="4"/>
  <c r="T20" i="4"/>
  <c r="T24" i="4"/>
  <c r="T28" i="4"/>
  <c r="T32" i="4"/>
  <c r="T36" i="4"/>
  <c r="T40" i="4"/>
  <c r="T44" i="4"/>
  <c r="T53" i="4"/>
  <c r="X50" i="6"/>
  <c r="AY50" i="6" s="1"/>
  <c r="F49" i="6"/>
  <c r="X49" i="6" s="1"/>
  <c r="AY49" i="6" s="1"/>
  <c r="T25" i="4"/>
  <c r="T29" i="4"/>
  <c r="T33" i="4"/>
  <c r="T37" i="4"/>
  <c r="T41" i="4"/>
  <c r="T45" i="4"/>
  <c r="T50" i="4"/>
  <c r="T54" i="4"/>
  <c r="R49" i="6"/>
  <c r="Q49" i="6"/>
  <c r="T13" i="4"/>
  <c r="T14" i="4"/>
  <c r="T18" i="4"/>
  <c r="T22" i="4"/>
  <c r="T26" i="4"/>
  <c r="T30" i="4"/>
  <c r="T34" i="4"/>
  <c r="T38" i="4"/>
  <c r="T42" i="4"/>
  <c r="T46" i="4"/>
  <c r="T51" i="4"/>
  <c r="T55" i="4"/>
  <c r="T21" i="4"/>
  <c r="T11" i="4"/>
  <c r="T15" i="4"/>
  <c r="T19" i="4"/>
  <c r="T23" i="4"/>
  <c r="T27" i="4"/>
  <c r="T31" i="4"/>
  <c r="T35" i="4"/>
  <c r="T39" i="4"/>
  <c r="T43" i="4"/>
  <c r="T47" i="4"/>
  <c r="T52" i="4"/>
  <c r="T56" i="4"/>
  <c r="O8" i="6"/>
  <c r="B48" i="6"/>
  <c r="I48" i="5"/>
  <c r="T48" i="5"/>
  <c r="H48" i="5"/>
  <c r="H10" i="5"/>
  <c r="T10" i="5"/>
  <c r="B9" i="5"/>
  <c r="B10" i="6"/>
  <c r="I10" i="5"/>
  <c r="T48" i="4"/>
  <c r="Y9" i="6"/>
  <c r="AZ9" i="6" s="1"/>
  <c r="G8" i="6"/>
  <c r="Y8" i="6" s="1"/>
  <c r="AZ8" i="6" s="1"/>
  <c r="K8" i="6"/>
  <c r="Q9" i="6"/>
  <c r="R9" i="6"/>
  <c r="X9" i="5"/>
  <c r="AY9" i="5" s="1"/>
  <c r="F8" i="5"/>
  <c r="X8" i="5" s="1"/>
  <c r="AY8" i="5" s="1"/>
  <c r="E8" i="6"/>
  <c r="W8" i="6" s="1"/>
  <c r="AX8" i="6" s="1"/>
  <c r="W9" i="6"/>
  <c r="AX9" i="6" s="1"/>
  <c r="X10" i="6"/>
  <c r="AY10" i="6" s="1"/>
  <c r="F9" i="6"/>
  <c r="T10" i="4"/>
  <c r="F8" i="4"/>
  <c r="X8" i="4" s="1"/>
  <c r="U9" i="6"/>
  <c r="AV9" i="6" s="1"/>
  <c r="C8" i="6"/>
  <c r="U8" i="6" s="1"/>
  <c r="AV8" i="6" s="1"/>
  <c r="R8" i="5"/>
  <c r="Q8" i="5"/>
  <c r="V9" i="6"/>
  <c r="AW9" i="6" s="1"/>
  <c r="H14" i="4"/>
  <c r="I14" i="4"/>
  <c r="H12" i="4"/>
  <c r="I12" i="4"/>
  <c r="H16" i="4"/>
  <c r="I16" i="4"/>
  <c r="H20" i="4"/>
  <c r="I20" i="4"/>
  <c r="H24" i="4"/>
  <c r="I24" i="4"/>
  <c r="H28" i="4"/>
  <c r="I28" i="4"/>
  <c r="H32" i="4"/>
  <c r="I32" i="4"/>
  <c r="I36" i="4"/>
  <c r="H36" i="4"/>
  <c r="I40" i="4"/>
  <c r="H40" i="4"/>
  <c r="I44" i="4"/>
  <c r="H44" i="4"/>
  <c r="I48" i="4"/>
  <c r="H48" i="4"/>
  <c r="H53" i="4"/>
  <c r="I53" i="4"/>
  <c r="R8" i="4"/>
  <c r="Q8" i="4"/>
  <c r="H13" i="4"/>
  <c r="I13" i="4"/>
  <c r="H17" i="4"/>
  <c r="I17" i="4"/>
  <c r="H21" i="4"/>
  <c r="I21" i="4"/>
  <c r="H25" i="4"/>
  <c r="I25" i="4"/>
  <c r="H29" i="4"/>
  <c r="I29" i="4"/>
  <c r="H33" i="4"/>
  <c r="I33" i="4"/>
  <c r="H37" i="4"/>
  <c r="I37" i="4"/>
  <c r="H41" i="4"/>
  <c r="I41" i="4"/>
  <c r="H45" i="4"/>
  <c r="I45" i="4"/>
  <c r="I50" i="4"/>
  <c r="B49" i="4"/>
  <c r="T49" i="4" s="1"/>
  <c r="H50" i="4"/>
  <c r="I54" i="4"/>
  <c r="H54" i="4"/>
  <c r="H18" i="4"/>
  <c r="I18" i="4"/>
  <c r="H22" i="4"/>
  <c r="I22" i="4"/>
  <c r="H26" i="4"/>
  <c r="I26" i="4"/>
  <c r="H30" i="4"/>
  <c r="I30" i="4"/>
  <c r="I34" i="4"/>
  <c r="H34" i="4"/>
  <c r="I38" i="4"/>
  <c r="H38" i="4"/>
  <c r="I46" i="4"/>
  <c r="H46" i="4"/>
  <c r="H51" i="4"/>
  <c r="I51" i="4"/>
  <c r="H55" i="4"/>
  <c r="I55" i="4"/>
  <c r="H10" i="4"/>
  <c r="I10" i="4"/>
  <c r="B9" i="4"/>
  <c r="T9" i="4" s="1"/>
  <c r="I42" i="4"/>
  <c r="H42" i="4"/>
  <c r="H11" i="4"/>
  <c r="I11" i="4"/>
  <c r="H15" i="4"/>
  <c r="I15" i="4"/>
  <c r="H19" i="4"/>
  <c r="I19" i="4"/>
  <c r="H23" i="4"/>
  <c r="I23" i="4"/>
  <c r="H27" i="4"/>
  <c r="I27" i="4"/>
  <c r="H31" i="4"/>
  <c r="I31" i="4"/>
  <c r="H35" i="4"/>
  <c r="I35" i="4"/>
  <c r="H39" i="4"/>
  <c r="I39" i="4"/>
  <c r="H43" i="4"/>
  <c r="I43" i="4"/>
  <c r="H47" i="4"/>
  <c r="I47" i="4"/>
  <c r="I52" i="4"/>
  <c r="H52" i="4"/>
  <c r="I56" i="4"/>
  <c r="H56" i="4"/>
  <c r="B9" i="3"/>
  <c r="B49" i="3"/>
  <c r="D8" i="6" l="1"/>
  <c r="V8" i="6" s="1"/>
  <c r="AW8" i="6" s="1"/>
  <c r="Z56" i="4"/>
  <c r="AA56" i="4"/>
  <c r="AU56" i="4"/>
  <c r="BD56" i="4" s="1"/>
  <c r="Z23" i="4"/>
  <c r="AA23" i="4"/>
  <c r="AU23" i="4"/>
  <c r="BD23" i="4" s="1"/>
  <c r="Z21" i="4"/>
  <c r="AA21" i="4"/>
  <c r="AU21" i="4"/>
  <c r="BD21" i="4" s="1"/>
  <c r="AA26" i="4"/>
  <c r="Z26" i="4"/>
  <c r="AU26" i="4"/>
  <c r="BD26" i="4" s="1"/>
  <c r="AA36" i="4"/>
  <c r="Z36" i="4"/>
  <c r="AU36" i="4"/>
  <c r="BD36" i="4" s="1"/>
  <c r="Z52" i="4"/>
  <c r="AA52" i="4"/>
  <c r="AU52" i="4"/>
  <c r="BD52" i="4" s="1"/>
  <c r="Z35" i="4"/>
  <c r="AA35" i="4"/>
  <c r="AU35" i="4"/>
  <c r="BD35" i="4" s="1"/>
  <c r="Z19" i="4"/>
  <c r="AA19" i="4"/>
  <c r="AU19" i="4"/>
  <c r="BD19" i="4" s="1"/>
  <c r="AA55" i="4"/>
  <c r="Z55" i="4"/>
  <c r="AU55" i="4"/>
  <c r="BD55" i="4" s="1"/>
  <c r="AA38" i="4"/>
  <c r="Z38" i="4"/>
  <c r="AU38" i="4"/>
  <c r="BD38" i="4" s="1"/>
  <c r="AA22" i="4"/>
  <c r="Z22" i="4"/>
  <c r="AU22" i="4"/>
  <c r="BD22" i="4" s="1"/>
  <c r="Z45" i="4"/>
  <c r="AA45" i="4"/>
  <c r="AU45" i="4"/>
  <c r="BD45" i="4" s="1"/>
  <c r="Z29" i="4"/>
  <c r="AA29" i="4"/>
  <c r="AU29" i="4"/>
  <c r="BD29" i="4" s="1"/>
  <c r="AA53" i="4"/>
  <c r="Z53" i="4"/>
  <c r="AU53" i="4"/>
  <c r="BD53" i="4" s="1"/>
  <c r="AA32" i="4"/>
  <c r="Z32" i="4"/>
  <c r="AU32" i="4"/>
  <c r="BD32" i="4" s="1"/>
  <c r="AA16" i="4"/>
  <c r="Z16" i="4"/>
  <c r="AU16" i="4"/>
  <c r="BD16" i="4" s="1"/>
  <c r="H52" i="6"/>
  <c r="T52" i="6"/>
  <c r="I52" i="6"/>
  <c r="Z47" i="5"/>
  <c r="AA47" i="5"/>
  <c r="AU47" i="5"/>
  <c r="Z43" i="5"/>
  <c r="AU43" i="5"/>
  <c r="AA43" i="5"/>
  <c r="H39" i="6"/>
  <c r="T39" i="6"/>
  <c r="I39" i="6"/>
  <c r="AA23" i="5"/>
  <c r="AU23" i="5"/>
  <c r="Z23" i="5"/>
  <c r="T15" i="6"/>
  <c r="H15" i="6"/>
  <c r="I15" i="6"/>
  <c r="Z21" i="5"/>
  <c r="AA21" i="5"/>
  <c r="AU21" i="5"/>
  <c r="AU55" i="5"/>
  <c r="AA55" i="5"/>
  <c r="Z55" i="5"/>
  <c r="H46" i="6"/>
  <c r="T46" i="6"/>
  <c r="I46" i="6"/>
  <c r="I42" i="6"/>
  <c r="H42" i="6"/>
  <c r="T42" i="6"/>
  <c r="Z30" i="5"/>
  <c r="AU30" i="5"/>
  <c r="AA30" i="5"/>
  <c r="I22" i="6"/>
  <c r="T22" i="6"/>
  <c r="H22" i="6"/>
  <c r="AU18" i="5"/>
  <c r="Z18" i="5"/>
  <c r="AA18" i="5"/>
  <c r="T54" i="6"/>
  <c r="H54" i="6"/>
  <c r="I54" i="6"/>
  <c r="I45" i="6"/>
  <c r="H45" i="6"/>
  <c r="T45" i="6"/>
  <c r="Z41" i="5"/>
  <c r="AA41" i="5"/>
  <c r="AU41" i="5"/>
  <c r="AU29" i="5"/>
  <c r="AA29" i="5"/>
  <c r="Z29" i="5"/>
  <c r="T25" i="6"/>
  <c r="H25" i="6"/>
  <c r="I25" i="6"/>
  <c r="H53" i="6"/>
  <c r="T53" i="6"/>
  <c r="I53" i="6"/>
  <c r="H44" i="6"/>
  <c r="I44" i="6"/>
  <c r="T44" i="6"/>
  <c r="I40" i="6"/>
  <c r="H40" i="6"/>
  <c r="T40" i="6"/>
  <c r="Z24" i="5"/>
  <c r="AU24" i="5"/>
  <c r="AA24" i="5"/>
  <c r="H20" i="6"/>
  <c r="T20" i="6"/>
  <c r="I20" i="6"/>
  <c r="AA49" i="4"/>
  <c r="Z49" i="4"/>
  <c r="AU49" i="4"/>
  <c r="BD49" i="4" s="1"/>
  <c r="Z47" i="4"/>
  <c r="AA47" i="4"/>
  <c r="AU47" i="4"/>
  <c r="BD47" i="4" s="1"/>
  <c r="Z31" i="4"/>
  <c r="AA31" i="4"/>
  <c r="AU31" i="4"/>
  <c r="BD31" i="4" s="1"/>
  <c r="Z15" i="4"/>
  <c r="AA15" i="4"/>
  <c r="AU15" i="4"/>
  <c r="BD15" i="4" s="1"/>
  <c r="AA51" i="4"/>
  <c r="Z51" i="4"/>
  <c r="AU51" i="4"/>
  <c r="BD51" i="4" s="1"/>
  <c r="AA34" i="4"/>
  <c r="Z34" i="4"/>
  <c r="AU34" i="4"/>
  <c r="BD34" i="4" s="1"/>
  <c r="AA18" i="4"/>
  <c r="Z18" i="4"/>
  <c r="AU18" i="4"/>
  <c r="BD18" i="4" s="1"/>
  <c r="Z41" i="4"/>
  <c r="AA41" i="4"/>
  <c r="AU41" i="4"/>
  <c r="BD41" i="4" s="1"/>
  <c r="Z25" i="4"/>
  <c r="AA25" i="4"/>
  <c r="AU25" i="4"/>
  <c r="BD25" i="4" s="1"/>
  <c r="AA44" i="4"/>
  <c r="Z44" i="4"/>
  <c r="AU44" i="4"/>
  <c r="BD44" i="4" s="1"/>
  <c r="AA28" i="4"/>
  <c r="Z28" i="4"/>
  <c r="AU28" i="4"/>
  <c r="BD28" i="4" s="1"/>
  <c r="AA12" i="4"/>
  <c r="Z12" i="4"/>
  <c r="AU12" i="4"/>
  <c r="BD12" i="4" s="1"/>
  <c r="AA56" i="5"/>
  <c r="Z56" i="5"/>
  <c r="AU56" i="5"/>
  <c r="H47" i="6"/>
  <c r="I47" i="6"/>
  <c r="T47" i="6"/>
  <c r="AU39" i="5"/>
  <c r="AA39" i="5"/>
  <c r="Z39" i="5"/>
  <c r="AU35" i="5"/>
  <c r="AA35" i="5"/>
  <c r="Z35" i="5"/>
  <c r="I21" i="6"/>
  <c r="T21" i="6"/>
  <c r="H21" i="6"/>
  <c r="T51" i="6"/>
  <c r="H51" i="6"/>
  <c r="I51" i="6"/>
  <c r="AU38" i="5"/>
  <c r="AA38" i="5"/>
  <c r="Z38" i="5"/>
  <c r="T34" i="6"/>
  <c r="I34" i="6"/>
  <c r="H34" i="6"/>
  <c r="T30" i="6"/>
  <c r="H30" i="6"/>
  <c r="I30" i="6"/>
  <c r="T18" i="6"/>
  <c r="I18" i="6"/>
  <c r="H18" i="6"/>
  <c r="AA14" i="5"/>
  <c r="Z14" i="5"/>
  <c r="AU14" i="5"/>
  <c r="AU13" i="5"/>
  <c r="AA13" i="5"/>
  <c r="Z13" i="5"/>
  <c r="AU50" i="5"/>
  <c r="Z50" i="5"/>
  <c r="AA50" i="5"/>
  <c r="AU37" i="5"/>
  <c r="Z37" i="5"/>
  <c r="AA37" i="5"/>
  <c r="T33" i="6"/>
  <c r="H33" i="6"/>
  <c r="I33" i="6"/>
  <c r="AU53" i="5"/>
  <c r="AA53" i="5"/>
  <c r="Z53" i="5"/>
  <c r="Z40" i="5"/>
  <c r="AA40" i="5"/>
  <c r="AU40" i="5"/>
  <c r="AA36" i="5"/>
  <c r="AU36" i="5"/>
  <c r="Z36" i="5"/>
  <c r="AA32" i="5"/>
  <c r="Z32" i="5"/>
  <c r="AU32" i="5"/>
  <c r="T24" i="6"/>
  <c r="I24" i="6"/>
  <c r="H24" i="6"/>
  <c r="AU20" i="5"/>
  <c r="AA20" i="5"/>
  <c r="Z20" i="5"/>
  <c r="AA16" i="5"/>
  <c r="Z16" i="5"/>
  <c r="AU16" i="5"/>
  <c r="AA12" i="5"/>
  <c r="Z12" i="5"/>
  <c r="AU12" i="5"/>
  <c r="Z43" i="4"/>
  <c r="AA43" i="4"/>
  <c r="AU43" i="4"/>
  <c r="BD43" i="4" s="1"/>
  <c r="Z27" i="4"/>
  <c r="AA27" i="4"/>
  <c r="AU27" i="4"/>
  <c r="BD27" i="4" s="1"/>
  <c r="Z11" i="4"/>
  <c r="AA11" i="4"/>
  <c r="AU11" i="4"/>
  <c r="BD11" i="4" s="1"/>
  <c r="AA46" i="4"/>
  <c r="Z46" i="4"/>
  <c r="AU46" i="4"/>
  <c r="BD46" i="4" s="1"/>
  <c r="AA30" i="4"/>
  <c r="Z30" i="4"/>
  <c r="AU30" i="4"/>
  <c r="BD30" i="4" s="1"/>
  <c r="AA14" i="4"/>
  <c r="Z14" i="4"/>
  <c r="AU14" i="4"/>
  <c r="BD14" i="4" s="1"/>
  <c r="Z54" i="4"/>
  <c r="AA54" i="4"/>
  <c r="AU54" i="4"/>
  <c r="BD54" i="4" s="1"/>
  <c r="Z37" i="4"/>
  <c r="AA37" i="4"/>
  <c r="AU37" i="4"/>
  <c r="BD37" i="4" s="1"/>
  <c r="AA40" i="4"/>
  <c r="Z40" i="4"/>
  <c r="AU40" i="4"/>
  <c r="BD40" i="4" s="1"/>
  <c r="AA24" i="4"/>
  <c r="Z24" i="4"/>
  <c r="AU24" i="4"/>
  <c r="BD24" i="4" s="1"/>
  <c r="Z17" i="4"/>
  <c r="AA17" i="4"/>
  <c r="AU17" i="4"/>
  <c r="BD17" i="4" s="1"/>
  <c r="Z52" i="5"/>
  <c r="AU52" i="5"/>
  <c r="AA52" i="5"/>
  <c r="AA31" i="5"/>
  <c r="AU31" i="5"/>
  <c r="Z31" i="5"/>
  <c r="AU27" i="5"/>
  <c r="Z27" i="5"/>
  <c r="AA27" i="5"/>
  <c r="H19" i="6"/>
  <c r="I19" i="6"/>
  <c r="T19" i="6"/>
  <c r="AA11" i="5"/>
  <c r="Z11" i="5"/>
  <c r="AU11" i="5"/>
  <c r="I55" i="6"/>
  <c r="H55" i="6"/>
  <c r="T55" i="6"/>
  <c r="AU42" i="5"/>
  <c r="Z42" i="5"/>
  <c r="AA42" i="5"/>
  <c r="H38" i="6"/>
  <c r="I38" i="6"/>
  <c r="T38" i="6"/>
  <c r="T26" i="6"/>
  <c r="H26" i="6"/>
  <c r="I26" i="6"/>
  <c r="AA22" i="5"/>
  <c r="AU22" i="5"/>
  <c r="Z22" i="5"/>
  <c r="H14" i="6"/>
  <c r="T14" i="6"/>
  <c r="I14" i="6"/>
  <c r="I13" i="6"/>
  <c r="T13" i="6"/>
  <c r="H13" i="6"/>
  <c r="AU54" i="5"/>
  <c r="AA54" i="5"/>
  <c r="Z54" i="5"/>
  <c r="I49" i="5"/>
  <c r="T49" i="5"/>
  <c r="H49" i="5"/>
  <c r="AA33" i="5"/>
  <c r="Z33" i="5"/>
  <c r="AU33" i="5"/>
  <c r="I29" i="6"/>
  <c r="T29" i="6"/>
  <c r="H29" i="6"/>
  <c r="T36" i="6"/>
  <c r="H36" i="6"/>
  <c r="I36" i="6"/>
  <c r="T32" i="6"/>
  <c r="H32" i="6"/>
  <c r="I32" i="6"/>
  <c r="AU28" i="5"/>
  <c r="Z28" i="5"/>
  <c r="AA28" i="5"/>
  <c r="T12" i="6"/>
  <c r="H12" i="6"/>
  <c r="I12" i="6"/>
  <c r="AA17" i="5"/>
  <c r="Z17" i="5"/>
  <c r="AU17" i="5"/>
  <c r="Z39" i="4"/>
  <c r="AA39" i="4"/>
  <c r="AU39" i="4"/>
  <c r="BD39" i="4" s="1"/>
  <c r="AA42" i="4"/>
  <c r="Z42" i="4"/>
  <c r="AU42" i="4"/>
  <c r="BD42" i="4" s="1"/>
  <c r="Z13" i="4"/>
  <c r="AA13" i="4"/>
  <c r="AU13" i="4"/>
  <c r="BD13" i="4" s="1"/>
  <c r="Z50" i="4"/>
  <c r="AA50" i="4"/>
  <c r="AU50" i="4"/>
  <c r="BD50" i="4" s="1"/>
  <c r="Z33" i="4"/>
  <c r="AA33" i="4"/>
  <c r="AU33" i="4"/>
  <c r="BD33" i="4" s="1"/>
  <c r="AA20" i="4"/>
  <c r="Z20" i="4"/>
  <c r="AU20" i="4"/>
  <c r="BD20" i="4" s="1"/>
  <c r="I56" i="6"/>
  <c r="T56" i="6"/>
  <c r="H56" i="6"/>
  <c r="I43" i="6"/>
  <c r="H43" i="6"/>
  <c r="T43" i="6"/>
  <c r="T35" i="6"/>
  <c r="I35" i="6"/>
  <c r="H35" i="6"/>
  <c r="T31" i="6"/>
  <c r="H31" i="6"/>
  <c r="I31" i="6"/>
  <c r="I27" i="6"/>
  <c r="H27" i="6"/>
  <c r="T27" i="6"/>
  <c r="H23" i="6"/>
  <c r="I23" i="6"/>
  <c r="T23" i="6"/>
  <c r="AA19" i="5"/>
  <c r="Z19" i="5"/>
  <c r="AU19" i="5"/>
  <c r="AU15" i="5"/>
  <c r="Z15" i="5"/>
  <c r="AA15" i="5"/>
  <c r="T11" i="6"/>
  <c r="I11" i="6"/>
  <c r="H11" i="6"/>
  <c r="AA51" i="5"/>
  <c r="AU51" i="5"/>
  <c r="Z51" i="5"/>
  <c r="AU46" i="5"/>
  <c r="AA46" i="5"/>
  <c r="Z46" i="5"/>
  <c r="Z34" i="5"/>
  <c r="AA34" i="5"/>
  <c r="AU34" i="5"/>
  <c r="AU26" i="5"/>
  <c r="AA26" i="5"/>
  <c r="Z26" i="5"/>
  <c r="I50" i="6"/>
  <c r="T50" i="6"/>
  <c r="B49" i="6"/>
  <c r="H50" i="6"/>
  <c r="AU45" i="5"/>
  <c r="Z45" i="5"/>
  <c r="AA45" i="5"/>
  <c r="H41" i="6"/>
  <c r="I41" i="6"/>
  <c r="T41" i="6"/>
  <c r="T37" i="6"/>
  <c r="I37" i="6"/>
  <c r="H37" i="6"/>
  <c r="AU25" i="5"/>
  <c r="AA25" i="5"/>
  <c r="Z25" i="5"/>
  <c r="AU44" i="5"/>
  <c r="Z44" i="5"/>
  <c r="AA44" i="5"/>
  <c r="I28" i="6"/>
  <c r="T28" i="6"/>
  <c r="H28" i="6"/>
  <c r="H16" i="6"/>
  <c r="T16" i="6"/>
  <c r="I16" i="6"/>
  <c r="I17" i="6"/>
  <c r="T17" i="6"/>
  <c r="H17" i="6"/>
  <c r="Z10" i="4"/>
  <c r="AA10" i="4"/>
  <c r="AU10" i="4"/>
  <c r="BD10" i="4" s="1"/>
  <c r="X9" i="6"/>
  <c r="AY9" i="6" s="1"/>
  <c r="F8" i="6"/>
  <c r="X8" i="6" s="1"/>
  <c r="AY8" i="6" s="1"/>
  <c r="R8" i="6"/>
  <c r="Q8" i="6"/>
  <c r="T10" i="6"/>
  <c r="B9" i="6"/>
  <c r="H10" i="6"/>
  <c r="I10" i="6"/>
  <c r="AA9" i="4"/>
  <c r="Z9" i="4"/>
  <c r="AU9" i="4"/>
  <c r="BD9" i="4" s="1"/>
  <c r="AY8" i="4"/>
  <c r="I9" i="5"/>
  <c r="B8" i="5"/>
  <c r="T9" i="5"/>
  <c r="H9" i="5"/>
  <c r="AU48" i="5"/>
  <c r="AA48" i="5"/>
  <c r="Z48" i="5"/>
  <c r="Z48" i="4"/>
  <c r="AA48" i="4"/>
  <c r="AU48" i="4"/>
  <c r="BD48" i="4" s="1"/>
  <c r="AU10" i="5"/>
  <c r="AA10" i="5"/>
  <c r="Z10" i="5"/>
  <c r="H48" i="6"/>
  <c r="T48" i="6"/>
  <c r="I48" i="6"/>
  <c r="H9" i="4"/>
  <c r="I9" i="4"/>
  <c r="B8" i="4"/>
  <c r="T8" i="4" s="1"/>
  <c r="H49" i="4"/>
  <c r="I49" i="4"/>
  <c r="B8" i="3"/>
  <c r="BB19" i="5" l="1"/>
  <c r="BA19" i="5"/>
  <c r="AA12" i="6"/>
  <c r="Z12" i="6"/>
  <c r="AU12" i="6"/>
  <c r="BA52" i="5"/>
  <c r="BB52" i="5"/>
  <c r="BA30" i="4"/>
  <c r="BB30" i="4"/>
  <c r="BB43" i="4"/>
  <c r="BA43" i="4"/>
  <c r="AU51" i="6"/>
  <c r="Z51" i="6"/>
  <c r="AA51" i="6"/>
  <c r="BA12" i="4"/>
  <c r="BB12" i="4"/>
  <c r="BB41" i="4"/>
  <c r="BA41" i="4"/>
  <c r="BB18" i="5"/>
  <c r="BA18" i="5"/>
  <c r="AU28" i="6"/>
  <c r="Z28" i="6"/>
  <c r="AA28" i="6"/>
  <c r="BA44" i="5"/>
  <c r="BB44" i="5"/>
  <c r="BB45" i="5"/>
  <c r="BA45" i="5"/>
  <c r="BB34" i="5"/>
  <c r="BA34" i="5"/>
  <c r="BA20" i="4"/>
  <c r="BB20" i="4"/>
  <c r="BA42" i="4"/>
  <c r="BB42" i="4"/>
  <c r="AA36" i="6"/>
  <c r="AU36" i="6"/>
  <c r="Z36" i="6"/>
  <c r="BB33" i="5"/>
  <c r="BA33" i="5"/>
  <c r="AU49" i="5"/>
  <c r="Z49" i="5"/>
  <c r="AA49" i="5"/>
  <c r="BB54" i="5"/>
  <c r="BA54" i="5"/>
  <c r="BB22" i="5"/>
  <c r="BA22" i="5"/>
  <c r="AU26" i="6"/>
  <c r="Z26" i="6"/>
  <c r="AA26" i="6"/>
  <c r="BA31" i="5"/>
  <c r="BB31" i="5"/>
  <c r="BA24" i="4"/>
  <c r="BB24" i="4"/>
  <c r="BA14" i="4"/>
  <c r="BB14" i="4"/>
  <c r="BB27" i="4"/>
  <c r="BA27" i="4"/>
  <c r="BA40" i="5"/>
  <c r="BB40" i="5"/>
  <c r="AU33" i="6"/>
  <c r="Z33" i="6"/>
  <c r="AA33" i="6"/>
  <c r="BB38" i="5"/>
  <c r="BA38" i="5"/>
  <c r="BB39" i="5"/>
  <c r="BA39" i="5"/>
  <c r="BB56" i="5"/>
  <c r="BA56" i="5"/>
  <c r="BB25" i="4"/>
  <c r="BA25" i="4"/>
  <c r="BA51" i="4"/>
  <c r="BB51" i="4"/>
  <c r="BA49" i="4"/>
  <c r="BB49" i="4"/>
  <c r="AU20" i="6"/>
  <c r="AA20" i="6"/>
  <c r="Z20" i="6"/>
  <c r="AU44" i="6"/>
  <c r="AA44" i="6"/>
  <c r="Z44" i="6"/>
  <c r="AA53" i="6"/>
  <c r="Z53" i="6"/>
  <c r="AU53" i="6"/>
  <c r="AA25" i="6"/>
  <c r="Z25" i="6"/>
  <c r="AU25" i="6"/>
  <c r="BB41" i="5"/>
  <c r="BA41" i="5"/>
  <c r="AU54" i="6"/>
  <c r="AA54" i="6"/>
  <c r="Z54" i="6"/>
  <c r="BA30" i="5"/>
  <c r="BB30" i="5"/>
  <c r="Z15" i="6"/>
  <c r="AU15" i="6"/>
  <c r="AA15" i="6"/>
  <c r="BA43" i="5"/>
  <c r="BB43" i="5"/>
  <c r="BA16" i="4"/>
  <c r="BB16" i="4"/>
  <c r="BB45" i="4"/>
  <c r="BA45" i="4"/>
  <c r="BB19" i="4"/>
  <c r="BA19" i="4"/>
  <c r="BA26" i="4"/>
  <c r="BB26" i="4"/>
  <c r="Z41" i="6"/>
  <c r="AA41" i="6"/>
  <c r="AU41" i="6"/>
  <c r="BA26" i="5"/>
  <c r="BB26" i="5"/>
  <c r="BB33" i="4"/>
  <c r="BA33" i="4"/>
  <c r="AU55" i="6"/>
  <c r="Z55" i="6"/>
  <c r="AA55" i="6"/>
  <c r="BA40" i="4"/>
  <c r="BB40" i="4"/>
  <c r="AA16" i="6"/>
  <c r="AU16" i="6"/>
  <c r="Z16" i="6"/>
  <c r="BB46" i="5"/>
  <c r="BA46" i="5"/>
  <c r="Z27" i="6"/>
  <c r="AA27" i="6"/>
  <c r="AU27" i="6"/>
  <c r="AA35" i="6"/>
  <c r="Z35" i="6"/>
  <c r="AU35" i="6"/>
  <c r="BB13" i="4"/>
  <c r="BA13" i="4"/>
  <c r="AA32" i="6"/>
  <c r="Z32" i="6"/>
  <c r="AU32" i="6"/>
  <c r="AA14" i="6"/>
  <c r="Z14" i="6"/>
  <c r="AU14" i="6"/>
  <c r="Z38" i="6"/>
  <c r="AA38" i="6"/>
  <c r="AU38" i="6"/>
  <c r="AU19" i="6"/>
  <c r="AA19" i="6"/>
  <c r="Z19" i="6"/>
  <c r="BB17" i="4"/>
  <c r="BA17" i="4"/>
  <c r="BB54" i="4"/>
  <c r="BA54" i="4"/>
  <c r="BB11" i="4"/>
  <c r="BA11" i="4"/>
  <c r="BA16" i="5"/>
  <c r="BB16" i="5"/>
  <c r="AU24" i="6"/>
  <c r="Z24" i="6"/>
  <c r="AA24" i="6"/>
  <c r="BA53" i="5"/>
  <c r="BB53" i="5"/>
  <c r="BB13" i="5"/>
  <c r="BA13" i="5"/>
  <c r="AU34" i="6"/>
  <c r="Z34" i="6"/>
  <c r="AA34" i="6"/>
  <c r="AU21" i="6"/>
  <c r="AA21" i="6"/>
  <c r="Z21" i="6"/>
  <c r="BA35" i="5"/>
  <c r="BB35" i="5"/>
  <c r="Z47" i="6"/>
  <c r="AU47" i="6"/>
  <c r="AA47" i="6"/>
  <c r="BA44" i="4"/>
  <c r="BB44" i="4"/>
  <c r="BA34" i="4"/>
  <c r="BB34" i="4"/>
  <c r="BB47" i="4"/>
  <c r="BA47" i="4"/>
  <c r="Z40" i="6"/>
  <c r="AA40" i="6"/>
  <c r="AU40" i="6"/>
  <c r="AU22" i="6"/>
  <c r="AA22" i="6"/>
  <c r="Z22" i="6"/>
  <c r="AU39" i="6"/>
  <c r="AA39" i="6"/>
  <c r="Z39" i="6"/>
  <c r="BB29" i="4"/>
  <c r="BA29" i="4"/>
  <c r="BA55" i="4"/>
  <c r="BB55" i="4"/>
  <c r="BA36" i="4"/>
  <c r="BB36" i="4"/>
  <c r="BB56" i="4"/>
  <c r="BA56" i="4"/>
  <c r="BB25" i="5"/>
  <c r="BA25" i="5"/>
  <c r="BA51" i="5"/>
  <c r="BB51" i="5"/>
  <c r="AA11" i="6"/>
  <c r="Z11" i="6"/>
  <c r="AU11" i="6"/>
  <c r="Z17" i="6"/>
  <c r="AU17" i="6"/>
  <c r="AA17" i="6"/>
  <c r="AA37" i="6"/>
  <c r="AU37" i="6"/>
  <c r="Z37" i="6"/>
  <c r="I49" i="6"/>
  <c r="T49" i="6"/>
  <c r="H49" i="6"/>
  <c r="BA15" i="5"/>
  <c r="BB15" i="5"/>
  <c r="AU23" i="6"/>
  <c r="Z23" i="6"/>
  <c r="AA23" i="6"/>
  <c r="Z31" i="6"/>
  <c r="AA31" i="6"/>
  <c r="AU31" i="6"/>
  <c r="AU43" i="6"/>
  <c r="AA43" i="6"/>
  <c r="Z43" i="6"/>
  <c r="AU56" i="6"/>
  <c r="AA56" i="6"/>
  <c r="Z56" i="6"/>
  <c r="BB50" i="4"/>
  <c r="BA50" i="4"/>
  <c r="BA17" i="5"/>
  <c r="BB17" i="5"/>
  <c r="BB28" i="5"/>
  <c r="BA28" i="5"/>
  <c r="AU29" i="6"/>
  <c r="Z29" i="6"/>
  <c r="AA29" i="6"/>
  <c r="Z13" i="6"/>
  <c r="AA13" i="6"/>
  <c r="AU13" i="6"/>
  <c r="BA42" i="5"/>
  <c r="BB42" i="5"/>
  <c r="BA11" i="5"/>
  <c r="BB11" i="5"/>
  <c r="BA27" i="5"/>
  <c r="BB27" i="5"/>
  <c r="BB37" i="4"/>
  <c r="BA37" i="4"/>
  <c r="BA46" i="4"/>
  <c r="BB46" i="4"/>
  <c r="BB12" i="5"/>
  <c r="BA12" i="5"/>
  <c r="BB20" i="5"/>
  <c r="BA20" i="5"/>
  <c r="BA32" i="5"/>
  <c r="BB32" i="5"/>
  <c r="BB36" i="5"/>
  <c r="BA36" i="5"/>
  <c r="BA50" i="5"/>
  <c r="BB50" i="5"/>
  <c r="BB14" i="5"/>
  <c r="BA14" i="5"/>
  <c r="AU30" i="6"/>
  <c r="AA30" i="6"/>
  <c r="Z30" i="6"/>
  <c r="BA28" i="4"/>
  <c r="BB28" i="4"/>
  <c r="BA18" i="4"/>
  <c r="BB18" i="4"/>
  <c r="BB31" i="4"/>
  <c r="BA31" i="4"/>
  <c r="Z42" i="6"/>
  <c r="AA42" i="6"/>
  <c r="AU42" i="6"/>
  <c r="Z46" i="6"/>
  <c r="AA46" i="6"/>
  <c r="AU46" i="6"/>
  <c r="BB55" i="5"/>
  <c r="BA55" i="5"/>
  <c r="BA23" i="5"/>
  <c r="BB23" i="5"/>
  <c r="BA47" i="5"/>
  <c r="BB47" i="5"/>
  <c r="AU52" i="6"/>
  <c r="AA52" i="6"/>
  <c r="Z52" i="6"/>
  <c r="BA53" i="4"/>
  <c r="BB53" i="4"/>
  <c r="BA38" i="4"/>
  <c r="BB38" i="4"/>
  <c r="BB52" i="4"/>
  <c r="BA52" i="4"/>
  <c r="BB23" i="4"/>
  <c r="BA23" i="4"/>
  <c r="AU50" i="6"/>
  <c r="Z50" i="6"/>
  <c r="AA50" i="6"/>
  <c r="BB39" i="4"/>
  <c r="BA39" i="4"/>
  <c r="BA37" i="5"/>
  <c r="BB37" i="5"/>
  <c r="AU18" i="6"/>
  <c r="Z18" i="6"/>
  <c r="AA18" i="6"/>
  <c r="BB15" i="4"/>
  <c r="BA15" i="4"/>
  <c r="BB24" i="5"/>
  <c r="BA24" i="5"/>
  <c r="BA29" i="5"/>
  <c r="BB29" i="5"/>
  <c r="AU45" i="6"/>
  <c r="Z45" i="6"/>
  <c r="AA45" i="6"/>
  <c r="BB21" i="5"/>
  <c r="BA21" i="5"/>
  <c r="BA32" i="4"/>
  <c r="BB32" i="4"/>
  <c r="BA22" i="4"/>
  <c r="BB22" i="4"/>
  <c r="BB35" i="4"/>
  <c r="BA35" i="4"/>
  <c r="BB21" i="4"/>
  <c r="BA21" i="4"/>
  <c r="BB48" i="5"/>
  <c r="BA48" i="5"/>
  <c r="AU10" i="6"/>
  <c r="Z10" i="6"/>
  <c r="AA10" i="6"/>
  <c r="AA8" i="4"/>
  <c r="AU8" i="4"/>
  <c r="BD8" i="4" s="1"/>
  <c r="AU48" i="6"/>
  <c r="Z48" i="6"/>
  <c r="AA48" i="6"/>
  <c r="BA10" i="5"/>
  <c r="BB10" i="5"/>
  <c r="AU9" i="5"/>
  <c r="Z9" i="5"/>
  <c r="AA9" i="5"/>
  <c r="Z8" i="4"/>
  <c r="BB10" i="4"/>
  <c r="BA10" i="4"/>
  <c r="BB48" i="4"/>
  <c r="BA48" i="4"/>
  <c r="T8" i="5"/>
  <c r="I8" i="5"/>
  <c r="H8" i="5"/>
  <c r="BA9" i="4"/>
  <c r="BB9" i="4"/>
  <c r="T9" i="6"/>
  <c r="I9" i="6"/>
  <c r="H9" i="6"/>
  <c r="B8" i="6"/>
  <c r="I8" i="4"/>
  <c r="H8" i="4"/>
  <c r="BA52" i="6" l="1"/>
  <c r="BB52" i="6"/>
  <c r="BB32" i="6"/>
  <c r="BA32" i="6"/>
  <c r="BB27" i="6"/>
  <c r="BA27" i="6"/>
  <c r="BB44" i="6"/>
  <c r="BA44" i="6"/>
  <c r="BA45" i="6"/>
  <c r="BB45" i="6"/>
  <c r="BA50" i="6"/>
  <c r="BB50" i="6"/>
  <c r="BB30" i="6"/>
  <c r="BA30" i="6"/>
  <c r="BB29" i="6"/>
  <c r="BA29" i="6"/>
  <c r="BA43" i="6"/>
  <c r="BB43" i="6"/>
  <c r="BB17" i="6"/>
  <c r="BA17" i="6"/>
  <c r="BA19" i="6"/>
  <c r="BB19" i="6"/>
  <c r="BA14" i="6"/>
  <c r="BB14" i="6"/>
  <c r="BA35" i="6"/>
  <c r="BB35" i="6"/>
  <c r="BB41" i="6"/>
  <c r="BA41" i="6"/>
  <c r="BA54" i="6"/>
  <c r="BB54" i="6"/>
  <c r="BA51" i="6"/>
  <c r="BB51" i="6"/>
  <c r="BA39" i="6"/>
  <c r="BB39" i="6"/>
  <c r="BA21" i="6"/>
  <c r="BB21" i="6"/>
  <c r="BA18" i="6"/>
  <c r="BB18" i="6"/>
  <c r="BA42" i="6"/>
  <c r="BB42" i="6"/>
  <c r="BA56" i="6"/>
  <c r="BB56" i="6"/>
  <c r="BA31" i="6"/>
  <c r="BB31" i="6"/>
  <c r="BA37" i="6"/>
  <c r="BB37" i="6"/>
  <c r="BA47" i="6"/>
  <c r="BB47" i="6"/>
  <c r="BA24" i="6"/>
  <c r="BB24" i="6"/>
  <c r="BA38" i="6"/>
  <c r="BB38" i="6"/>
  <c r="BB16" i="6"/>
  <c r="BA16" i="6"/>
  <c r="BB33" i="6"/>
  <c r="BA33" i="6"/>
  <c r="BA49" i="5"/>
  <c r="BB49" i="5"/>
  <c r="BA36" i="6"/>
  <c r="BB36" i="6"/>
  <c r="BA13" i="6"/>
  <c r="BB13" i="6"/>
  <c r="BA46" i="6"/>
  <c r="BB46" i="6"/>
  <c r="BB23" i="6"/>
  <c r="BA23" i="6"/>
  <c r="AU49" i="6"/>
  <c r="AA49" i="6"/>
  <c r="Z49" i="6"/>
  <c r="BB11" i="6"/>
  <c r="BA11" i="6"/>
  <c r="BB22" i="6"/>
  <c r="BA22" i="6"/>
  <c r="BA34" i="6"/>
  <c r="BB34" i="6"/>
  <c r="BA15" i="6"/>
  <c r="BB15" i="6"/>
  <c r="BA53" i="6"/>
  <c r="BB53" i="6"/>
  <c r="BB20" i="6"/>
  <c r="BA20" i="6"/>
  <c r="BB26" i="6"/>
  <c r="BA26" i="6"/>
  <c r="BB40" i="6"/>
  <c r="BA40" i="6"/>
  <c r="BB55" i="6"/>
  <c r="BA55" i="6"/>
  <c r="BA25" i="6"/>
  <c r="BB25" i="6"/>
  <c r="BA28" i="6"/>
  <c r="BB28" i="6"/>
  <c r="BB12" i="6"/>
  <c r="BA12" i="6"/>
  <c r="BB48" i="6"/>
  <c r="BA48" i="6"/>
  <c r="BB8" i="4"/>
  <c r="BA8" i="4"/>
  <c r="BA10" i="6"/>
  <c r="BB10" i="6"/>
  <c r="AU9" i="6"/>
  <c r="Z9" i="6"/>
  <c r="AA9" i="6"/>
  <c r="I8" i="6"/>
  <c r="T8" i="6"/>
  <c r="H8" i="6"/>
  <c r="AU8" i="5"/>
  <c r="Z8" i="5"/>
  <c r="AA8" i="5"/>
  <c r="BA9" i="5"/>
  <c r="BB9" i="5"/>
  <c r="BB49" i="6" l="1"/>
  <c r="BA49" i="6"/>
  <c r="BB8" i="5"/>
  <c r="BA8" i="5"/>
  <c r="AU8" i="6"/>
  <c r="Z8" i="6"/>
  <c r="AA8" i="6"/>
  <c r="BB9" i="6"/>
  <c r="BA9" i="6"/>
  <c r="BA8" i="6" l="1"/>
  <c r="BB8" i="6"/>
  <c r="BF29" i="1" l="1"/>
  <c r="BF14" i="1"/>
  <c r="BF51" i="1"/>
  <c r="BF19" i="1"/>
  <c r="BF50" i="1"/>
  <c r="BF46" i="1"/>
  <c r="BF33" i="1"/>
  <c r="BF25" i="1"/>
  <c r="BF20" i="1"/>
  <c r="BF12" i="1"/>
  <c r="BF22" i="1"/>
  <c r="BF11" i="1"/>
  <c r="BF18" i="1"/>
  <c r="BF16" i="1"/>
  <c r="BF54" i="1"/>
  <c r="BF10" i="1"/>
  <c r="BF52" i="1"/>
  <c r="BF48" i="1"/>
  <c r="BF40" i="1"/>
  <c r="BF26" i="1"/>
  <c r="BF47" i="1"/>
  <c r="BF43" i="1"/>
  <c r="BF36" i="1"/>
  <c r="BF30" i="1"/>
  <c r="BF55" i="1"/>
  <c r="BF23" i="1"/>
  <c r="BF13" i="1"/>
  <c r="BF17" i="1"/>
  <c r="BF21" i="1"/>
  <c r="BF56" i="1"/>
  <c r="BF44" i="1"/>
  <c r="BF34" i="1"/>
  <c r="BF45" i="1"/>
  <c r="BF32" i="1"/>
  <c r="BF42" i="1"/>
  <c r="BF53" i="1"/>
  <c r="BF38" i="1"/>
  <c r="BF24" i="1"/>
  <c r="BF15" i="1"/>
  <c r="BF31" i="1"/>
  <c r="BF35" i="1" l="1"/>
  <c r="BF37" i="1"/>
  <c r="BF49" i="1"/>
  <c r="BF41" i="1"/>
  <c r="BF39" i="1"/>
  <c r="BF27" i="1"/>
  <c r="BF9" i="1" l="1"/>
  <c r="BF8" i="1" l="1"/>
  <c r="BF15" i="4" l="1"/>
  <c r="BF14" i="4"/>
  <c r="BF45" i="4" l="1"/>
  <c r="BF36" i="4"/>
  <c r="BF12" i="4"/>
  <c r="BF30" i="4"/>
  <c r="BF28" i="4"/>
  <c r="BF22" i="4"/>
  <c r="BF44" i="4"/>
  <c r="BF48" i="4"/>
  <c r="BF54" i="4"/>
  <c r="BF13" i="4"/>
  <c r="BF34" i="4"/>
  <c r="BF56" i="4"/>
  <c r="BF16" i="4"/>
  <c r="BF23" i="4"/>
  <c r="BF31" i="4"/>
  <c r="BF19" i="4"/>
  <c r="BF37" i="4"/>
  <c r="BF47" i="4"/>
  <c r="BF35" i="4"/>
  <c r="BF53" i="4"/>
  <c r="BF21" i="4"/>
  <c r="BF50" i="4"/>
  <c r="BF33" i="4"/>
  <c r="BF46" i="4"/>
  <c r="BF52" i="4"/>
  <c r="BF11" i="4"/>
  <c r="BF24" i="4"/>
  <c r="BF39" i="4"/>
  <c r="BF18" i="4"/>
  <c r="BF27" i="4"/>
  <c r="BF43" i="4"/>
  <c r="BF32" i="4"/>
  <c r="BF40" i="4"/>
  <c r="BF10" i="4"/>
  <c r="BF42" i="4"/>
  <c r="BF29" i="4"/>
  <c r="BF51" i="4"/>
  <c r="BF55" i="4"/>
  <c r="BF20" i="4"/>
  <c r="BF38" i="4"/>
  <c r="BF17" i="4"/>
  <c r="BF26" i="4"/>
  <c r="BF41" i="4"/>
  <c r="BF25" i="4"/>
  <c r="BF49" i="4" l="1"/>
  <c r="BF9" i="4"/>
  <c r="BF8" i="4" l="1"/>
</calcChain>
</file>

<file path=xl/sharedStrings.xml><?xml version="1.0" encoding="utf-8"?>
<sst xmlns="http://schemas.openxmlformats.org/spreadsheetml/2006/main" count="732" uniqueCount="97">
  <si>
    <r>
      <t>FIRE STATISTICS TABLE 1121: Staff joining fire authorities (headcount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>), by fire and rescue authority, ethnicity and role in 2016/17</t>
    </r>
  </si>
  <si>
    <t>Wholetime</t>
  </si>
  <si>
    <t>Total Firefighters</t>
  </si>
  <si>
    <t>Fire Control</t>
  </si>
  <si>
    <t>Support Staff</t>
  </si>
  <si>
    <t>Total Staff</t>
  </si>
  <si>
    <t>FRA</t>
  </si>
  <si>
    <t>White</t>
  </si>
  <si>
    <t>Mixed</t>
  </si>
  <si>
    <t>Asian or Asian British</t>
  </si>
  <si>
    <t>Black or Black British</t>
  </si>
  <si>
    <t>Chinese or Other Ethnicity</t>
  </si>
  <si>
    <t>Ethnic origin Not Stated</t>
  </si>
  <si>
    <t>% from an ethnic minority</t>
  </si>
  <si>
    <t>% not stated</t>
  </si>
  <si>
    <t>England</t>
  </si>
  <si>
    <t>Non Metropolitan fire and rescue authorities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</si>
  <si>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</si>
  <si>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</si>
  <si>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</si>
  <si>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</si>
  <si>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</si>
  <si>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</si>
  <si>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</si>
  <si>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</si>
  <si>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</si>
  <si>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</si>
  <si>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</si>
  <si>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 and Wiltshire</t>
  </si>
  <si>
    <t>Durham</t>
  </si>
  <si>
    <t>East Sussex</t>
  </si>
  <si>
    <t>Essex</t>
  </si>
  <si>
    <t>Gloucestershire</t>
  </si>
  <si>
    <t>Hampshire</t>
  </si>
  <si>
    <t>Hereford and Worcester</t>
  </si>
  <si>
    <t>Hertfordshire</t>
  </si>
  <si>
    <t>Humberside</t>
  </si>
  <si>
    <t>Isle Of Wight</t>
  </si>
  <si>
    <t>Kent</t>
  </si>
  <si>
    <t>Lancashire</t>
  </si>
  <si>
    <t>Leicestershire</t>
  </si>
  <si>
    <t>Lincolnshire</t>
  </si>
  <si>
    <t>Norfolk</t>
  </si>
  <si>
    <t>North West Fire Control</t>
  </si>
  <si>
    <t>North Yorkshire</t>
  </si>
  <si>
    <t>Northamptonshire</t>
  </si>
  <si>
    <t>Northumberland</t>
  </si>
  <si>
    <t>Nottinghamshire</t>
  </si>
  <si>
    <t>Oxfordshire</t>
  </si>
  <si>
    <t>Shropshire</t>
  </si>
  <si>
    <t>Staffordshire</t>
  </si>
  <si>
    <t>Suffolk</t>
  </si>
  <si>
    <t>Surrey</t>
  </si>
  <si>
    <t>Warwickshire</t>
  </si>
  <si>
    <t>West Sussex</t>
  </si>
  <si>
    <t>Isles of Scilly</t>
  </si>
  <si>
    <t>Metropolitan fire and rescue authorities</t>
  </si>
  <si>
    <t>Greater Manchester</t>
  </si>
  <si>
    <t>Merseyside</t>
  </si>
  <si>
    <t>South Yorkshire</t>
  </si>
  <si>
    <t>Tyne and Wear</t>
  </si>
  <si>
    <t>West Midlands</t>
  </si>
  <si>
    <t>West Yorkshire</t>
  </si>
  <si>
    <t>Greater London</t>
  </si>
  <si>
    <t>1 The total number of employees</t>
  </si>
  <si>
    <t>Notes</t>
  </si>
  <si>
    <t>The figures for 2016/17 were collected on a voluntary basis. Those eight FRSs with 0 new staff could be due to 0 new staff being recruited or due to the data being unavailable.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</si>
  <si>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</si>
  <si>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</si>
  <si>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</si>
  <si>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Authorities.</t>
  </si>
  <si>
    <t>Updated alongside Fire and rescue workforce and pensions statistics</t>
  </si>
  <si>
    <t>Contact: FireStatistics@homeoffice.gsi.gov.uk</t>
  </si>
  <si>
    <t>Next Update: Autumn 2018</t>
  </si>
  <si>
    <t>-</t>
  </si>
  <si>
    <r>
      <t xml:space="preserve">Retained Duty System </t>
    </r>
    <r>
      <rPr>
        <vertAlign val="superscript"/>
        <sz val="11"/>
        <color theme="1"/>
        <rFont val="Calibri"/>
        <family val="2"/>
        <scheme val="minor"/>
      </rPr>
      <t>2</t>
    </r>
  </si>
  <si>
    <t>2 Also known as "On-call firefighters"</t>
  </si>
  <si>
    <r>
      <t>FIRE STATISTICS TABLE 1121: Staff joining fire authorities (headcount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>), by fire and rescue authority, ethnicity and role in 2017/18</t>
    </r>
  </si>
  <si>
    <t xml:space="preserve">White British or Irish </t>
  </si>
  <si>
    <t>Any other white background</t>
  </si>
  <si>
    <t>Chinese</t>
  </si>
  <si>
    <t>Any other Minority Ethnic Background</t>
  </si>
  <si>
    <t>Ethnic origin
Not Stated</t>
  </si>
  <si>
    <t>On call</t>
  </si>
  <si>
    <t>Retained Duty System 2</t>
  </si>
  <si>
    <t>FIRE STATISTICS TABLE 1121: Staff joining fire authorities (headcount1), by fire and rescue authority, ethnicity and role in 2017/18</t>
  </si>
  <si>
    <r>
      <t>FIRE STATISTICS TABLE 1121: Staff joining fire authorities (headcount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>), by fire and rescue authority, ethnicity and role</t>
    </r>
  </si>
  <si>
    <t>Select a year from the drop-down list in the orange box below:</t>
  </si>
  <si>
    <t>2017-18</t>
  </si>
  <si>
    <t>2016-17</t>
  </si>
  <si>
    <t>2 Also known as "Retained Duty System firefighters"</t>
  </si>
  <si>
    <r>
      <t xml:space="preserve">On call firefighters </t>
    </r>
    <r>
      <rPr>
        <vertAlign val="superscript"/>
        <sz val="11"/>
        <color theme="1"/>
        <rFont val="Calibri"/>
        <family val="2"/>
        <scheme val="minor"/>
      </rPr>
      <t>2</t>
    </r>
  </si>
  <si>
    <t>Wholetime firefighters</t>
  </si>
  <si>
    <t>Fire Control Staff</t>
  </si>
  <si>
    <t>Next Update: Autumn 2019</t>
  </si>
  <si>
    <t>Contact: FireStatistics@homeoffice.gov.uk</t>
  </si>
  <si>
    <t>Source: Home Office Operational Statistics Data Collection, figures supplied by fire and rescue authorities.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</si>
</sst>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b/>
      <vertAlign val="superscript"/>
      <sz val="11"/>
      <color rgb="FFFFFFFF"/>
      <name val="Arial Black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name val="Arial Black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rgb="FFFF0000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3">
    <xf numFmtId="0" fontId="0" fillId="0" borderId="0" xfId="0"/>
    <xf numFmtId="0" fontId="0" fillId="3" borderId="0" xfId="0" applyFill="1" applyAlignment="1">
      <alignment wrapText="1"/>
    </xf>
    <xf numFmtId="0" fontId="0" fillId="4" borderId="0" xfId="0" applyFill="1" applyBorder="1"/>
    <xf numFmtId="0" fontId="0" fillId="3" borderId="0" xfId="0" applyFill="1" applyBorder="1"/>
    <xf numFmtId="0" fontId="0" fillId="4" borderId="0" xfId="0" applyFill="1"/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1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right" vertical="center" wrapText="1"/>
    </xf>
    <xf numFmtId="0" fontId="2" fillId="4" borderId="3" xfId="0" applyFont="1" applyFill="1" applyBorder="1"/>
    <xf numFmtId="3" fontId="2" fillId="3" borderId="3" xfId="0" applyNumberFormat="1" applyFont="1" applyFill="1" applyBorder="1" applyAlignment="1">
      <alignment horizontal="right"/>
    </xf>
    <xf numFmtId="9" fontId="2" fillId="3" borderId="3" xfId="1" applyFont="1" applyFill="1" applyBorder="1" applyAlignment="1">
      <alignment horizontal="right"/>
    </xf>
    <xf numFmtId="164" fontId="0" fillId="3" borderId="0" xfId="0" applyNumberFormat="1" applyFill="1"/>
    <xf numFmtId="1" fontId="0" fillId="3" borderId="0" xfId="0" applyNumberFormat="1" applyFill="1"/>
    <xf numFmtId="0" fontId="2" fillId="4" borderId="0" xfId="0" applyFont="1" applyFill="1" applyBorder="1"/>
    <xf numFmtId="3" fontId="2" fillId="3" borderId="0" xfId="0" applyNumberFormat="1" applyFont="1" applyFill="1" applyBorder="1" applyAlignment="1">
      <alignment horizontal="right"/>
    </xf>
    <xf numFmtId="9" fontId="2" fillId="3" borderId="0" xfId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9" fontId="1" fillId="3" borderId="0" xfId="1" applyFont="1" applyFill="1" applyBorder="1" applyAlignment="1">
      <alignment horizontal="right"/>
    </xf>
    <xf numFmtId="3" fontId="0" fillId="4" borderId="0" xfId="0" applyNumberFormat="1" applyFill="1" applyBorder="1"/>
    <xf numFmtId="0" fontId="0" fillId="4" borderId="1" xfId="0" applyFill="1" applyBorder="1"/>
    <xf numFmtId="3" fontId="0" fillId="3" borderId="1" xfId="0" applyNumberFormat="1" applyFont="1" applyFill="1" applyBorder="1" applyAlignment="1">
      <alignment horizontal="right"/>
    </xf>
    <xf numFmtId="9" fontId="1" fillId="3" borderId="1" xfId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9" fontId="2" fillId="3" borderId="1" xfId="1" applyFont="1" applyFill="1" applyBorder="1" applyAlignment="1">
      <alignment horizontal="right"/>
    </xf>
    <xf numFmtId="0" fontId="0" fillId="4" borderId="0" xfId="0" applyFill="1" applyAlignment="1">
      <alignment horizontal="left" wrapText="1"/>
    </xf>
    <xf numFmtId="0" fontId="7" fillId="4" borderId="0" xfId="0" applyFont="1" applyFill="1"/>
    <xf numFmtId="0" fontId="0" fillId="4" borderId="0" xfId="0" applyFill="1" applyAlignment="1">
      <alignment wrapText="1"/>
    </xf>
    <xf numFmtId="0" fontId="8" fillId="4" borderId="0" xfId="2" applyFont="1" applyFill="1"/>
    <xf numFmtId="0" fontId="0" fillId="4" borderId="0" xfId="0" applyFill="1" applyAlignment="1">
      <alignment horizontal="right"/>
    </xf>
    <xf numFmtId="0" fontId="8" fillId="4" borderId="0" xfId="2" applyFill="1" applyAlignment="1">
      <alignment horizontal="right"/>
    </xf>
    <xf numFmtId="0" fontId="0" fillId="4" borderId="0" xfId="0" applyFill="1" applyAlignment="1">
      <alignment horizontal="left"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3" fontId="0" fillId="4" borderId="0" xfId="0" applyNumberFormat="1" applyFill="1"/>
    <xf numFmtId="0" fontId="2" fillId="4" borderId="0" xfId="0" applyFont="1" applyFill="1"/>
    <xf numFmtId="0" fontId="3" fillId="5" borderId="0" xfId="0" applyFont="1" applyFill="1" applyAlignment="1">
      <alignment horizontal="left" wrapText="1"/>
    </xf>
    <xf numFmtId="0" fontId="5" fillId="4" borderId="3" xfId="0" applyFont="1" applyFill="1" applyBorder="1" applyAlignment="1">
      <alignment horizontal="center" vertical="center" wrapText="1"/>
    </xf>
    <xf numFmtId="9" fontId="5" fillId="3" borderId="0" xfId="1" applyFont="1" applyFill="1" applyBorder="1" applyAlignment="1">
      <alignment horizontal="right"/>
    </xf>
    <xf numFmtId="0" fontId="0" fillId="4" borderId="3" xfId="0" applyFill="1" applyBorder="1"/>
    <xf numFmtId="0" fontId="0" fillId="4" borderId="0" xfId="0" applyFill="1" applyBorder="1" applyAlignment="1">
      <alignment horizontal="left" wrapText="1"/>
    </xf>
    <xf numFmtId="0" fontId="7" fillId="4" borderId="0" xfId="0" applyFont="1" applyFill="1" applyBorder="1"/>
    <xf numFmtId="0" fontId="0" fillId="4" borderId="0" xfId="0" applyFill="1" applyBorder="1" applyAlignment="1">
      <alignment wrapText="1"/>
    </xf>
    <xf numFmtId="0" fontId="8" fillId="4" borderId="0" xfId="2" applyFont="1" applyFill="1" applyBorder="1"/>
    <xf numFmtId="0" fontId="0" fillId="4" borderId="0" xfId="0" applyFill="1" applyBorder="1" applyAlignment="1">
      <alignment horizontal="right"/>
    </xf>
    <xf numFmtId="1" fontId="11" fillId="3" borderId="0" xfId="0" applyNumberFormat="1" applyFont="1" applyFill="1"/>
    <xf numFmtId="0" fontId="0" fillId="8" borderId="0" xfId="0" applyFill="1" applyBorder="1"/>
    <xf numFmtId="3" fontId="0" fillId="8" borderId="0" xfId="0" applyNumberFormat="1" applyFont="1" applyFill="1" applyBorder="1" applyAlignment="1">
      <alignment horizontal="right"/>
    </xf>
    <xf numFmtId="9" fontId="1" fillId="8" borderId="0" xfId="1" applyFont="1" applyFill="1" applyBorder="1" applyAlignment="1">
      <alignment horizontal="right"/>
    </xf>
    <xf numFmtId="3" fontId="2" fillId="8" borderId="3" xfId="0" applyNumberFormat="1" applyFont="1" applyFill="1" applyBorder="1" applyAlignment="1">
      <alignment horizontal="right"/>
    </xf>
    <xf numFmtId="9" fontId="2" fillId="8" borderId="0" xfId="1" applyFont="1" applyFill="1" applyBorder="1" applyAlignment="1">
      <alignment horizontal="right"/>
    </xf>
    <xf numFmtId="164" fontId="0" fillId="8" borderId="0" xfId="0" applyNumberFormat="1" applyFill="1"/>
    <xf numFmtId="1" fontId="0" fillId="8" borderId="0" xfId="0" applyNumberFormat="1" applyFill="1"/>
    <xf numFmtId="1" fontId="11" fillId="8" borderId="0" xfId="0" applyNumberFormat="1" applyFont="1" applyFill="1"/>
    <xf numFmtId="0" fontId="0" fillId="8" borderId="0" xfId="0" applyFill="1"/>
    <xf numFmtId="0" fontId="0" fillId="3" borderId="0" xfId="0" applyFill="1" applyBorder="1"/>
    <xf numFmtId="164" fontId="0" fillId="3" borderId="0" xfId="0" applyNumberFormat="1" applyFill="1"/>
    <xf numFmtId="3" fontId="2" fillId="3" borderId="0" xfId="0" applyNumberFormat="1" applyFont="1" applyFill="1" applyBorder="1" applyAlignment="1">
      <alignment horizontal="right"/>
    </xf>
    <xf numFmtId="9" fontId="2" fillId="3" borderId="0" xfId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9" fontId="1" fillId="3" borderId="0" xfId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0" fontId="8" fillId="4" borderId="0" xfId="2" applyFill="1"/>
    <xf numFmtId="0" fontId="8" fillId="3" borderId="0" xfId="2" applyFill="1" applyAlignment="1">
      <alignment horizontal="right"/>
    </xf>
    <xf numFmtId="0" fontId="0" fillId="3" borderId="0" xfId="0" applyFill="1" applyAlignment="1">
      <alignment horizontal="right"/>
    </xf>
    <xf numFmtId="9" fontId="6" fillId="3" borderId="0" xfId="1" applyFont="1" applyFill="1" applyBorder="1" applyAlignment="1">
      <alignment horizontal="right"/>
    </xf>
    <xf numFmtId="9" fontId="6" fillId="3" borderId="0" xfId="1" applyNumberFormat="1" applyFont="1" applyFill="1" applyBorder="1" applyAlignment="1">
      <alignment horizontal="right"/>
    </xf>
    <xf numFmtId="164" fontId="2" fillId="3" borderId="0" xfId="0" applyNumberFormat="1" applyFont="1" applyFill="1"/>
    <xf numFmtId="0" fontId="2" fillId="3" borderId="0" xfId="0" applyFont="1" applyFill="1"/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wrapText="1"/>
    </xf>
    <xf numFmtId="0" fontId="0" fillId="4" borderId="0" xfId="0" applyFill="1" applyBorder="1" applyAlignment="1">
      <alignment horizontal="left" wrapText="1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center"/>
    </xf>
  </cellXfs>
  <cellStyles count="3">
    <cellStyle name="Hyperlink" xfId="2" xr:uid="{00000000-0005-0000-0000-000000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ire-and-rescue-workforce-and-pensions-statistics-england-april-2016-to-march-2017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ire-and-rescue-workforce-and-pensions-statistics-england-april-2016-to-march-2017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70"/>
  <sheetViews>
    <sheetView topLeftCell="AJ1" workbookViewId="0">
      <pane ySplit="8" topLeftCell="A9" activePane="bottomLeft" state="frozen"/>
      <selection activeCell="AU8" sqref="AU8"/>
      <selection pane="bottomLeft" activeCell="AU8" sqref="AU8"/>
    </sheetView>
  </sheetViews>
  <sheetFormatPr defaultColWidth="9.1796875" defaultRowHeight="14.5" x14ac:dyDescent="0.35"/>
  <cols>
    <col min="1" max="1" width="50.7265625" style="4" customWidth="1"/>
    <col min="2" max="9" width="8.7265625" style="4" customWidth="1"/>
    <col min="10" max="10" width="2.7265625" style="4" customWidth="1"/>
    <col min="11" max="18" width="8.7265625" style="4" customWidth="1"/>
    <col min="19" max="19" width="2.7265625" style="4" customWidth="1"/>
    <col min="20" max="27" width="8.7265625" style="4" customWidth="1"/>
    <col min="28" max="28" width="2.7265625" style="4" customWidth="1"/>
    <col min="29" max="36" width="8.7265625" style="4" customWidth="1"/>
    <col min="37" max="37" width="2.7265625" style="4" customWidth="1"/>
    <col min="38" max="45" width="8.7265625" style="4" customWidth="1"/>
    <col min="46" max="46" width="2.7265625" style="4" customWidth="1"/>
    <col min="47" max="54" width="8.7265625" style="4" customWidth="1"/>
    <col min="55" max="16384" width="9.1796875" style="4"/>
  </cols>
  <sheetData>
    <row r="1" spans="1:64" s="1" customFormat="1" ht="23.25" customHeight="1" x14ac:dyDescent="0.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</row>
    <row r="2" spans="1:64" s="1" customFormat="1" ht="23.25" customHeight="1" x14ac:dyDescent="0.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64" s="1" customFormat="1" ht="23.25" customHeight="1" x14ac:dyDescent="0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64" s="1" customFormat="1" ht="23.25" customHeight="1" x14ac:dyDescent="0.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</row>
    <row r="5" spans="1:64" s="3" customFormat="1" x14ac:dyDescent="0.35">
      <c r="A5" s="2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</row>
    <row r="6" spans="1:64" s="8" customFormat="1" ht="15.75" customHeight="1" thickBot="1" x14ac:dyDescent="0.4">
      <c r="A6" s="4"/>
      <c r="B6" s="85" t="s">
        <v>1</v>
      </c>
      <c r="C6" s="85"/>
      <c r="D6" s="85"/>
      <c r="E6" s="85"/>
      <c r="F6" s="85"/>
      <c r="G6" s="85"/>
      <c r="H6" s="85"/>
      <c r="I6" s="5"/>
      <c r="J6" s="6"/>
      <c r="K6" s="87" t="s">
        <v>75</v>
      </c>
      <c r="L6" s="87"/>
      <c r="M6" s="87"/>
      <c r="N6" s="87"/>
      <c r="O6" s="87"/>
      <c r="P6" s="87"/>
      <c r="Q6" s="87"/>
      <c r="R6" s="87"/>
      <c r="S6" s="6"/>
      <c r="T6" s="86" t="s">
        <v>2</v>
      </c>
      <c r="U6" s="86"/>
      <c r="V6" s="86"/>
      <c r="W6" s="86"/>
      <c r="X6" s="86"/>
      <c r="Y6" s="86"/>
      <c r="Z6" s="86"/>
      <c r="AA6" s="7"/>
      <c r="AB6" s="6"/>
      <c r="AC6" s="87" t="s">
        <v>3</v>
      </c>
      <c r="AD6" s="87"/>
      <c r="AE6" s="87"/>
      <c r="AF6" s="87"/>
      <c r="AG6" s="87"/>
      <c r="AH6" s="87"/>
      <c r="AI6" s="87"/>
      <c r="AJ6" s="5"/>
      <c r="AK6" s="6"/>
      <c r="AL6" s="87" t="s">
        <v>4</v>
      </c>
      <c r="AM6" s="87"/>
      <c r="AN6" s="87"/>
      <c r="AO6" s="87"/>
      <c r="AP6" s="87"/>
      <c r="AQ6" s="87"/>
      <c r="AR6" s="87"/>
      <c r="AS6" s="5"/>
      <c r="AT6" s="6"/>
      <c r="AU6" s="86" t="s">
        <v>5</v>
      </c>
      <c r="AV6" s="86"/>
      <c r="AW6" s="86"/>
      <c r="AX6" s="86"/>
      <c r="AY6" s="86"/>
      <c r="AZ6" s="86"/>
      <c r="BA6" s="86"/>
      <c r="BB6" s="86"/>
    </row>
    <row r="7" spans="1:64" s="15" customFormat="1" ht="58.5" thickBot="1" x14ac:dyDescent="0.4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 t="s">
        <v>13</v>
      </c>
      <c r="I7" s="11" t="s">
        <v>14</v>
      </c>
      <c r="J7" s="12"/>
      <c r="K7" s="10" t="s">
        <v>7</v>
      </c>
      <c r="L7" s="10" t="s">
        <v>8</v>
      </c>
      <c r="M7" s="10" t="s">
        <v>9</v>
      </c>
      <c r="N7" s="10" t="s">
        <v>10</v>
      </c>
      <c r="O7" s="10" t="s">
        <v>11</v>
      </c>
      <c r="P7" s="10" t="s">
        <v>12</v>
      </c>
      <c r="Q7" s="11" t="s">
        <v>13</v>
      </c>
      <c r="R7" s="11" t="s">
        <v>14</v>
      </c>
      <c r="S7" s="12"/>
      <c r="T7" s="13" t="s">
        <v>7</v>
      </c>
      <c r="U7" s="13" t="s">
        <v>8</v>
      </c>
      <c r="V7" s="13" t="s">
        <v>9</v>
      </c>
      <c r="W7" s="13" t="s">
        <v>10</v>
      </c>
      <c r="X7" s="13" t="s">
        <v>11</v>
      </c>
      <c r="Y7" s="13" t="s">
        <v>12</v>
      </c>
      <c r="Z7" s="14" t="s">
        <v>13</v>
      </c>
      <c r="AA7" s="14" t="s">
        <v>14</v>
      </c>
      <c r="AB7" s="12"/>
      <c r="AC7" s="10" t="s">
        <v>7</v>
      </c>
      <c r="AD7" s="10" t="s">
        <v>8</v>
      </c>
      <c r="AE7" s="10" t="s">
        <v>9</v>
      </c>
      <c r="AF7" s="10" t="s">
        <v>10</v>
      </c>
      <c r="AG7" s="10" t="s">
        <v>11</v>
      </c>
      <c r="AH7" s="10" t="s">
        <v>12</v>
      </c>
      <c r="AI7" s="11" t="s">
        <v>13</v>
      </c>
      <c r="AJ7" s="11" t="s">
        <v>14</v>
      </c>
      <c r="AK7" s="12"/>
      <c r="AL7" s="10" t="s">
        <v>7</v>
      </c>
      <c r="AM7" s="10" t="s">
        <v>8</v>
      </c>
      <c r="AN7" s="10" t="s">
        <v>9</v>
      </c>
      <c r="AO7" s="10" t="s">
        <v>10</v>
      </c>
      <c r="AP7" s="10" t="s">
        <v>11</v>
      </c>
      <c r="AQ7" s="10" t="s">
        <v>12</v>
      </c>
      <c r="AR7" s="11" t="s">
        <v>13</v>
      </c>
      <c r="AS7" s="11" t="s">
        <v>14</v>
      </c>
      <c r="AT7" s="12"/>
      <c r="AU7" s="13" t="s">
        <v>7</v>
      </c>
      <c r="AV7" s="13" t="s">
        <v>8</v>
      </c>
      <c r="AW7" s="13" t="s">
        <v>9</v>
      </c>
      <c r="AX7" s="13" t="s">
        <v>10</v>
      </c>
      <c r="AY7" s="13" t="s">
        <v>11</v>
      </c>
      <c r="AZ7" s="13" t="s">
        <v>12</v>
      </c>
      <c r="BA7" s="14" t="s">
        <v>13</v>
      </c>
      <c r="BB7" s="14" t="s">
        <v>14</v>
      </c>
    </row>
    <row r="8" spans="1:64" s="8" customFormat="1" ht="15" customHeight="1" thickBot="1" x14ac:dyDescent="0.4">
      <c r="A8" s="16" t="s">
        <v>15</v>
      </c>
      <c r="B8" s="17">
        <f>B9+B49</f>
        <v>345</v>
      </c>
      <c r="C8" s="70">
        <f t="shared" ref="C8:G8" si="0">C9+C49</f>
        <v>17</v>
      </c>
      <c r="D8" s="70">
        <f t="shared" si="0"/>
        <v>2</v>
      </c>
      <c r="E8" s="70">
        <f t="shared" si="0"/>
        <v>11</v>
      </c>
      <c r="F8" s="70">
        <f t="shared" si="0"/>
        <v>2</v>
      </c>
      <c r="G8" s="70">
        <f t="shared" si="0"/>
        <v>99</v>
      </c>
      <c r="H8" s="18">
        <v>8.5106382978723402E-2</v>
      </c>
      <c r="I8" s="18">
        <v>0.20338983050847459</v>
      </c>
      <c r="J8" s="17"/>
      <c r="K8" s="70">
        <f t="shared" ref="K8" si="1">K9+K49</f>
        <v>706</v>
      </c>
      <c r="L8" s="70">
        <f t="shared" ref="L8" si="2">L9+L49</f>
        <v>7</v>
      </c>
      <c r="M8" s="70">
        <f t="shared" ref="M8" si="3">M9+M49</f>
        <v>2</v>
      </c>
      <c r="N8" s="70">
        <f t="shared" ref="N8" si="4">N9+N49</f>
        <v>9</v>
      </c>
      <c r="O8" s="70">
        <f t="shared" ref="O8" si="5">O9+O49</f>
        <v>6</v>
      </c>
      <c r="P8" s="70">
        <f t="shared" ref="P8" si="6">P9+P49</f>
        <v>278</v>
      </c>
      <c r="Q8" s="18">
        <v>3.292181069958848E-2</v>
      </c>
      <c r="R8" s="18">
        <v>0.2767857142857143</v>
      </c>
      <c r="S8" s="17"/>
      <c r="T8" s="70">
        <f t="shared" ref="T8" si="7">T9+T49</f>
        <v>1051</v>
      </c>
      <c r="U8" s="70">
        <f t="shared" ref="U8" si="8">U9+U49</f>
        <v>24</v>
      </c>
      <c r="V8" s="70">
        <f t="shared" ref="V8" si="9">V9+V49</f>
        <v>4</v>
      </c>
      <c r="W8" s="70">
        <f t="shared" ref="W8" si="10">W9+W49</f>
        <v>20</v>
      </c>
      <c r="X8" s="70">
        <f t="shared" ref="X8" si="11">X9+X49</f>
        <v>8</v>
      </c>
      <c r="Y8" s="70">
        <f t="shared" ref="Y8" si="12">Y9+Y49</f>
        <v>377</v>
      </c>
      <c r="Z8" s="18">
        <v>5.0678733031674202E-2</v>
      </c>
      <c r="AA8" s="18">
        <v>0.2533783783783784</v>
      </c>
      <c r="AB8" s="17"/>
      <c r="AC8" s="70">
        <f t="shared" ref="AC8" si="13">AC9+AC49</f>
        <v>46</v>
      </c>
      <c r="AD8" s="70">
        <f t="shared" ref="AD8" si="14">AD9+AD49</f>
        <v>1</v>
      </c>
      <c r="AE8" s="70">
        <f t="shared" ref="AE8" si="15">AE9+AE49</f>
        <v>0</v>
      </c>
      <c r="AF8" s="70">
        <f t="shared" ref="AF8" si="16">AF9+AF49</f>
        <v>2</v>
      </c>
      <c r="AG8" s="70">
        <f t="shared" ref="AG8" si="17">AG9+AG49</f>
        <v>1</v>
      </c>
      <c r="AH8" s="70">
        <f t="shared" ref="AH8" si="18">AH9+AH49</f>
        <v>11</v>
      </c>
      <c r="AI8" s="18">
        <v>8.1632653061224483E-2</v>
      </c>
      <c r="AJ8" s="18">
        <v>0.19672131147540983</v>
      </c>
      <c r="AK8" s="17"/>
      <c r="AL8" s="70">
        <f t="shared" ref="AL8" si="19">AL9+AL49</f>
        <v>546</v>
      </c>
      <c r="AM8" s="70">
        <f t="shared" ref="AM8" si="20">AM9+AM49</f>
        <v>8</v>
      </c>
      <c r="AN8" s="70">
        <f t="shared" ref="AN8" si="21">AN9+AN49</f>
        <v>13</v>
      </c>
      <c r="AO8" s="70">
        <f t="shared" ref="AO8" si="22">AO9+AO49</f>
        <v>13</v>
      </c>
      <c r="AP8" s="70">
        <f t="shared" ref="AP8" si="23">AP9+AP49</f>
        <v>14</v>
      </c>
      <c r="AQ8" s="70">
        <f t="shared" ref="AQ8" si="24">AQ9+AQ49</f>
        <v>123</v>
      </c>
      <c r="AR8" s="18">
        <v>8.2630691399662726E-2</v>
      </c>
      <c r="AS8" s="18">
        <v>0.17524339360222532</v>
      </c>
      <c r="AT8" s="17"/>
      <c r="AU8" s="17">
        <f>AL8+AC8+T8</f>
        <v>1643</v>
      </c>
      <c r="AV8" s="17">
        <f t="shared" ref="AV8:AZ8" si="25">AM8+AD8+U8</f>
        <v>33</v>
      </c>
      <c r="AW8" s="17">
        <f t="shared" si="25"/>
        <v>17</v>
      </c>
      <c r="AX8" s="17">
        <f t="shared" si="25"/>
        <v>35</v>
      </c>
      <c r="AY8" s="17">
        <f t="shared" si="25"/>
        <v>23</v>
      </c>
      <c r="AZ8" s="17">
        <f t="shared" si="25"/>
        <v>511</v>
      </c>
      <c r="BA8" s="18">
        <v>6.2392673153978249E-2</v>
      </c>
      <c r="BB8" s="18">
        <v>0.22699115044247786</v>
      </c>
      <c r="BC8" s="19"/>
      <c r="BD8" s="20">
        <f>SUM(AU8:AZ8)</f>
        <v>2262</v>
      </c>
      <c r="BE8" s="20">
        <v>2262</v>
      </c>
      <c r="BF8" s="53">
        <f>BD8-BE8</f>
        <v>0</v>
      </c>
      <c r="BG8" s="19"/>
      <c r="BH8" s="19"/>
      <c r="BI8" s="19"/>
      <c r="BJ8" s="19"/>
      <c r="BK8" s="19"/>
      <c r="BL8" s="20"/>
    </row>
    <row r="9" spans="1:64" s="8" customFormat="1" ht="15" customHeight="1" thickBot="1" x14ac:dyDescent="0.4">
      <c r="A9" s="21" t="s">
        <v>16</v>
      </c>
      <c r="B9" s="22">
        <f>SUM(B10:B48)</f>
        <v>226</v>
      </c>
      <c r="C9" s="71">
        <f t="shared" ref="C9:G9" si="26">SUM(C10:C48)</f>
        <v>1</v>
      </c>
      <c r="D9" s="71">
        <f t="shared" si="26"/>
        <v>1</v>
      </c>
      <c r="E9" s="71">
        <f t="shared" si="26"/>
        <v>4</v>
      </c>
      <c r="F9" s="71">
        <f t="shared" si="26"/>
        <v>0</v>
      </c>
      <c r="G9" s="71">
        <f t="shared" si="26"/>
        <v>85</v>
      </c>
      <c r="H9" s="23">
        <v>2.5974025974025976E-2</v>
      </c>
      <c r="I9" s="23">
        <v>0.26198083067092653</v>
      </c>
      <c r="J9" s="22"/>
      <c r="K9" s="71">
        <f t="shared" ref="K9" si="27">SUM(K10:K48)</f>
        <v>691</v>
      </c>
      <c r="L9" s="71">
        <f t="shared" ref="L9" si="28">SUM(L10:L48)</f>
        <v>7</v>
      </c>
      <c r="M9" s="71">
        <f t="shared" ref="M9" si="29">SUM(M10:M48)</f>
        <v>1</v>
      </c>
      <c r="N9" s="71">
        <f t="shared" ref="N9" si="30">SUM(N10:N48)</f>
        <v>9</v>
      </c>
      <c r="O9" s="71">
        <f t="shared" ref="O9" si="31">SUM(O10:O48)</f>
        <v>6</v>
      </c>
      <c r="P9" s="71">
        <f t="shared" ref="P9" si="32">SUM(P10:P48)</f>
        <v>278</v>
      </c>
      <c r="Q9" s="23">
        <v>3.2258064516129031E-2</v>
      </c>
      <c r="R9" s="23">
        <v>0.28125</v>
      </c>
      <c r="S9" s="22"/>
      <c r="T9" s="71">
        <f t="shared" ref="T9" si="33">SUM(T10:T48)</f>
        <v>917</v>
      </c>
      <c r="U9" s="71">
        <f t="shared" ref="U9" si="34">SUM(U10:U48)</f>
        <v>8</v>
      </c>
      <c r="V9" s="71">
        <f t="shared" ref="V9" si="35">SUM(V10:V48)</f>
        <v>2</v>
      </c>
      <c r="W9" s="71">
        <f t="shared" ref="W9" si="36">SUM(W10:W48)</f>
        <v>13</v>
      </c>
      <c r="X9" s="71">
        <f t="shared" ref="X9" si="37">SUM(X10:X48)</f>
        <v>6</v>
      </c>
      <c r="Y9" s="71">
        <f t="shared" ref="Y9" si="38">SUM(Y10:Y48)</f>
        <v>363</v>
      </c>
      <c r="Z9" s="23">
        <v>3.0720338983050849E-2</v>
      </c>
      <c r="AA9" s="23">
        <v>0.27662835249042145</v>
      </c>
      <c r="AB9" s="22"/>
      <c r="AC9" s="71">
        <f t="shared" ref="AC9" si="39">SUM(AC10:AC48)</f>
        <v>25</v>
      </c>
      <c r="AD9" s="71">
        <f t="shared" ref="AD9" si="40">SUM(AD10:AD48)</f>
        <v>0</v>
      </c>
      <c r="AE9" s="71">
        <f t="shared" ref="AE9" si="41">SUM(AE10:AE48)</f>
        <v>0</v>
      </c>
      <c r="AF9" s="71">
        <f t="shared" ref="AF9" si="42">SUM(AF10:AF48)</f>
        <v>0</v>
      </c>
      <c r="AG9" s="71">
        <f t="shared" ref="AG9" si="43">SUM(AG10:AG48)</f>
        <v>1</v>
      </c>
      <c r="AH9" s="71">
        <f t="shared" ref="AH9" si="44">SUM(AH10:AH48)</f>
        <v>10</v>
      </c>
      <c r="AI9" s="23">
        <v>0.04</v>
      </c>
      <c r="AJ9" s="23">
        <v>0.30555555555555558</v>
      </c>
      <c r="AK9" s="22"/>
      <c r="AL9" s="71">
        <f t="shared" ref="AL9" si="45">SUM(AL10:AL48)</f>
        <v>391</v>
      </c>
      <c r="AM9" s="71">
        <f t="shared" ref="AM9" si="46">SUM(AM10:AM48)</f>
        <v>2</v>
      </c>
      <c r="AN9" s="71">
        <f t="shared" ref="AN9" si="47">SUM(AN10:AN48)</f>
        <v>6</v>
      </c>
      <c r="AO9" s="71">
        <f t="shared" ref="AO9" si="48">SUM(AO10:AO48)</f>
        <v>2</v>
      </c>
      <c r="AP9" s="71">
        <f t="shared" ref="AP9" si="49">SUM(AP10:AP48)</f>
        <v>11</v>
      </c>
      <c r="AQ9" s="71">
        <f t="shared" ref="AQ9" si="50">SUM(AQ10:AQ48)</f>
        <v>108</v>
      </c>
      <c r="AR9" s="23">
        <v>5.3527980535279802E-2</v>
      </c>
      <c r="AS9" s="23">
        <v>0.21264367816091953</v>
      </c>
      <c r="AT9" s="22"/>
      <c r="AU9" s="17">
        <f t="shared" ref="AU9:AU56" si="51">AL9+AC9+T9</f>
        <v>1333</v>
      </c>
      <c r="AV9" s="17">
        <f t="shared" ref="AV9:AV56" si="52">AM9+AD9+U9</f>
        <v>10</v>
      </c>
      <c r="AW9" s="17">
        <f t="shared" ref="AW9:AW56" si="53">AN9+AE9+V9</f>
        <v>8</v>
      </c>
      <c r="AX9" s="17">
        <f t="shared" ref="AX9:AX56" si="54">AO9+AF9+W9</f>
        <v>15</v>
      </c>
      <c r="AY9" s="17">
        <f t="shared" ref="AY9:AY56" si="55">AP9+AG9+X9</f>
        <v>18</v>
      </c>
      <c r="AZ9" s="17">
        <f t="shared" ref="AZ9:AZ56" si="56">AQ9+AH9+Y9</f>
        <v>481</v>
      </c>
      <c r="BA9" s="23">
        <v>3.7681159420289857E-2</v>
      </c>
      <c r="BB9" s="23">
        <v>0.25925925925925924</v>
      </c>
      <c r="BC9" s="19"/>
      <c r="BD9" s="20">
        <f t="shared" ref="BD9:BD56" si="57">SUM(AU9:AZ9)</f>
        <v>1865</v>
      </c>
      <c r="BE9" s="20">
        <v>1865</v>
      </c>
      <c r="BF9" s="53">
        <f t="shared" ref="BF9:BF56" si="58">BD9-BE9</f>
        <v>0</v>
      </c>
      <c r="BG9" s="19"/>
      <c r="BH9" s="19"/>
      <c r="BI9" s="19"/>
      <c r="BJ9" s="19"/>
      <c r="BK9" s="19"/>
    </row>
    <row r="10" spans="1:64" s="8" customFormat="1" ht="15" customHeight="1" thickBot="1" x14ac:dyDescent="0.4">
      <c r="A10" s="2" t="s">
        <v>17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5" t="s">
        <v>74</v>
      </c>
      <c r="I10" s="25" t="s">
        <v>74</v>
      </c>
      <c r="J10" s="24"/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5" t="s">
        <v>74</v>
      </c>
      <c r="R10" s="25" t="s">
        <v>74</v>
      </c>
      <c r="S10" s="24"/>
      <c r="T10" s="17">
        <f t="shared" ref="T10:T56" si="59">B10+K10</f>
        <v>0</v>
      </c>
      <c r="U10" s="17">
        <f t="shared" ref="U10:U56" si="60">C10+L10</f>
        <v>0</v>
      </c>
      <c r="V10" s="17">
        <f t="shared" ref="V10:V56" si="61">D10+M10</f>
        <v>0</v>
      </c>
      <c r="W10" s="17">
        <f t="shared" ref="W10:W56" si="62">E10+N10</f>
        <v>0</v>
      </c>
      <c r="X10" s="17">
        <f t="shared" ref="X10:X56" si="63">F10+O10</f>
        <v>0</v>
      </c>
      <c r="Y10" s="17">
        <f t="shared" ref="Y10:Y56" si="64">G10+P10</f>
        <v>0</v>
      </c>
      <c r="Z10" s="23" t="s">
        <v>74</v>
      </c>
      <c r="AA10" s="23" t="s">
        <v>74</v>
      </c>
      <c r="AB10" s="24"/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5" t="s">
        <v>74</v>
      </c>
      <c r="AJ10" s="25" t="s">
        <v>74</v>
      </c>
      <c r="AK10" s="24"/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5" t="s">
        <v>74</v>
      </c>
      <c r="AS10" s="25" t="s">
        <v>74</v>
      </c>
      <c r="AT10" s="24"/>
      <c r="AU10" s="17">
        <f t="shared" si="51"/>
        <v>0</v>
      </c>
      <c r="AV10" s="17">
        <f t="shared" si="52"/>
        <v>0</v>
      </c>
      <c r="AW10" s="17">
        <f t="shared" si="53"/>
        <v>0</v>
      </c>
      <c r="AX10" s="17">
        <f t="shared" si="54"/>
        <v>0</v>
      </c>
      <c r="AY10" s="17">
        <f t="shared" si="55"/>
        <v>0</v>
      </c>
      <c r="AZ10" s="17">
        <f t="shared" si="56"/>
        <v>0</v>
      </c>
      <c r="BA10" s="23" t="s">
        <v>74</v>
      </c>
      <c r="BB10" s="23" t="s">
        <v>74</v>
      </c>
      <c r="BC10" s="19"/>
      <c r="BD10" s="20">
        <f t="shared" si="57"/>
        <v>0</v>
      </c>
      <c r="BE10" s="20">
        <v>0</v>
      </c>
      <c r="BF10" s="53">
        <f t="shared" si="58"/>
        <v>0</v>
      </c>
      <c r="BG10" s="19"/>
      <c r="BH10" s="19"/>
      <c r="BI10" s="19"/>
      <c r="BJ10" s="19"/>
      <c r="BK10" s="19"/>
    </row>
    <row r="11" spans="1:64" s="8" customFormat="1" ht="15" customHeight="1" thickBot="1" x14ac:dyDescent="0.4">
      <c r="A11" s="2" t="s">
        <v>18</v>
      </c>
      <c r="B11" s="24">
        <v>18</v>
      </c>
      <c r="C11" s="24">
        <v>1</v>
      </c>
      <c r="D11" s="24">
        <v>0</v>
      </c>
      <c r="E11" s="24">
        <v>4</v>
      </c>
      <c r="F11" s="24">
        <v>0</v>
      </c>
      <c r="G11" s="24">
        <v>0</v>
      </c>
      <c r="H11" s="25">
        <v>0.21739130434782608</v>
      </c>
      <c r="I11" s="25">
        <v>0</v>
      </c>
      <c r="J11" s="24"/>
      <c r="K11" s="24">
        <v>18</v>
      </c>
      <c r="L11" s="24">
        <v>0</v>
      </c>
      <c r="M11" s="24">
        <v>0</v>
      </c>
      <c r="N11" s="24">
        <v>4</v>
      </c>
      <c r="O11" s="24">
        <v>0</v>
      </c>
      <c r="P11" s="24">
        <v>0</v>
      </c>
      <c r="Q11" s="25">
        <v>0.18181818181818182</v>
      </c>
      <c r="R11" s="25">
        <v>0</v>
      </c>
      <c r="S11" s="24"/>
      <c r="T11" s="17">
        <f t="shared" si="59"/>
        <v>36</v>
      </c>
      <c r="U11" s="17">
        <f t="shared" si="60"/>
        <v>1</v>
      </c>
      <c r="V11" s="17">
        <f t="shared" si="61"/>
        <v>0</v>
      </c>
      <c r="W11" s="17">
        <f t="shared" si="62"/>
        <v>8</v>
      </c>
      <c r="X11" s="17">
        <f t="shared" si="63"/>
        <v>0</v>
      </c>
      <c r="Y11" s="17">
        <f t="shared" si="64"/>
        <v>0</v>
      </c>
      <c r="Z11" s="23">
        <v>0.2</v>
      </c>
      <c r="AA11" s="23">
        <v>0</v>
      </c>
      <c r="AB11" s="24"/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5" t="s">
        <v>74</v>
      </c>
      <c r="AJ11" s="25" t="s">
        <v>74</v>
      </c>
      <c r="AK11" s="24"/>
      <c r="AL11" s="24">
        <v>10</v>
      </c>
      <c r="AM11" s="24">
        <v>0</v>
      </c>
      <c r="AN11" s="24">
        <v>1</v>
      </c>
      <c r="AO11" s="24">
        <v>1</v>
      </c>
      <c r="AP11" s="24">
        <v>0</v>
      </c>
      <c r="AQ11" s="24">
        <v>0</v>
      </c>
      <c r="AR11" s="25">
        <v>0.16666666666666666</v>
      </c>
      <c r="AS11" s="25">
        <v>0</v>
      </c>
      <c r="AT11" s="24"/>
      <c r="AU11" s="17">
        <f t="shared" si="51"/>
        <v>46</v>
      </c>
      <c r="AV11" s="17">
        <f t="shared" si="52"/>
        <v>1</v>
      </c>
      <c r="AW11" s="17">
        <f t="shared" si="53"/>
        <v>1</v>
      </c>
      <c r="AX11" s="17">
        <f t="shared" si="54"/>
        <v>9</v>
      </c>
      <c r="AY11" s="17">
        <f t="shared" si="55"/>
        <v>0</v>
      </c>
      <c r="AZ11" s="17">
        <f t="shared" si="56"/>
        <v>0</v>
      </c>
      <c r="BA11" s="23">
        <v>0.19298245614035087</v>
      </c>
      <c r="BB11" s="23">
        <v>0</v>
      </c>
      <c r="BC11" s="19"/>
      <c r="BD11" s="20">
        <f t="shared" si="57"/>
        <v>57</v>
      </c>
      <c r="BE11" s="20">
        <v>57</v>
      </c>
      <c r="BF11" s="53">
        <f t="shared" si="58"/>
        <v>0</v>
      </c>
      <c r="BG11" s="19"/>
      <c r="BH11" s="19"/>
      <c r="BI11" s="19"/>
      <c r="BJ11" s="19"/>
      <c r="BK11" s="19"/>
    </row>
    <row r="12" spans="1:64" s="8" customFormat="1" ht="15" customHeight="1" thickBot="1" x14ac:dyDescent="0.4">
      <c r="A12" s="2" t="s">
        <v>19</v>
      </c>
      <c r="B12" s="24">
        <v>7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5">
        <v>0</v>
      </c>
      <c r="I12" s="25">
        <v>0</v>
      </c>
      <c r="J12" s="24"/>
      <c r="K12" s="24">
        <v>8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5">
        <v>0</v>
      </c>
      <c r="R12" s="25">
        <v>0</v>
      </c>
      <c r="S12" s="24"/>
      <c r="T12" s="17">
        <f t="shared" si="59"/>
        <v>15</v>
      </c>
      <c r="U12" s="17">
        <f t="shared" si="60"/>
        <v>0</v>
      </c>
      <c r="V12" s="17">
        <f t="shared" si="61"/>
        <v>0</v>
      </c>
      <c r="W12" s="17">
        <f t="shared" si="62"/>
        <v>0</v>
      </c>
      <c r="X12" s="17">
        <f t="shared" si="63"/>
        <v>0</v>
      </c>
      <c r="Y12" s="17">
        <f t="shared" si="64"/>
        <v>0</v>
      </c>
      <c r="Z12" s="23">
        <v>0</v>
      </c>
      <c r="AA12" s="23">
        <v>0</v>
      </c>
      <c r="AB12" s="24"/>
      <c r="AC12" s="24">
        <v>3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5">
        <v>0</v>
      </c>
      <c r="AJ12" s="25">
        <v>0</v>
      </c>
      <c r="AK12" s="24"/>
      <c r="AL12" s="24">
        <v>19</v>
      </c>
      <c r="AM12" s="24">
        <v>0</v>
      </c>
      <c r="AN12" s="24">
        <v>1</v>
      </c>
      <c r="AO12" s="24">
        <v>1</v>
      </c>
      <c r="AP12" s="24">
        <v>0</v>
      </c>
      <c r="AQ12" s="24">
        <v>1</v>
      </c>
      <c r="AR12" s="25">
        <v>9.5238095238095233E-2</v>
      </c>
      <c r="AS12" s="25">
        <v>4.5454545454545456E-2</v>
      </c>
      <c r="AT12" s="24"/>
      <c r="AU12" s="17">
        <f t="shared" si="51"/>
        <v>37</v>
      </c>
      <c r="AV12" s="17">
        <f t="shared" si="52"/>
        <v>0</v>
      </c>
      <c r="AW12" s="17">
        <f t="shared" si="53"/>
        <v>1</v>
      </c>
      <c r="AX12" s="17">
        <f t="shared" si="54"/>
        <v>1</v>
      </c>
      <c r="AY12" s="17">
        <f t="shared" si="55"/>
        <v>0</v>
      </c>
      <c r="AZ12" s="17">
        <f t="shared" si="56"/>
        <v>1</v>
      </c>
      <c r="BA12" s="23">
        <v>5.128205128205128E-2</v>
      </c>
      <c r="BB12" s="23">
        <v>2.5000000000000001E-2</v>
      </c>
      <c r="BC12" s="19"/>
      <c r="BD12" s="20">
        <f t="shared" si="57"/>
        <v>40</v>
      </c>
      <c r="BE12" s="20">
        <v>40</v>
      </c>
      <c r="BF12" s="53">
        <f t="shared" si="58"/>
        <v>0</v>
      </c>
      <c r="BG12" s="19"/>
      <c r="BH12" s="19"/>
      <c r="BI12" s="19"/>
      <c r="BJ12" s="19"/>
      <c r="BK12" s="19"/>
    </row>
    <row r="13" spans="1:64" s="8" customFormat="1" ht="15" customHeight="1" thickBot="1" x14ac:dyDescent="0.4">
      <c r="A13" s="2" t="s">
        <v>20</v>
      </c>
      <c r="B13" s="24">
        <v>11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5">
        <v>0</v>
      </c>
      <c r="I13" s="25">
        <v>0</v>
      </c>
      <c r="J13" s="24"/>
      <c r="K13" s="24">
        <v>20</v>
      </c>
      <c r="L13" s="24">
        <v>0</v>
      </c>
      <c r="M13" s="24">
        <v>1</v>
      </c>
      <c r="N13" s="24">
        <v>0</v>
      </c>
      <c r="O13" s="24">
        <v>0</v>
      </c>
      <c r="P13" s="24">
        <v>0</v>
      </c>
      <c r="Q13" s="25">
        <v>4.7619047619047616E-2</v>
      </c>
      <c r="R13" s="25">
        <v>0</v>
      </c>
      <c r="S13" s="24"/>
      <c r="T13" s="17">
        <f t="shared" si="59"/>
        <v>31</v>
      </c>
      <c r="U13" s="17">
        <f t="shared" si="60"/>
        <v>0</v>
      </c>
      <c r="V13" s="17">
        <f t="shared" si="61"/>
        <v>1</v>
      </c>
      <c r="W13" s="17">
        <f t="shared" si="62"/>
        <v>0</v>
      </c>
      <c r="X13" s="17">
        <f t="shared" si="63"/>
        <v>0</v>
      </c>
      <c r="Y13" s="17">
        <f t="shared" si="64"/>
        <v>0</v>
      </c>
      <c r="Z13" s="23">
        <v>3.125E-2</v>
      </c>
      <c r="AA13" s="23">
        <v>0</v>
      </c>
      <c r="AB13" s="24"/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5" t="s">
        <v>74</v>
      </c>
      <c r="AJ13" s="25" t="s">
        <v>74</v>
      </c>
      <c r="AK13" s="24"/>
      <c r="AL13" s="24">
        <v>8</v>
      </c>
      <c r="AM13" s="24">
        <v>0</v>
      </c>
      <c r="AN13" s="24">
        <v>0</v>
      </c>
      <c r="AO13" s="24">
        <v>0</v>
      </c>
      <c r="AP13" s="24">
        <v>0</v>
      </c>
      <c r="AQ13" s="24">
        <v>1</v>
      </c>
      <c r="AR13" s="25">
        <v>0</v>
      </c>
      <c r="AS13" s="25">
        <v>0.1111111111111111</v>
      </c>
      <c r="AT13" s="24"/>
      <c r="AU13" s="17">
        <f t="shared" si="51"/>
        <v>39</v>
      </c>
      <c r="AV13" s="17">
        <f t="shared" si="52"/>
        <v>0</v>
      </c>
      <c r="AW13" s="17">
        <f t="shared" si="53"/>
        <v>1</v>
      </c>
      <c r="AX13" s="17">
        <f t="shared" si="54"/>
        <v>0</v>
      </c>
      <c r="AY13" s="17">
        <f t="shared" si="55"/>
        <v>0</v>
      </c>
      <c r="AZ13" s="17">
        <f t="shared" si="56"/>
        <v>1</v>
      </c>
      <c r="BA13" s="23">
        <v>2.5000000000000001E-2</v>
      </c>
      <c r="BB13" s="23">
        <v>2.4390243902439025E-2</v>
      </c>
      <c r="BC13" s="19"/>
      <c r="BD13" s="20">
        <f t="shared" si="57"/>
        <v>41</v>
      </c>
      <c r="BE13" s="20">
        <v>41</v>
      </c>
      <c r="BF13" s="53">
        <f t="shared" si="58"/>
        <v>0</v>
      </c>
      <c r="BG13" s="19"/>
      <c r="BH13" s="19"/>
      <c r="BI13" s="19"/>
      <c r="BJ13" s="19"/>
      <c r="BK13" s="19"/>
    </row>
    <row r="14" spans="1:64" s="8" customFormat="1" ht="15" customHeight="1" thickBot="1" x14ac:dyDescent="0.4">
      <c r="A14" s="2" t="s">
        <v>21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5" t="s">
        <v>74</v>
      </c>
      <c r="I14" s="25" t="s">
        <v>74</v>
      </c>
      <c r="J14" s="24"/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5" t="s">
        <v>74</v>
      </c>
      <c r="R14" s="25" t="s">
        <v>74</v>
      </c>
      <c r="S14" s="24"/>
      <c r="T14" s="17">
        <f t="shared" si="59"/>
        <v>0</v>
      </c>
      <c r="U14" s="17">
        <f t="shared" si="60"/>
        <v>0</v>
      </c>
      <c r="V14" s="17">
        <f t="shared" si="61"/>
        <v>0</v>
      </c>
      <c r="W14" s="17">
        <f t="shared" si="62"/>
        <v>0</v>
      </c>
      <c r="X14" s="17">
        <f t="shared" si="63"/>
        <v>0</v>
      </c>
      <c r="Y14" s="17">
        <f t="shared" si="64"/>
        <v>0</v>
      </c>
      <c r="Z14" s="23" t="s">
        <v>74</v>
      </c>
      <c r="AA14" s="23" t="s">
        <v>74</v>
      </c>
      <c r="AB14" s="24"/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5" t="s">
        <v>74</v>
      </c>
      <c r="AJ14" s="25" t="s">
        <v>74</v>
      </c>
      <c r="AK14" s="24"/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5" t="s">
        <v>74</v>
      </c>
      <c r="AS14" s="25" t="s">
        <v>74</v>
      </c>
      <c r="AT14" s="24"/>
      <c r="AU14" s="17">
        <f t="shared" si="51"/>
        <v>0</v>
      </c>
      <c r="AV14" s="17">
        <f t="shared" si="52"/>
        <v>0</v>
      </c>
      <c r="AW14" s="17">
        <f t="shared" si="53"/>
        <v>0</v>
      </c>
      <c r="AX14" s="17">
        <f t="shared" si="54"/>
        <v>0</v>
      </c>
      <c r="AY14" s="17">
        <f t="shared" si="55"/>
        <v>0</v>
      </c>
      <c r="AZ14" s="17">
        <f t="shared" si="56"/>
        <v>0</v>
      </c>
      <c r="BA14" s="23" t="s">
        <v>74</v>
      </c>
      <c r="BB14" s="23" t="s">
        <v>74</v>
      </c>
      <c r="BC14" s="19"/>
      <c r="BD14" s="20">
        <f t="shared" si="57"/>
        <v>0</v>
      </c>
      <c r="BE14" s="20">
        <v>0</v>
      </c>
      <c r="BF14" s="53">
        <f t="shared" si="58"/>
        <v>0</v>
      </c>
      <c r="BG14" s="19"/>
      <c r="BH14" s="19"/>
      <c r="BI14" s="19"/>
      <c r="BJ14" s="19"/>
      <c r="BK14" s="19"/>
    </row>
    <row r="15" spans="1:64" s="8" customFormat="1" ht="15" customHeight="1" thickBot="1" x14ac:dyDescent="0.4">
      <c r="A15" s="2" t="s">
        <v>22</v>
      </c>
      <c r="B15" s="24">
        <v>28</v>
      </c>
      <c r="C15" s="24">
        <v>0</v>
      </c>
      <c r="D15" s="24">
        <v>1</v>
      </c>
      <c r="E15" s="24">
        <v>0</v>
      </c>
      <c r="F15" s="24">
        <v>0</v>
      </c>
      <c r="G15" s="24">
        <v>1</v>
      </c>
      <c r="H15" s="25">
        <v>3.4482758620689655E-2</v>
      </c>
      <c r="I15" s="25">
        <v>3.3333333333333333E-2</v>
      </c>
      <c r="J15" s="24"/>
      <c r="K15" s="24">
        <v>58</v>
      </c>
      <c r="L15" s="24">
        <v>0</v>
      </c>
      <c r="M15" s="24">
        <v>0</v>
      </c>
      <c r="N15" s="24">
        <v>1</v>
      </c>
      <c r="O15" s="24">
        <v>0</v>
      </c>
      <c r="P15" s="24">
        <v>1</v>
      </c>
      <c r="Q15" s="25">
        <v>1.6949152542372881E-2</v>
      </c>
      <c r="R15" s="25">
        <v>1.6666666666666666E-2</v>
      </c>
      <c r="S15" s="24"/>
      <c r="T15" s="17">
        <f t="shared" si="59"/>
        <v>86</v>
      </c>
      <c r="U15" s="17">
        <f t="shared" si="60"/>
        <v>0</v>
      </c>
      <c r="V15" s="17">
        <f t="shared" si="61"/>
        <v>1</v>
      </c>
      <c r="W15" s="17">
        <f t="shared" si="62"/>
        <v>1</v>
      </c>
      <c r="X15" s="17">
        <f t="shared" si="63"/>
        <v>0</v>
      </c>
      <c r="Y15" s="17">
        <f t="shared" si="64"/>
        <v>2</v>
      </c>
      <c r="Z15" s="23">
        <v>2.2727272727272728E-2</v>
      </c>
      <c r="AA15" s="23">
        <v>2.2222222222222223E-2</v>
      </c>
      <c r="AB15" s="24"/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5" t="s">
        <v>74</v>
      </c>
      <c r="AJ15" s="25" t="s">
        <v>74</v>
      </c>
      <c r="AK15" s="24"/>
      <c r="AL15" s="24">
        <v>47</v>
      </c>
      <c r="AM15" s="24">
        <v>0</v>
      </c>
      <c r="AN15" s="24">
        <v>0</v>
      </c>
      <c r="AO15" s="24">
        <v>0</v>
      </c>
      <c r="AP15" s="24">
        <v>0</v>
      </c>
      <c r="AQ15" s="24">
        <v>6</v>
      </c>
      <c r="AR15" s="25">
        <v>0</v>
      </c>
      <c r="AS15" s="25">
        <v>0.11320754716981132</v>
      </c>
      <c r="AT15" s="24"/>
      <c r="AU15" s="17">
        <f t="shared" si="51"/>
        <v>133</v>
      </c>
      <c r="AV15" s="17">
        <f t="shared" si="52"/>
        <v>0</v>
      </c>
      <c r="AW15" s="17">
        <f t="shared" si="53"/>
        <v>1</v>
      </c>
      <c r="AX15" s="17">
        <f t="shared" si="54"/>
        <v>1</v>
      </c>
      <c r="AY15" s="17">
        <f t="shared" si="55"/>
        <v>0</v>
      </c>
      <c r="AZ15" s="17">
        <f t="shared" si="56"/>
        <v>8</v>
      </c>
      <c r="BA15" s="23">
        <v>1.4814814814814815E-2</v>
      </c>
      <c r="BB15" s="23">
        <v>5.5944055944055944E-2</v>
      </c>
      <c r="BC15" s="19"/>
      <c r="BD15" s="20">
        <f t="shared" si="57"/>
        <v>143</v>
      </c>
      <c r="BE15" s="20">
        <v>143</v>
      </c>
      <c r="BF15" s="53">
        <f t="shared" si="58"/>
        <v>0</v>
      </c>
      <c r="BG15" s="19"/>
      <c r="BH15" s="19"/>
      <c r="BI15" s="19"/>
      <c r="BJ15" s="19"/>
      <c r="BK15" s="19"/>
    </row>
    <row r="16" spans="1:64" s="8" customFormat="1" ht="15" customHeight="1" thickBot="1" x14ac:dyDescent="0.4">
      <c r="A16" s="2" t="s">
        <v>23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5" t="s">
        <v>74</v>
      </c>
      <c r="I16" s="25" t="s">
        <v>74</v>
      </c>
      <c r="J16" s="24"/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5" t="s">
        <v>74</v>
      </c>
      <c r="R16" s="25" t="s">
        <v>74</v>
      </c>
      <c r="S16" s="24"/>
      <c r="T16" s="17">
        <f t="shared" si="59"/>
        <v>0</v>
      </c>
      <c r="U16" s="17">
        <f t="shared" si="60"/>
        <v>0</v>
      </c>
      <c r="V16" s="17">
        <f t="shared" si="61"/>
        <v>0</v>
      </c>
      <c r="W16" s="17">
        <f t="shared" si="62"/>
        <v>0</v>
      </c>
      <c r="X16" s="17">
        <f t="shared" si="63"/>
        <v>0</v>
      </c>
      <c r="Y16" s="17">
        <f t="shared" si="64"/>
        <v>0</v>
      </c>
      <c r="Z16" s="23" t="s">
        <v>74</v>
      </c>
      <c r="AA16" s="23" t="s">
        <v>74</v>
      </c>
      <c r="AB16" s="24"/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5" t="s">
        <v>74</v>
      </c>
      <c r="AJ16" s="25" t="s">
        <v>74</v>
      </c>
      <c r="AK16" s="24"/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5" t="s">
        <v>74</v>
      </c>
      <c r="AS16" s="25" t="s">
        <v>74</v>
      </c>
      <c r="AT16" s="24"/>
      <c r="AU16" s="17">
        <f t="shared" si="51"/>
        <v>0</v>
      </c>
      <c r="AV16" s="17">
        <f t="shared" si="52"/>
        <v>0</v>
      </c>
      <c r="AW16" s="17">
        <f t="shared" si="53"/>
        <v>0</v>
      </c>
      <c r="AX16" s="17">
        <f t="shared" si="54"/>
        <v>0</v>
      </c>
      <c r="AY16" s="17">
        <f t="shared" si="55"/>
        <v>0</v>
      </c>
      <c r="AZ16" s="17">
        <f t="shared" si="56"/>
        <v>0</v>
      </c>
      <c r="BA16" s="23" t="s">
        <v>74</v>
      </c>
      <c r="BB16" s="23" t="s">
        <v>74</v>
      </c>
      <c r="BC16" s="19"/>
      <c r="BD16" s="20">
        <f t="shared" si="57"/>
        <v>0</v>
      </c>
      <c r="BE16" s="20">
        <v>0</v>
      </c>
      <c r="BF16" s="53">
        <f t="shared" si="58"/>
        <v>0</v>
      </c>
      <c r="BG16" s="19"/>
      <c r="BH16" s="19"/>
      <c r="BI16" s="19"/>
      <c r="BJ16" s="19"/>
      <c r="BK16" s="19"/>
    </row>
    <row r="17" spans="1:63" s="8" customFormat="1" ht="15" customHeight="1" thickBot="1" x14ac:dyDescent="0.4">
      <c r="A17" s="2" t="s">
        <v>24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5" t="s">
        <v>74</v>
      </c>
      <c r="I17" s="25" t="s">
        <v>74</v>
      </c>
      <c r="J17" s="24"/>
      <c r="K17" s="24">
        <v>5</v>
      </c>
      <c r="L17" s="24">
        <v>0</v>
      </c>
      <c r="M17" s="24">
        <v>0</v>
      </c>
      <c r="N17" s="24">
        <v>0</v>
      </c>
      <c r="O17" s="24">
        <v>0</v>
      </c>
      <c r="P17" s="24">
        <v>22</v>
      </c>
      <c r="Q17" s="25">
        <v>0</v>
      </c>
      <c r="R17" s="25">
        <v>0.81481481481481477</v>
      </c>
      <c r="S17" s="24"/>
      <c r="T17" s="17">
        <f t="shared" si="59"/>
        <v>5</v>
      </c>
      <c r="U17" s="17">
        <f t="shared" si="60"/>
        <v>0</v>
      </c>
      <c r="V17" s="17">
        <f t="shared" si="61"/>
        <v>0</v>
      </c>
      <c r="W17" s="17">
        <f t="shared" si="62"/>
        <v>0</v>
      </c>
      <c r="X17" s="17">
        <f t="shared" si="63"/>
        <v>0</v>
      </c>
      <c r="Y17" s="17">
        <f t="shared" si="64"/>
        <v>22</v>
      </c>
      <c r="Z17" s="23">
        <v>0</v>
      </c>
      <c r="AA17" s="23">
        <v>0.81481481481481477</v>
      </c>
      <c r="AB17" s="24"/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2</v>
      </c>
      <c r="AI17" s="25" t="s">
        <v>74</v>
      </c>
      <c r="AJ17" s="25">
        <v>1</v>
      </c>
      <c r="AK17" s="24"/>
      <c r="AL17" s="24">
        <v>2</v>
      </c>
      <c r="AM17" s="24">
        <v>0</v>
      </c>
      <c r="AN17" s="24">
        <v>0</v>
      </c>
      <c r="AO17" s="24">
        <v>0</v>
      </c>
      <c r="AP17" s="24">
        <v>0</v>
      </c>
      <c r="AQ17" s="24">
        <v>3</v>
      </c>
      <c r="AR17" s="25">
        <v>0</v>
      </c>
      <c r="AS17" s="25">
        <v>0.6</v>
      </c>
      <c r="AT17" s="24"/>
      <c r="AU17" s="17">
        <f t="shared" si="51"/>
        <v>7</v>
      </c>
      <c r="AV17" s="17">
        <f t="shared" si="52"/>
        <v>0</v>
      </c>
      <c r="AW17" s="17">
        <f t="shared" si="53"/>
        <v>0</v>
      </c>
      <c r="AX17" s="17">
        <f t="shared" si="54"/>
        <v>0</v>
      </c>
      <c r="AY17" s="17">
        <f t="shared" si="55"/>
        <v>0</v>
      </c>
      <c r="AZ17" s="17">
        <f t="shared" si="56"/>
        <v>27</v>
      </c>
      <c r="BA17" s="23">
        <v>0</v>
      </c>
      <c r="BB17" s="23">
        <v>0.79411764705882348</v>
      </c>
      <c r="BC17" s="19"/>
      <c r="BD17" s="20">
        <f t="shared" si="57"/>
        <v>34</v>
      </c>
      <c r="BE17" s="20">
        <v>34</v>
      </c>
      <c r="BF17" s="53">
        <f t="shared" si="58"/>
        <v>0</v>
      </c>
      <c r="BG17" s="19"/>
      <c r="BH17" s="19"/>
      <c r="BI17" s="19"/>
      <c r="BJ17" s="19"/>
      <c r="BK17" s="19"/>
    </row>
    <row r="18" spans="1:63" s="8" customFormat="1" ht="15" customHeight="1" thickBot="1" x14ac:dyDescent="0.4">
      <c r="A18" s="2" t="s">
        <v>25</v>
      </c>
      <c r="B18" s="24">
        <v>12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5">
        <v>0</v>
      </c>
      <c r="I18" s="25">
        <v>0</v>
      </c>
      <c r="J18" s="24"/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5" t="s">
        <v>74</v>
      </c>
      <c r="R18" s="25" t="s">
        <v>74</v>
      </c>
      <c r="S18" s="24"/>
      <c r="T18" s="17">
        <f t="shared" si="59"/>
        <v>12</v>
      </c>
      <c r="U18" s="17">
        <f t="shared" si="60"/>
        <v>0</v>
      </c>
      <c r="V18" s="17">
        <f t="shared" si="61"/>
        <v>0</v>
      </c>
      <c r="W18" s="17">
        <f t="shared" si="62"/>
        <v>0</v>
      </c>
      <c r="X18" s="17">
        <f t="shared" si="63"/>
        <v>0</v>
      </c>
      <c r="Y18" s="17">
        <f t="shared" si="64"/>
        <v>0</v>
      </c>
      <c r="Z18" s="23">
        <v>0</v>
      </c>
      <c r="AA18" s="23">
        <v>0</v>
      </c>
      <c r="AB18" s="24"/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5" t="s">
        <v>74</v>
      </c>
      <c r="AJ18" s="25" t="s">
        <v>74</v>
      </c>
      <c r="AK18" s="24"/>
      <c r="AL18" s="24">
        <v>2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5">
        <v>0</v>
      </c>
      <c r="AS18" s="25">
        <v>0</v>
      </c>
      <c r="AT18" s="24"/>
      <c r="AU18" s="17">
        <f t="shared" si="51"/>
        <v>14</v>
      </c>
      <c r="AV18" s="17">
        <f t="shared" si="52"/>
        <v>0</v>
      </c>
      <c r="AW18" s="17">
        <f t="shared" si="53"/>
        <v>0</v>
      </c>
      <c r="AX18" s="17">
        <f t="shared" si="54"/>
        <v>0</v>
      </c>
      <c r="AY18" s="17">
        <f t="shared" si="55"/>
        <v>0</v>
      </c>
      <c r="AZ18" s="17">
        <f t="shared" si="56"/>
        <v>0</v>
      </c>
      <c r="BA18" s="23">
        <v>0</v>
      </c>
      <c r="BB18" s="23">
        <v>0</v>
      </c>
      <c r="BC18" s="19"/>
      <c r="BD18" s="20">
        <f t="shared" si="57"/>
        <v>14</v>
      </c>
      <c r="BE18" s="20">
        <v>14</v>
      </c>
      <c r="BF18" s="53">
        <f t="shared" si="58"/>
        <v>0</v>
      </c>
      <c r="BG18" s="19"/>
      <c r="BH18" s="19"/>
      <c r="BI18" s="19"/>
      <c r="BJ18" s="19"/>
      <c r="BK18" s="19"/>
    </row>
    <row r="19" spans="1:63" s="8" customFormat="1" ht="15" customHeight="1" thickBot="1" x14ac:dyDescent="0.4">
      <c r="A19" s="26" t="s">
        <v>26</v>
      </c>
      <c r="B19" s="24">
        <v>24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5">
        <v>0</v>
      </c>
      <c r="I19" s="25">
        <v>0</v>
      </c>
      <c r="J19" s="24"/>
      <c r="K19" s="24">
        <v>37</v>
      </c>
      <c r="L19" s="24">
        <v>1</v>
      </c>
      <c r="M19" s="24">
        <v>0</v>
      </c>
      <c r="N19" s="24">
        <v>0</v>
      </c>
      <c r="O19" s="24">
        <v>0</v>
      </c>
      <c r="P19" s="24">
        <v>0</v>
      </c>
      <c r="Q19" s="25">
        <v>2.6315789473684209E-2</v>
      </c>
      <c r="R19" s="25">
        <v>0</v>
      </c>
      <c r="S19" s="24"/>
      <c r="T19" s="17">
        <f t="shared" si="59"/>
        <v>61</v>
      </c>
      <c r="U19" s="17">
        <f t="shared" si="60"/>
        <v>1</v>
      </c>
      <c r="V19" s="17">
        <f t="shared" si="61"/>
        <v>0</v>
      </c>
      <c r="W19" s="17">
        <f t="shared" si="62"/>
        <v>0</v>
      </c>
      <c r="X19" s="17">
        <f t="shared" si="63"/>
        <v>0</v>
      </c>
      <c r="Y19" s="17">
        <f t="shared" si="64"/>
        <v>0</v>
      </c>
      <c r="Z19" s="23">
        <v>1.6129032258064516E-2</v>
      </c>
      <c r="AA19" s="23">
        <v>0</v>
      </c>
      <c r="AB19" s="24"/>
      <c r="AC19" s="24">
        <v>3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5">
        <v>0</v>
      </c>
      <c r="AJ19" s="25">
        <v>0</v>
      </c>
      <c r="AK19" s="24"/>
      <c r="AL19" s="24">
        <v>26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5">
        <v>0</v>
      </c>
      <c r="AS19" s="25">
        <v>0</v>
      </c>
      <c r="AT19" s="24"/>
      <c r="AU19" s="17">
        <f t="shared" si="51"/>
        <v>90</v>
      </c>
      <c r="AV19" s="17">
        <f t="shared" si="52"/>
        <v>1</v>
      </c>
      <c r="AW19" s="17">
        <f t="shared" si="53"/>
        <v>0</v>
      </c>
      <c r="AX19" s="17">
        <f t="shared" si="54"/>
        <v>0</v>
      </c>
      <c r="AY19" s="17">
        <f t="shared" si="55"/>
        <v>0</v>
      </c>
      <c r="AZ19" s="17">
        <f t="shared" si="56"/>
        <v>0</v>
      </c>
      <c r="BA19" s="23">
        <v>1.098901098901099E-2</v>
      </c>
      <c r="BB19" s="23">
        <v>0</v>
      </c>
      <c r="BC19" s="19"/>
      <c r="BD19" s="20">
        <f t="shared" si="57"/>
        <v>91</v>
      </c>
      <c r="BE19" s="20">
        <v>91</v>
      </c>
      <c r="BF19" s="53">
        <f t="shared" si="58"/>
        <v>0</v>
      </c>
      <c r="BG19" s="19"/>
      <c r="BH19" s="19"/>
      <c r="BI19" s="19"/>
      <c r="BJ19" s="19"/>
      <c r="BK19" s="19"/>
    </row>
    <row r="20" spans="1:63" s="8" customFormat="1" ht="15" customHeight="1" thickBot="1" x14ac:dyDescent="0.4">
      <c r="A20" s="26" t="s">
        <v>27</v>
      </c>
      <c r="B20" s="24">
        <v>3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5">
        <v>0</v>
      </c>
      <c r="I20" s="25">
        <v>0</v>
      </c>
      <c r="J20" s="24"/>
      <c r="K20" s="24">
        <v>75</v>
      </c>
      <c r="L20" s="24">
        <v>1</v>
      </c>
      <c r="M20" s="24">
        <v>0</v>
      </c>
      <c r="N20" s="24">
        <v>0</v>
      </c>
      <c r="O20" s="24">
        <v>0</v>
      </c>
      <c r="P20" s="24">
        <v>18</v>
      </c>
      <c r="Q20" s="25">
        <v>1.3157894736842105E-2</v>
      </c>
      <c r="R20" s="25">
        <v>0.19148936170212766</v>
      </c>
      <c r="S20" s="24"/>
      <c r="T20" s="17">
        <f t="shared" si="59"/>
        <v>78</v>
      </c>
      <c r="U20" s="17">
        <f t="shared" si="60"/>
        <v>1</v>
      </c>
      <c r="V20" s="17">
        <f t="shared" si="61"/>
        <v>0</v>
      </c>
      <c r="W20" s="17">
        <f t="shared" si="62"/>
        <v>0</v>
      </c>
      <c r="X20" s="17">
        <f t="shared" si="63"/>
        <v>0</v>
      </c>
      <c r="Y20" s="17">
        <f t="shared" si="64"/>
        <v>18</v>
      </c>
      <c r="Z20" s="23">
        <v>1.2658227848101266E-2</v>
      </c>
      <c r="AA20" s="23">
        <v>0.18556701030927836</v>
      </c>
      <c r="AB20" s="24"/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5" t="s">
        <v>74</v>
      </c>
      <c r="AJ20" s="25" t="s">
        <v>74</v>
      </c>
      <c r="AK20" s="24"/>
      <c r="AL20" s="24">
        <v>5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5">
        <v>0</v>
      </c>
      <c r="AS20" s="25">
        <v>0</v>
      </c>
      <c r="AT20" s="24"/>
      <c r="AU20" s="17">
        <f t="shared" si="51"/>
        <v>83</v>
      </c>
      <c r="AV20" s="17">
        <f t="shared" si="52"/>
        <v>1</v>
      </c>
      <c r="AW20" s="17">
        <f t="shared" si="53"/>
        <v>0</v>
      </c>
      <c r="AX20" s="17">
        <f t="shared" si="54"/>
        <v>0</v>
      </c>
      <c r="AY20" s="17">
        <f t="shared" si="55"/>
        <v>0</v>
      </c>
      <c r="AZ20" s="17">
        <f t="shared" si="56"/>
        <v>18</v>
      </c>
      <c r="BA20" s="23">
        <v>1.1904761904761904E-2</v>
      </c>
      <c r="BB20" s="23">
        <v>0.17647058823529413</v>
      </c>
      <c r="BC20" s="19"/>
      <c r="BD20" s="20">
        <f t="shared" si="57"/>
        <v>102</v>
      </c>
      <c r="BE20" s="20">
        <v>102</v>
      </c>
      <c r="BF20" s="53">
        <f t="shared" si="58"/>
        <v>0</v>
      </c>
      <c r="BG20" s="19"/>
      <c r="BH20" s="19"/>
      <c r="BI20" s="19"/>
      <c r="BJ20" s="19"/>
      <c r="BK20" s="19"/>
    </row>
    <row r="21" spans="1:63" s="8" customFormat="1" ht="15" customHeight="1" thickBot="1" x14ac:dyDescent="0.4">
      <c r="A21" s="2" t="s">
        <v>28</v>
      </c>
      <c r="B21" s="24">
        <v>3</v>
      </c>
      <c r="C21" s="24">
        <v>0</v>
      </c>
      <c r="D21" s="24">
        <v>0</v>
      </c>
      <c r="E21" s="24">
        <v>0</v>
      </c>
      <c r="F21" s="24">
        <v>0</v>
      </c>
      <c r="G21" s="24">
        <v>15</v>
      </c>
      <c r="H21" s="25">
        <v>0</v>
      </c>
      <c r="I21" s="25">
        <v>0.83333333333333337</v>
      </c>
      <c r="J21" s="24"/>
      <c r="K21" s="24">
        <v>17</v>
      </c>
      <c r="L21" s="24">
        <v>0</v>
      </c>
      <c r="M21" s="24">
        <v>0</v>
      </c>
      <c r="N21" s="24">
        <v>1</v>
      </c>
      <c r="O21" s="24">
        <v>0</v>
      </c>
      <c r="P21" s="24">
        <v>14</v>
      </c>
      <c r="Q21" s="25">
        <v>5.5555555555555552E-2</v>
      </c>
      <c r="R21" s="25">
        <v>0.4375</v>
      </c>
      <c r="S21" s="24"/>
      <c r="T21" s="17">
        <f t="shared" si="59"/>
        <v>20</v>
      </c>
      <c r="U21" s="17">
        <f t="shared" si="60"/>
        <v>0</v>
      </c>
      <c r="V21" s="17">
        <f t="shared" si="61"/>
        <v>0</v>
      </c>
      <c r="W21" s="17">
        <f t="shared" si="62"/>
        <v>1</v>
      </c>
      <c r="X21" s="17">
        <f t="shared" si="63"/>
        <v>0</v>
      </c>
      <c r="Y21" s="17">
        <f t="shared" si="64"/>
        <v>29</v>
      </c>
      <c r="Z21" s="23">
        <v>4.7619047619047616E-2</v>
      </c>
      <c r="AA21" s="23">
        <v>0.57999999999999996</v>
      </c>
      <c r="AB21" s="24"/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5" t="s">
        <v>74</v>
      </c>
      <c r="AJ21" s="25" t="s">
        <v>74</v>
      </c>
      <c r="AK21" s="24"/>
      <c r="AL21" s="24">
        <v>18</v>
      </c>
      <c r="AM21" s="24">
        <v>0</v>
      </c>
      <c r="AN21" s="24">
        <v>1</v>
      </c>
      <c r="AO21" s="24">
        <v>0</v>
      </c>
      <c r="AP21" s="24">
        <v>0</v>
      </c>
      <c r="AQ21" s="24">
        <v>13</v>
      </c>
      <c r="AR21" s="25">
        <v>5.2631578947368418E-2</v>
      </c>
      <c r="AS21" s="25">
        <v>0.40625</v>
      </c>
      <c r="AT21" s="24"/>
      <c r="AU21" s="17">
        <f t="shared" si="51"/>
        <v>38</v>
      </c>
      <c r="AV21" s="17">
        <f t="shared" si="52"/>
        <v>0</v>
      </c>
      <c r="AW21" s="17">
        <f t="shared" si="53"/>
        <v>1</v>
      </c>
      <c r="AX21" s="17">
        <f t="shared" si="54"/>
        <v>1</v>
      </c>
      <c r="AY21" s="17">
        <f t="shared" si="55"/>
        <v>0</v>
      </c>
      <c r="AZ21" s="17">
        <f t="shared" si="56"/>
        <v>42</v>
      </c>
      <c r="BA21" s="23">
        <v>0.05</v>
      </c>
      <c r="BB21" s="23">
        <v>0.51219512195121952</v>
      </c>
      <c r="BC21" s="19"/>
      <c r="BD21" s="20">
        <f t="shared" si="57"/>
        <v>82</v>
      </c>
      <c r="BE21" s="20">
        <v>82</v>
      </c>
      <c r="BF21" s="53">
        <f t="shared" si="58"/>
        <v>0</v>
      </c>
      <c r="BG21" s="19"/>
      <c r="BH21" s="19"/>
      <c r="BI21" s="19"/>
      <c r="BJ21" s="19"/>
      <c r="BK21" s="19"/>
    </row>
    <row r="22" spans="1:63" s="8" customFormat="1" ht="15" customHeight="1" thickBot="1" x14ac:dyDescent="0.4">
      <c r="A22" s="2" t="s">
        <v>29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 t="s">
        <v>74</v>
      </c>
      <c r="I22" s="25" t="s">
        <v>74</v>
      </c>
      <c r="J22" s="24"/>
      <c r="K22" s="24">
        <v>3</v>
      </c>
      <c r="L22" s="24">
        <v>0</v>
      </c>
      <c r="M22" s="24">
        <v>0</v>
      </c>
      <c r="N22" s="24">
        <v>0</v>
      </c>
      <c r="O22" s="24">
        <v>0</v>
      </c>
      <c r="P22" s="24">
        <v>6</v>
      </c>
      <c r="Q22" s="25">
        <v>0</v>
      </c>
      <c r="R22" s="25">
        <v>0.66666666666666663</v>
      </c>
      <c r="S22" s="24"/>
      <c r="T22" s="17">
        <f t="shared" si="59"/>
        <v>3</v>
      </c>
      <c r="U22" s="17">
        <f t="shared" si="60"/>
        <v>0</v>
      </c>
      <c r="V22" s="17">
        <f t="shared" si="61"/>
        <v>0</v>
      </c>
      <c r="W22" s="17">
        <f t="shared" si="62"/>
        <v>0</v>
      </c>
      <c r="X22" s="17">
        <f t="shared" si="63"/>
        <v>0</v>
      </c>
      <c r="Y22" s="17">
        <f t="shared" si="64"/>
        <v>6</v>
      </c>
      <c r="Z22" s="23">
        <v>0</v>
      </c>
      <c r="AA22" s="23">
        <v>0.66666666666666663</v>
      </c>
      <c r="AB22" s="24"/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1</v>
      </c>
      <c r="AI22" s="25" t="s">
        <v>74</v>
      </c>
      <c r="AJ22" s="25">
        <v>1</v>
      </c>
      <c r="AK22" s="24"/>
      <c r="AL22" s="24">
        <v>1</v>
      </c>
      <c r="AM22" s="24">
        <v>0</v>
      </c>
      <c r="AN22" s="24">
        <v>0</v>
      </c>
      <c r="AO22" s="24">
        <v>0</v>
      </c>
      <c r="AP22" s="24">
        <v>0</v>
      </c>
      <c r="AQ22" s="24">
        <v>4</v>
      </c>
      <c r="AR22" s="25">
        <v>0</v>
      </c>
      <c r="AS22" s="25">
        <v>0.8</v>
      </c>
      <c r="AT22" s="24"/>
      <c r="AU22" s="17">
        <f t="shared" si="51"/>
        <v>4</v>
      </c>
      <c r="AV22" s="17">
        <f t="shared" si="52"/>
        <v>0</v>
      </c>
      <c r="AW22" s="17">
        <f t="shared" si="53"/>
        <v>0</v>
      </c>
      <c r="AX22" s="17">
        <f t="shared" si="54"/>
        <v>0</v>
      </c>
      <c r="AY22" s="17">
        <f t="shared" si="55"/>
        <v>0</v>
      </c>
      <c r="AZ22" s="17">
        <f t="shared" si="56"/>
        <v>11</v>
      </c>
      <c r="BA22" s="23">
        <v>0</v>
      </c>
      <c r="BB22" s="23">
        <v>0.73333333333333328</v>
      </c>
      <c r="BC22" s="19"/>
      <c r="BD22" s="20">
        <f t="shared" si="57"/>
        <v>15</v>
      </c>
      <c r="BE22" s="20">
        <v>15</v>
      </c>
      <c r="BF22" s="53">
        <f t="shared" si="58"/>
        <v>0</v>
      </c>
      <c r="BG22" s="19"/>
      <c r="BH22" s="19"/>
      <c r="BI22" s="19"/>
      <c r="BJ22" s="19"/>
      <c r="BK22" s="19"/>
    </row>
    <row r="23" spans="1:63" s="8" customFormat="1" ht="15" customHeight="1" thickBot="1" x14ac:dyDescent="0.4">
      <c r="A23" s="2" t="s">
        <v>30</v>
      </c>
      <c r="B23" s="24">
        <v>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5">
        <v>0</v>
      </c>
      <c r="I23" s="25">
        <v>0</v>
      </c>
      <c r="J23" s="24"/>
      <c r="K23" s="24">
        <v>19</v>
      </c>
      <c r="L23" s="24">
        <v>0</v>
      </c>
      <c r="M23" s="24">
        <v>0</v>
      </c>
      <c r="N23" s="24">
        <v>1</v>
      </c>
      <c r="O23" s="24">
        <v>0</v>
      </c>
      <c r="P23" s="24">
        <v>2</v>
      </c>
      <c r="Q23" s="25">
        <v>0.05</v>
      </c>
      <c r="R23" s="25">
        <v>9.0909090909090912E-2</v>
      </c>
      <c r="S23" s="24"/>
      <c r="T23" s="17">
        <f t="shared" si="59"/>
        <v>20</v>
      </c>
      <c r="U23" s="17">
        <f t="shared" si="60"/>
        <v>0</v>
      </c>
      <c r="V23" s="17">
        <f t="shared" si="61"/>
        <v>0</v>
      </c>
      <c r="W23" s="17">
        <f t="shared" si="62"/>
        <v>1</v>
      </c>
      <c r="X23" s="17">
        <f t="shared" si="63"/>
        <v>0</v>
      </c>
      <c r="Y23" s="17">
        <f t="shared" si="64"/>
        <v>2</v>
      </c>
      <c r="Z23" s="23">
        <v>4.7619047619047616E-2</v>
      </c>
      <c r="AA23" s="23">
        <v>8.6956521739130432E-2</v>
      </c>
      <c r="AB23" s="24"/>
      <c r="AC23" s="24">
        <v>2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5">
        <v>0</v>
      </c>
      <c r="AJ23" s="25">
        <v>0</v>
      </c>
      <c r="AK23" s="24"/>
      <c r="AL23" s="24">
        <v>5</v>
      </c>
      <c r="AM23" s="24">
        <v>0</v>
      </c>
      <c r="AN23" s="24">
        <v>0</v>
      </c>
      <c r="AO23" s="24">
        <v>0</v>
      </c>
      <c r="AP23" s="24">
        <v>0</v>
      </c>
      <c r="AQ23" s="24">
        <v>1</v>
      </c>
      <c r="AR23" s="25">
        <v>0</v>
      </c>
      <c r="AS23" s="25">
        <v>0.16666666666666666</v>
      </c>
      <c r="AT23" s="24"/>
      <c r="AU23" s="17">
        <f t="shared" si="51"/>
        <v>27</v>
      </c>
      <c r="AV23" s="17">
        <f t="shared" si="52"/>
        <v>0</v>
      </c>
      <c r="AW23" s="17">
        <f t="shared" si="53"/>
        <v>0</v>
      </c>
      <c r="AX23" s="17">
        <f t="shared" si="54"/>
        <v>1</v>
      </c>
      <c r="AY23" s="17">
        <f t="shared" si="55"/>
        <v>0</v>
      </c>
      <c r="AZ23" s="17">
        <f t="shared" si="56"/>
        <v>3</v>
      </c>
      <c r="BA23" s="23">
        <v>3.5714285714285712E-2</v>
      </c>
      <c r="BB23" s="23">
        <v>9.6774193548387094E-2</v>
      </c>
      <c r="BC23" s="19"/>
      <c r="BD23" s="20">
        <f t="shared" si="57"/>
        <v>31</v>
      </c>
      <c r="BE23" s="20">
        <v>31</v>
      </c>
      <c r="BF23" s="53">
        <f t="shared" si="58"/>
        <v>0</v>
      </c>
      <c r="BG23" s="19"/>
      <c r="BH23" s="19"/>
      <c r="BI23" s="19"/>
      <c r="BJ23" s="19"/>
      <c r="BK23" s="19"/>
    </row>
    <row r="24" spans="1:63" s="8" customFormat="1" ht="15" customHeight="1" thickBot="1" x14ac:dyDescent="0.4">
      <c r="A24" s="2" t="s">
        <v>31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5" t="s">
        <v>74</v>
      </c>
      <c r="I24" s="25" t="s">
        <v>74</v>
      </c>
      <c r="J24" s="24"/>
      <c r="K24" s="24">
        <v>29</v>
      </c>
      <c r="L24" s="24">
        <v>0</v>
      </c>
      <c r="M24" s="24">
        <v>0</v>
      </c>
      <c r="N24" s="24">
        <v>0</v>
      </c>
      <c r="O24" s="24">
        <v>0</v>
      </c>
      <c r="P24" s="24">
        <v>21</v>
      </c>
      <c r="Q24" s="25">
        <v>0</v>
      </c>
      <c r="R24" s="25">
        <v>0.42</v>
      </c>
      <c r="S24" s="24"/>
      <c r="T24" s="17">
        <f t="shared" si="59"/>
        <v>29</v>
      </c>
      <c r="U24" s="17">
        <f t="shared" si="60"/>
        <v>0</v>
      </c>
      <c r="V24" s="17">
        <f t="shared" si="61"/>
        <v>0</v>
      </c>
      <c r="W24" s="17">
        <f t="shared" si="62"/>
        <v>0</v>
      </c>
      <c r="X24" s="17">
        <f t="shared" si="63"/>
        <v>0</v>
      </c>
      <c r="Y24" s="17">
        <f t="shared" si="64"/>
        <v>21</v>
      </c>
      <c r="Z24" s="23">
        <v>0</v>
      </c>
      <c r="AA24" s="23">
        <v>0.42</v>
      </c>
      <c r="AB24" s="24"/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5" t="s">
        <v>74</v>
      </c>
      <c r="AJ24" s="25" t="s">
        <v>74</v>
      </c>
      <c r="AK24" s="24"/>
      <c r="AL24" s="24">
        <v>22</v>
      </c>
      <c r="AM24" s="24">
        <v>0</v>
      </c>
      <c r="AN24" s="24">
        <v>0</v>
      </c>
      <c r="AO24" s="24">
        <v>0</v>
      </c>
      <c r="AP24" s="24">
        <v>0</v>
      </c>
      <c r="AQ24" s="24">
        <v>15</v>
      </c>
      <c r="AR24" s="25">
        <v>0</v>
      </c>
      <c r="AS24" s="25">
        <v>0.40540540540540543</v>
      </c>
      <c r="AT24" s="24"/>
      <c r="AU24" s="17">
        <f t="shared" si="51"/>
        <v>51</v>
      </c>
      <c r="AV24" s="17">
        <f t="shared" si="52"/>
        <v>0</v>
      </c>
      <c r="AW24" s="17">
        <f t="shared" si="53"/>
        <v>0</v>
      </c>
      <c r="AX24" s="17">
        <f t="shared" si="54"/>
        <v>0</v>
      </c>
      <c r="AY24" s="17">
        <f t="shared" si="55"/>
        <v>0</v>
      </c>
      <c r="AZ24" s="17">
        <f t="shared" si="56"/>
        <v>36</v>
      </c>
      <c r="BA24" s="23">
        <v>0</v>
      </c>
      <c r="BB24" s="23">
        <v>0.41379310344827586</v>
      </c>
      <c r="BC24" s="19"/>
      <c r="BD24" s="20">
        <f t="shared" si="57"/>
        <v>87</v>
      </c>
      <c r="BE24" s="20">
        <v>87</v>
      </c>
      <c r="BF24" s="53">
        <f t="shared" si="58"/>
        <v>0</v>
      </c>
      <c r="BG24" s="19"/>
      <c r="BH24" s="19"/>
      <c r="BI24" s="19"/>
      <c r="BJ24" s="19"/>
      <c r="BK24" s="19"/>
    </row>
    <row r="25" spans="1:63" s="8" customFormat="1" ht="15" customHeight="1" thickBot="1" x14ac:dyDescent="0.4">
      <c r="A25" s="2" t="s">
        <v>32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5" t="s">
        <v>74</v>
      </c>
      <c r="I25" s="25" t="s">
        <v>74</v>
      </c>
      <c r="J25" s="24"/>
      <c r="K25" s="24">
        <v>20</v>
      </c>
      <c r="L25" s="24">
        <v>0</v>
      </c>
      <c r="M25" s="24">
        <v>0</v>
      </c>
      <c r="N25" s="24">
        <v>0</v>
      </c>
      <c r="O25" s="24">
        <v>0</v>
      </c>
      <c r="P25" s="24">
        <v>10</v>
      </c>
      <c r="Q25" s="25">
        <v>0</v>
      </c>
      <c r="R25" s="25">
        <v>0.33333333333333331</v>
      </c>
      <c r="S25" s="24"/>
      <c r="T25" s="17">
        <f t="shared" si="59"/>
        <v>20</v>
      </c>
      <c r="U25" s="17">
        <f t="shared" si="60"/>
        <v>0</v>
      </c>
      <c r="V25" s="17">
        <f t="shared" si="61"/>
        <v>0</v>
      </c>
      <c r="W25" s="17">
        <f t="shared" si="62"/>
        <v>0</v>
      </c>
      <c r="X25" s="17">
        <f t="shared" si="63"/>
        <v>0</v>
      </c>
      <c r="Y25" s="17">
        <f t="shared" si="64"/>
        <v>10</v>
      </c>
      <c r="Z25" s="23">
        <v>0</v>
      </c>
      <c r="AA25" s="23">
        <v>0.33333333333333331</v>
      </c>
      <c r="AB25" s="24"/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5" t="s">
        <v>74</v>
      </c>
      <c r="AJ25" s="25" t="s">
        <v>74</v>
      </c>
      <c r="AK25" s="24"/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6</v>
      </c>
      <c r="AR25" s="25" t="s">
        <v>74</v>
      </c>
      <c r="AS25" s="25">
        <v>1</v>
      </c>
      <c r="AT25" s="24"/>
      <c r="AU25" s="17">
        <f t="shared" si="51"/>
        <v>20</v>
      </c>
      <c r="AV25" s="17">
        <f t="shared" si="52"/>
        <v>0</v>
      </c>
      <c r="AW25" s="17">
        <f t="shared" si="53"/>
        <v>0</v>
      </c>
      <c r="AX25" s="17">
        <f t="shared" si="54"/>
        <v>0</v>
      </c>
      <c r="AY25" s="17">
        <f t="shared" si="55"/>
        <v>0</v>
      </c>
      <c r="AZ25" s="17">
        <f t="shared" si="56"/>
        <v>16</v>
      </c>
      <c r="BA25" s="23">
        <v>0</v>
      </c>
      <c r="BB25" s="23">
        <v>0.44444444444444442</v>
      </c>
      <c r="BC25" s="19"/>
      <c r="BD25" s="20">
        <f t="shared" si="57"/>
        <v>36</v>
      </c>
      <c r="BE25" s="20">
        <v>36</v>
      </c>
      <c r="BF25" s="53">
        <f t="shared" si="58"/>
        <v>0</v>
      </c>
      <c r="BG25" s="19"/>
      <c r="BH25" s="19"/>
      <c r="BI25" s="19"/>
      <c r="BJ25" s="19"/>
      <c r="BK25" s="19"/>
    </row>
    <row r="26" spans="1:63" s="8" customFormat="1" ht="15" customHeight="1" thickBot="1" x14ac:dyDescent="0.4">
      <c r="A26" s="2" t="s">
        <v>33</v>
      </c>
      <c r="B26" s="24">
        <v>56</v>
      </c>
      <c r="C26" s="24">
        <v>0</v>
      </c>
      <c r="D26" s="24">
        <v>0</v>
      </c>
      <c r="E26" s="24">
        <v>0</v>
      </c>
      <c r="F26" s="24">
        <v>0</v>
      </c>
      <c r="G26" s="24">
        <v>25</v>
      </c>
      <c r="H26" s="25">
        <v>0</v>
      </c>
      <c r="I26" s="25">
        <v>0.30864197530864196</v>
      </c>
      <c r="J26" s="24"/>
      <c r="K26" s="24">
        <v>25</v>
      </c>
      <c r="L26" s="24">
        <v>1</v>
      </c>
      <c r="M26" s="24">
        <v>0</v>
      </c>
      <c r="N26" s="24">
        <v>0</v>
      </c>
      <c r="O26" s="24">
        <v>0</v>
      </c>
      <c r="P26" s="24">
        <v>30</v>
      </c>
      <c r="Q26" s="25">
        <v>3.8461538461538464E-2</v>
      </c>
      <c r="R26" s="25">
        <v>0.5357142857142857</v>
      </c>
      <c r="S26" s="24"/>
      <c r="T26" s="17">
        <f t="shared" si="59"/>
        <v>81</v>
      </c>
      <c r="U26" s="17">
        <f t="shared" si="60"/>
        <v>1</v>
      </c>
      <c r="V26" s="17">
        <f t="shared" si="61"/>
        <v>0</v>
      </c>
      <c r="W26" s="17">
        <f t="shared" si="62"/>
        <v>0</v>
      </c>
      <c r="X26" s="17">
        <f t="shared" si="63"/>
        <v>0</v>
      </c>
      <c r="Y26" s="17">
        <f t="shared" si="64"/>
        <v>55</v>
      </c>
      <c r="Z26" s="23">
        <v>1.2195121951219513E-2</v>
      </c>
      <c r="AA26" s="23">
        <v>0.40145985401459855</v>
      </c>
      <c r="AB26" s="24"/>
      <c r="AC26" s="24">
        <v>4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5">
        <v>0</v>
      </c>
      <c r="AJ26" s="25">
        <v>0</v>
      </c>
      <c r="AK26" s="24"/>
      <c r="AL26" s="24">
        <v>65</v>
      </c>
      <c r="AM26" s="24">
        <v>1</v>
      </c>
      <c r="AN26" s="24">
        <v>0</v>
      </c>
      <c r="AO26" s="24">
        <v>0</v>
      </c>
      <c r="AP26" s="24">
        <v>0</v>
      </c>
      <c r="AQ26" s="24">
        <v>11</v>
      </c>
      <c r="AR26" s="25">
        <v>1.5151515151515152E-2</v>
      </c>
      <c r="AS26" s="25">
        <v>0.14285714285714285</v>
      </c>
      <c r="AT26" s="24"/>
      <c r="AU26" s="17">
        <f t="shared" si="51"/>
        <v>150</v>
      </c>
      <c r="AV26" s="17">
        <f t="shared" si="52"/>
        <v>2</v>
      </c>
      <c r="AW26" s="17">
        <f t="shared" si="53"/>
        <v>0</v>
      </c>
      <c r="AX26" s="17">
        <f t="shared" si="54"/>
        <v>0</v>
      </c>
      <c r="AY26" s="17">
        <f t="shared" si="55"/>
        <v>0</v>
      </c>
      <c r="AZ26" s="17">
        <f t="shared" si="56"/>
        <v>66</v>
      </c>
      <c r="BA26" s="23">
        <v>1.3157894736842105E-2</v>
      </c>
      <c r="BB26" s="23">
        <v>0.30275229357798167</v>
      </c>
      <c r="BC26" s="19"/>
      <c r="BD26" s="20">
        <f t="shared" si="57"/>
        <v>218</v>
      </c>
      <c r="BE26" s="20">
        <v>218</v>
      </c>
      <c r="BF26" s="53">
        <f t="shared" si="58"/>
        <v>0</v>
      </c>
      <c r="BG26" s="19"/>
      <c r="BH26" s="19"/>
      <c r="BI26" s="19"/>
      <c r="BJ26" s="19"/>
      <c r="BK26" s="19"/>
    </row>
    <row r="27" spans="1:63" s="8" customFormat="1" ht="15" customHeight="1" thickBot="1" x14ac:dyDescent="0.4">
      <c r="A27" s="2" t="s">
        <v>34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1</v>
      </c>
      <c r="H27" s="25" t="s">
        <v>74</v>
      </c>
      <c r="I27" s="25">
        <v>1</v>
      </c>
      <c r="J27" s="24"/>
      <c r="K27" s="24">
        <v>43</v>
      </c>
      <c r="L27" s="24">
        <v>2</v>
      </c>
      <c r="M27" s="24">
        <v>0</v>
      </c>
      <c r="N27" s="24">
        <v>1</v>
      </c>
      <c r="O27" s="24">
        <v>0</v>
      </c>
      <c r="P27" s="24">
        <v>5</v>
      </c>
      <c r="Q27" s="25">
        <v>6.5217391304347824E-2</v>
      </c>
      <c r="R27" s="25">
        <v>9.8039215686274508E-2</v>
      </c>
      <c r="S27" s="24"/>
      <c r="T27" s="17">
        <f t="shared" si="59"/>
        <v>43</v>
      </c>
      <c r="U27" s="17">
        <f t="shared" si="60"/>
        <v>2</v>
      </c>
      <c r="V27" s="17">
        <f t="shared" si="61"/>
        <v>0</v>
      </c>
      <c r="W27" s="17">
        <f t="shared" si="62"/>
        <v>1</v>
      </c>
      <c r="X27" s="17">
        <f t="shared" si="63"/>
        <v>0</v>
      </c>
      <c r="Y27" s="17">
        <f t="shared" si="64"/>
        <v>6</v>
      </c>
      <c r="Z27" s="23">
        <v>6.5217391304347824E-2</v>
      </c>
      <c r="AA27" s="23">
        <v>0.11538461538461539</v>
      </c>
      <c r="AB27" s="24"/>
      <c r="AC27" s="24">
        <v>3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5">
        <v>0</v>
      </c>
      <c r="AJ27" s="25">
        <v>0</v>
      </c>
      <c r="AK27" s="24"/>
      <c r="AL27" s="24">
        <v>23</v>
      </c>
      <c r="AM27" s="24">
        <v>0</v>
      </c>
      <c r="AN27" s="24">
        <v>0</v>
      </c>
      <c r="AO27" s="24">
        <v>0</v>
      </c>
      <c r="AP27" s="24">
        <v>0</v>
      </c>
      <c r="AQ27" s="24">
        <v>1</v>
      </c>
      <c r="AR27" s="25">
        <v>0</v>
      </c>
      <c r="AS27" s="25">
        <v>4.1666666666666664E-2</v>
      </c>
      <c r="AT27" s="24"/>
      <c r="AU27" s="17">
        <f t="shared" si="51"/>
        <v>69</v>
      </c>
      <c r="AV27" s="17">
        <f t="shared" si="52"/>
        <v>2</v>
      </c>
      <c r="AW27" s="17">
        <f t="shared" si="53"/>
        <v>0</v>
      </c>
      <c r="AX27" s="17">
        <f t="shared" si="54"/>
        <v>1</v>
      </c>
      <c r="AY27" s="17">
        <f t="shared" si="55"/>
        <v>0</v>
      </c>
      <c r="AZ27" s="17">
        <f t="shared" si="56"/>
        <v>7</v>
      </c>
      <c r="BA27" s="23">
        <v>4.1666666666666664E-2</v>
      </c>
      <c r="BB27" s="23">
        <v>8.8607594936708861E-2</v>
      </c>
      <c r="BC27" s="19"/>
      <c r="BD27" s="20">
        <f t="shared" si="57"/>
        <v>79</v>
      </c>
      <c r="BE27" s="20">
        <v>79</v>
      </c>
      <c r="BF27" s="53">
        <f t="shared" si="58"/>
        <v>0</v>
      </c>
      <c r="BG27" s="19"/>
      <c r="BH27" s="19"/>
      <c r="BI27" s="19"/>
      <c r="BJ27" s="19"/>
      <c r="BK27" s="19"/>
    </row>
    <row r="28" spans="1:63" s="8" customFormat="1" ht="15" customHeight="1" thickBot="1" x14ac:dyDescent="0.4">
      <c r="A28" s="2" t="s">
        <v>35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5" t="s">
        <v>74</v>
      </c>
      <c r="I28" s="25" t="s">
        <v>74</v>
      </c>
      <c r="J28" s="24"/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5" t="s">
        <v>74</v>
      </c>
      <c r="R28" s="25" t="s">
        <v>74</v>
      </c>
      <c r="S28" s="24"/>
      <c r="T28" s="17">
        <f t="shared" si="59"/>
        <v>0</v>
      </c>
      <c r="U28" s="17">
        <f t="shared" si="60"/>
        <v>0</v>
      </c>
      <c r="V28" s="17">
        <f t="shared" si="61"/>
        <v>0</v>
      </c>
      <c r="W28" s="17">
        <f t="shared" si="62"/>
        <v>0</v>
      </c>
      <c r="X28" s="17">
        <f t="shared" si="63"/>
        <v>0</v>
      </c>
      <c r="Y28" s="17">
        <f t="shared" si="64"/>
        <v>0</v>
      </c>
      <c r="Z28" s="23" t="s">
        <v>74</v>
      </c>
      <c r="AA28" s="23" t="s">
        <v>74</v>
      </c>
      <c r="AB28" s="24"/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5" t="s">
        <v>74</v>
      </c>
      <c r="AJ28" s="25" t="s">
        <v>74</v>
      </c>
      <c r="AK28" s="24"/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5" t="s">
        <v>74</v>
      </c>
      <c r="AS28" s="25" t="s">
        <v>74</v>
      </c>
      <c r="AT28" s="24"/>
      <c r="AU28" s="17">
        <f t="shared" si="51"/>
        <v>0</v>
      </c>
      <c r="AV28" s="17">
        <f t="shared" si="52"/>
        <v>0</v>
      </c>
      <c r="AW28" s="17">
        <f t="shared" si="53"/>
        <v>0</v>
      </c>
      <c r="AX28" s="17">
        <f t="shared" si="54"/>
        <v>0</v>
      </c>
      <c r="AY28" s="17">
        <f t="shared" si="55"/>
        <v>0</v>
      </c>
      <c r="AZ28" s="17">
        <f t="shared" si="56"/>
        <v>0</v>
      </c>
      <c r="BA28" s="23" t="s">
        <v>74</v>
      </c>
      <c r="BB28" s="23" t="s">
        <v>74</v>
      </c>
      <c r="BC28" s="19"/>
      <c r="BD28" s="20">
        <f t="shared" si="57"/>
        <v>0</v>
      </c>
      <c r="BE28" s="20">
        <v>0</v>
      </c>
      <c r="BF28" s="53">
        <f t="shared" si="58"/>
        <v>0</v>
      </c>
      <c r="BG28" s="19"/>
      <c r="BH28" s="19"/>
      <c r="BI28" s="19"/>
      <c r="BJ28" s="19"/>
      <c r="BK28" s="19"/>
    </row>
    <row r="29" spans="1:63" s="8" customFormat="1" ht="15" customHeight="1" thickBot="1" x14ac:dyDescent="0.4">
      <c r="A29" s="2" t="s">
        <v>36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5" t="s">
        <v>74</v>
      </c>
      <c r="I29" s="25" t="s">
        <v>74</v>
      </c>
      <c r="J29" s="24"/>
      <c r="K29" s="24">
        <v>4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5">
        <v>0</v>
      </c>
      <c r="R29" s="25">
        <v>0</v>
      </c>
      <c r="S29" s="24"/>
      <c r="T29" s="17">
        <f t="shared" si="59"/>
        <v>4</v>
      </c>
      <c r="U29" s="17">
        <f t="shared" si="60"/>
        <v>0</v>
      </c>
      <c r="V29" s="17">
        <f t="shared" si="61"/>
        <v>0</v>
      </c>
      <c r="W29" s="17">
        <f t="shared" si="62"/>
        <v>0</v>
      </c>
      <c r="X29" s="17">
        <f t="shared" si="63"/>
        <v>0</v>
      </c>
      <c r="Y29" s="17">
        <f t="shared" si="64"/>
        <v>0</v>
      </c>
      <c r="Z29" s="23">
        <v>0</v>
      </c>
      <c r="AA29" s="23">
        <v>0</v>
      </c>
      <c r="AB29" s="24"/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5" t="s">
        <v>74</v>
      </c>
      <c r="AJ29" s="25" t="s">
        <v>74</v>
      </c>
      <c r="AK29" s="24"/>
      <c r="AL29" s="24">
        <v>8</v>
      </c>
      <c r="AM29" s="24">
        <v>0</v>
      </c>
      <c r="AN29" s="24">
        <v>0</v>
      </c>
      <c r="AO29" s="24">
        <v>0</v>
      </c>
      <c r="AP29" s="24">
        <v>0</v>
      </c>
      <c r="AQ29" s="24">
        <v>4</v>
      </c>
      <c r="AR29" s="25">
        <v>0</v>
      </c>
      <c r="AS29" s="25">
        <v>0.33333333333333331</v>
      </c>
      <c r="AT29" s="24"/>
      <c r="AU29" s="17">
        <f t="shared" si="51"/>
        <v>12</v>
      </c>
      <c r="AV29" s="17">
        <f t="shared" si="52"/>
        <v>0</v>
      </c>
      <c r="AW29" s="17">
        <f t="shared" si="53"/>
        <v>0</v>
      </c>
      <c r="AX29" s="17">
        <f t="shared" si="54"/>
        <v>0</v>
      </c>
      <c r="AY29" s="17">
        <f t="shared" si="55"/>
        <v>0</v>
      </c>
      <c r="AZ29" s="17">
        <f t="shared" si="56"/>
        <v>4</v>
      </c>
      <c r="BA29" s="23">
        <v>0</v>
      </c>
      <c r="BB29" s="23">
        <v>0.25</v>
      </c>
      <c r="BC29" s="19"/>
      <c r="BD29" s="20">
        <f t="shared" si="57"/>
        <v>16</v>
      </c>
      <c r="BE29" s="20">
        <v>16</v>
      </c>
      <c r="BF29" s="53">
        <f t="shared" si="58"/>
        <v>0</v>
      </c>
      <c r="BG29" s="19"/>
      <c r="BH29" s="19"/>
      <c r="BI29" s="19"/>
      <c r="BJ29" s="19"/>
      <c r="BK29" s="19"/>
    </row>
    <row r="30" spans="1:63" s="8" customFormat="1" ht="15" customHeight="1" thickBot="1" x14ac:dyDescent="0.4">
      <c r="A30" s="2" t="s">
        <v>37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5" t="s">
        <v>74</v>
      </c>
      <c r="I30" s="25" t="s">
        <v>74</v>
      </c>
      <c r="J30" s="24"/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5" t="s">
        <v>74</v>
      </c>
      <c r="R30" s="25" t="s">
        <v>74</v>
      </c>
      <c r="S30" s="24"/>
      <c r="T30" s="17">
        <f t="shared" si="59"/>
        <v>0</v>
      </c>
      <c r="U30" s="17">
        <f t="shared" si="60"/>
        <v>0</v>
      </c>
      <c r="V30" s="17">
        <f t="shared" si="61"/>
        <v>0</v>
      </c>
      <c r="W30" s="17">
        <f t="shared" si="62"/>
        <v>0</v>
      </c>
      <c r="X30" s="17">
        <f t="shared" si="63"/>
        <v>0</v>
      </c>
      <c r="Y30" s="17">
        <f t="shared" si="64"/>
        <v>0</v>
      </c>
      <c r="Z30" s="23" t="s">
        <v>74</v>
      </c>
      <c r="AA30" s="23" t="s">
        <v>74</v>
      </c>
      <c r="AB30" s="24"/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5" t="s">
        <v>74</v>
      </c>
      <c r="AJ30" s="25" t="s">
        <v>74</v>
      </c>
      <c r="AK30" s="24"/>
      <c r="AL30" s="24">
        <v>1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5">
        <v>0</v>
      </c>
      <c r="AS30" s="25">
        <v>0</v>
      </c>
      <c r="AT30" s="24"/>
      <c r="AU30" s="17">
        <f t="shared" si="51"/>
        <v>1</v>
      </c>
      <c r="AV30" s="17">
        <f t="shared" si="52"/>
        <v>0</v>
      </c>
      <c r="AW30" s="17">
        <f t="shared" si="53"/>
        <v>0</v>
      </c>
      <c r="AX30" s="17">
        <f t="shared" si="54"/>
        <v>0</v>
      </c>
      <c r="AY30" s="17">
        <f t="shared" si="55"/>
        <v>0</v>
      </c>
      <c r="AZ30" s="17">
        <f t="shared" si="56"/>
        <v>0</v>
      </c>
      <c r="BA30" s="23">
        <v>0</v>
      </c>
      <c r="BB30" s="23">
        <v>0</v>
      </c>
      <c r="BC30" s="19"/>
      <c r="BD30" s="20">
        <f t="shared" si="57"/>
        <v>1</v>
      </c>
      <c r="BE30" s="20">
        <v>1</v>
      </c>
      <c r="BF30" s="53">
        <f t="shared" si="58"/>
        <v>0</v>
      </c>
      <c r="BG30" s="19"/>
      <c r="BH30" s="19"/>
      <c r="BI30" s="19"/>
      <c r="BJ30" s="19"/>
      <c r="BK30" s="19"/>
    </row>
    <row r="31" spans="1:63" s="62" customFormat="1" ht="15" customHeight="1" x14ac:dyDescent="0.35">
      <c r="A31" s="54" t="s">
        <v>38</v>
      </c>
      <c r="B31" s="55">
        <v>4</v>
      </c>
      <c r="C31" s="55">
        <v>0</v>
      </c>
      <c r="D31" s="55">
        <v>0</v>
      </c>
      <c r="E31" s="55">
        <v>0</v>
      </c>
      <c r="F31" s="55">
        <v>0</v>
      </c>
      <c r="G31" s="55">
        <v>5</v>
      </c>
      <c r="H31" s="56">
        <v>0</v>
      </c>
      <c r="I31" s="56">
        <v>0.4</v>
      </c>
      <c r="J31" s="55"/>
      <c r="K31" s="55">
        <v>5</v>
      </c>
      <c r="L31" s="55">
        <v>1</v>
      </c>
      <c r="M31" s="55">
        <v>0</v>
      </c>
      <c r="N31" s="55">
        <v>0</v>
      </c>
      <c r="O31" s="55">
        <v>0</v>
      </c>
      <c r="P31" s="55">
        <v>10</v>
      </c>
      <c r="Q31" s="56">
        <v>0.2</v>
      </c>
      <c r="R31" s="56">
        <v>0.6875</v>
      </c>
      <c r="S31" s="55"/>
      <c r="T31" s="57">
        <f t="shared" si="59"/>
        <v>9</v>
      </c>
      <c r="U31" s="57">
        <f t="shared" si="60"/>
        <v>1</v>
      </c>
      <c r="V31" s="57">
        <f t="shared" si="61"/>
        <v>0</v>
      </c>
      <c r="W31" s="57">
        <f t="shared" si="62"/>
        <v>0</v>
      </c>
      <c r="X31" s="57">
        <f t="shared" si="63"/>
        <v>0</v>
      </c>
      <c r="Y31" s="57">
        <f t="shared" si="64"/>
        <v>15</v>
      </c>
      <c r="Z31" s="58">
        <v>0.125</v>
      </c>
      <c r="AA31" s="58">
        <v>0.61904761904761907</v>
      </c>
      <c r="AB31" s="55"/>
      <c r="AC31" s="55">
        <v>1</v>
      </c>
      <c r="AD31" s="55">
        <v>0</v>
      </c>
      <c r="AE31" s="55">
        <v>0</v>
      </c>
      <c r="AF31" s="55">
        <v>0</v>
      </c>
      <c r="AG31" s="55">
        <v>0</v>
      </c>
      <c r="AH31" s="55">
        <v>2</v>
      </c>
      <c r="AI31" s="56" t="s">
        <v>74</v>
      </c>
      <c r="AJ31" s="56">
        <v>1</v>
      </c>
      <c r="AK31" s="55"/>
      <c r="AL31" s="55">
        <v>18</v>
      </c>
      <c r="AM31" s="55">
        <v>0</v>
      </c>
      <c r="AN31" s="55">
        <v>0</v>
      </c>
      <c r="AO31" s="55">
        <v>0</v>
      </c>
      <c r="AP31" s="55">
        <v>0</v>
      </c>
      <c r="AQ31" s="55">
        <v>13</v>
      </c>
      <c r="AR31" s="56">
        <v>5.8823529411764705E-2</v>
      </c>
      <c r="AS31" s="56">
        <v>0.48484848484848486</v>
      </c>
      <c r="AT31" s="55"/>
      <c r="AU31" s="57">
        <f t="shared" si="51"/>
        <v>28</v>
      </c>
      <c r="AV31" s="57">
        <f t="shared" si="52"/>
        <v>1</v>
      </c>
      <c r="AW31" s="57">
        <f t="shared" si="53"/>
        <v>0</v>
      </c>
      <c r="AX31" s="57">
        <f t="shared" si="54"/>
        <v>0</v>
      </c>
      <c r="AY31" s="57">
        <f t="shared" si="55"/>
        <v>0</v>
      </c>
      <c r="AZ31" s="57">
        <f t="shared" si="56"/>
        <v>30</v>
      </c>
      <c r="BA31" s="58">
        <v>0.08</v>
      </c>
      <c r="BB31" s="58">
        <v>0.56140350877192979</v>
      </c>
      <c r="BC31" s="59"/>
      <c r="BD31" s="60">
        <f t="shared" si="57"/>
        <v>59</v>
      </c>
      <c r="BE31" s="60">
        <v>59</v>
      </c>
      <c r="BF31" s="61">
        <f t="shared" si="58"/>
        <v>0</v>
      </c>
      <c r="BG31" s="59"/>
      <c r="BH31" s="59"/>
      <c r="BI31" s="59"/>
      <c r="BJ31" s="59"/>
      <c r="BK31" s="59"/>
    </row>
    <row r="32" spans="1:63" s="8" customFormat="1" ht="15" customHeight="1" thickBot="1" x14ac:dyDescent="0.4">
      <c r="A32" s="63" t="s">
        <v>39</v>
      </c>
      <c r="B32" s="69">
        <v>0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8" t="s">
        <v>74</v>
      </c>
      <c r="I32" s="68" t="s">
        <v>74</v>
      </c>
      <c r="J32" s="67"/>
      <c r="K32" s="72">
        <v>51</v>
      </c>
      <c r="L32" s="72">
        <v>0</v>
      </c>
      <c r="M32" s="72">
        <v>0</v>
      </c>
      <c r="N32" s="72">
        <v>1</v>
      </c>
      <c r="O32" s="72">
        <v>0</v>
      </c>
      <c r="P32" s="72">
        <v>6</v>
      </c>
      <c r="Q32" s="68">
        <v>1.9230769230769232E-2</v>
      </c>
      <c r="R32" s="68">
        <v>0.10344827586206896</v>
      </c>
      <c r="S32" s="67"/>
      <c r="T32" s="65">
        <v>51</v>
      </c>
      <c r="U32" s="65">
        <v>0</v>
      </c>
      <c r="V32" s="65">
        <v>0</v>
      </c>
      <c r="W32" s="65">
        <v>1</v>
      </c>
      <c r="X32" s="65">
        <v>0</v>
      </c>
      <c r="Y32" s="65">
        <v>6</v>
      </c>
      <c r="Z32" s="66">
        <v>1.9230769230769232E-2</v>
      </c>
      <c r="AA32" s="66">
        <v>0.10344827586206896</v>
      </c>
      <c r="AB32" s="67"/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8" t="s">
        <v>74</v>
      </c>
      <c r="AJ32" s="68" t="s">
        <v>74</v>
      </c>
      <c r="AK32" s="67"/>
      <c r="AL32" s="67">
        <v>20</v>
      </c>
      <c r="AM32" s="67">
        <v>0</v>
      </c>
      <c r="AN32" s="67">
        <v>1</v>
      </c>
      <c r="AO32" s="67">
        <v>0</v>
      </c>
      <c r="AP32" s="67">
        <v>0</v>
      </c>
      <c r="AQ32" s="67">
        <v>2</v>
      </c>
      <c r="AR32" s="68">
        <v>4.7619047619047616E-2</v>
      </c>
      <c r="AS32" s="68">
        <v>8.6956521739130432E-2</v>
      </c>
      <c r="AT32" s="67"/>
      <c r="AU32" s="65">
        <v>71</v>
      </c>
      <c r="AV32" s="65">
        <v>0</v>
      </c>
      <c r="AW32" s="65">
        <v>1</v>
      </c>
      <c r="AX32" s="65">
        <v>1</v>
      </c>
      <c r="AY32" s="65">
        <v>0</v>
      </c>
      <c r="AZ32" s="65">
        <v>8</v>
      </c>
      <c r="BA32" s="66">
        <v>2.7397260273972601E-2</v>
      </c>
      <c r="BB32" s="66">
        <v>9.8765432098765427E-2</v>
      </c>
      <c r="BC32" s="64"/>
      <c r="BD32" s="60">
        <f t="shared" ref="BD32" si="65">SUM(AU32:AZ32)</f>
        <v>81</v>
      </c>
      <c r="BE32" s="60">
        <v>81</v>
      </c>
      <c r="BF32" s="61">
        <f t="shared" ref="BF32" si="66">BD32-BE32</f>
        <v>0</v>
      </c>
      <c r="BG32" s="64"/>
      <c r="BH32" s="64"/>
      <c r="BI32" s="64"/>
      <c r="BJ32" s="64"/>
      <c r="BK32" s="64"/>
    </row>
    <row r="33" spans="1:63" s="8" customFormat="1" ht="15" customHeight="1" thickBot="1" x14ac:dyDescent="0.4">
      <c r="A33" s="2" t="s">
        <v>40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 t="s">
        <v>74</v>
      </c>
      <c r="I33" s="25" t="s">
        <v>74</v>
      </c>
      <c r="J33" s="24"/>
      <c r="K33" s="24">
        <v>18</v>
      </c>
      <c r="L33" s="24">
        <v>0</v>
      </c>
      <c r="M33" s="24">
        <v>0</v>
      </c>
      <c r="N33" s="24">
        <v>0</v>
      </c>
      <c r="O33" s="24">
        <v>0</v>
      </c>
      <c r="P33" s="24">
        <v>2</v>
      </c>
      <c r="Q33" s="25">
        <v>0</v>
      </c>
      <c r="R33" s="25">
        <v>0.1</v>
      </c>
      <c r="S33" s="24"/>
      <c r="T33" s="17">
        <f t="shared" si="59"/>
        <v>18</v>
      </c>
      <c r="U33" s="17">
        <f t="shared" si="60"/>
        <v>0</v>
      </c>
      <c r="V33" s="17">
        <f t="shared" si="61"/>
        <v>0</v>
      </c>
      <c r="W33" s="17">
        <f t="shared" si="62"/>
        <v>0</v>
      </c>
      <c r="X33" s="17">
        <f t="shared" si="63"/>
        <v>0</v>
      </c>
      <c r="Y33" s="17">
        <f t="shared" si="64"/>
        <v>2</v>
      </c>
      <c r="Z33" s="23">
        <v>0</v>
      </c>
      <c r="AA33" s="23">
        <v>0.1</v>
      </c>
      <c r="AB33" s="24"/>
      <c r="AC33" s="24">
        <v>4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5">
        <v>0</v>
      </c>
      <c r="AJ33" s="25">
        <v>0</v>
      </c>
      <c r="AK33" s="24"/>
      <c r="AL33" s="24">
        <v>8</v>
      </c>
      <c r="AM33" s="24">
        <v>1</v>
      </c>
      <c r="AN33" s="24">
        <v>0</v>
      </c>
      <c r="AO33" s="24">
        <v>0</v>
      </c>
      <c r="AP33" s="24">
        <v>0</v>
      </c>
      <c r="AQ33" s="24">
        <v>0</v>
      </c>
      <c r="AR33" s="25">
        <v>0.1111111111111111</v>
      </c>
      <c r="AS33" s="25">
        <v>0</v>
      </c>
      <c r="AT33" s="24"/>
      <c r="AU33" s="17">
        <f t="shared" si="51"/>
        <v>30</v>
      </c>
      <c r="AV33" s="17">
        <f t="shared" si="52"/>
        <v>1</v>
      </c>
      <c r="AW33" s="17">
        <f t="shared" si="53"/>
        <v>0</v>
      </c>
      <c r="AX33" s="17">
        <f t="shared" si="54"/>
        <v>0</v>
      </c>
      <c r="AY33" s="17">
        <f t="shared" si="55"/>
        <v>0</v>
      </c>
      <c r="AZ33" s="17">
        <f t="shared" si="56"/>
        <v>2</v>
      </c>
      <c r="BA33" s="23">
        <v>3.2258064516129031E-2</v>
      </c>
      <c r="BB33" s="23">
        <v>6.0606060606060608E-2</v>
      </c>
      <c r="BC33" s="19"/>
      <c r="BD33" s="20">
        <f t="shared" si="57"/>
        <v>33</v>
      </c>
      <c r="BE33" s="20">
        <v>33</v>
      </c>
      <c r="BF33" s="53">
        <f t="shared" si="58"/>
        <v>0</v>
      </c>
      <c r="BG33" s="19"/>
      <c r="BH33" s="19"/>
      <c r="BI33" s="19"/>
      <c r="BJ33" s="19"/>
      <c r="BK33" s="19"/>
    </row>
    <row r="34" spans="1:63" s="8" customFormat="1" ht="15" customHeight="1" thickBot="1" x14ac:dyDescent="0.4">
      <c r="A34" s="3" t="s">
        <v>41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 t="s">
        <v>74</v>
      </c>
      <c r="I34" s="25" t="s">
        <v>74</v>
      </c>
      <c r="J34" s="24"/>
      <c r="K34" s="24">
        <v>60</v>
      </c>
      <c r="L34" s="24">
        <v>1</v>
      </c>
      <c r="M34" s="24">
        <v>0</v>
      </c>
      <c r="N34" s="24">
        <v>0</v>
      </c>
      <c r="O34" s="24">
        <v>0</v>
      </c>
      <c r="P34" s="24">
        <v>1</v>
      </c>
      <c r="Q34" s="25">
        <v>1.6393442622950821E-2</v>
      </c>
      <c r="R34" s="25">
        <v>1.6129032258064516E-2</v>
      </c>
      <c r="S34" s="24"/>
      <c r="T34" s="17">
        <f t="shared" si="59"/>
        <v>60</v>
      </c>
      <c r="U34" s="17">
        <f t="shared" si="60"/>
        <v>1</v>
      </c>
      <c r="V34" s="17">
        <f t="shared" si="61"/>
        <v>0</v>
      </c>
      <c r="W34" s="17">
        <f t="shared" si="62"/>
        <v>0</v>
      </c>
      <c r="X34" s="17">
        <f t="shared" si="63"/>
        <v>0</v>
      </c>
      <c r="Y34" s="17">
        <f t="shared" si="64"/>
        <v>1</v>
      </c>
      <c r="Z34" s="23">
        <v>1.6393442622950821E-2</v>
      </c>
      <c r="AA34" s="23">
        <v>1.6129032258064516E-2</v>
      </c>
      <c r="AB34" s="24"/>
      <c r="AC34" s="24">
        <v>1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5">
        <v>0</v>
      </c>
      <c r="AJ34" s="25">
        <v>0</v>
      </c>
      <c r="AK34" s="24"/>
      <c r="AL34" s="24">
        <v>3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5">
        <v>0</v>
      </c>
      <c r="AS34" s="25">
        <v>0</v>
      </c>
      <c r="AT34" s="24"/>
      <c r="AU34" s="17">
        <f t="shared" si="51"/>
        <v>64</v>
      </c>
      <c r="AV34" s="17">
        <f t="shared" si="52"/>
        <v>1</v>
      </c>
      <c r="AW34" s="17">
        <f t="shared" si="53"/>
        <v>0</v>
      </c>
      <c r="AX34" s="17">
        <f t="shared" si="54"/>
        <v>0</v>
      </c>
      <c r="AY34" s="17">
        <f t="shared" si="55"/>
        <v>0</v>
      </c>
      <c r="AZ34" s="17">
        <f t="shared" si="56"/>
        <v>1</v>
      </c>
      <c r="BA34" s="23">
        <v>1.5384615384615385E-2</v>
      </c>
      <c r="BB34" s="23">
        <v>1.5151515151515152E-2</v>
      </c>
      <c r="BC34" s="19"/>
      <c r="BD34" s="20">
        <f t="shared" si="57"/>
        <v>66</v>
      </c>
      <c r="BE34" s="20">
        <v>66</v>
      </c>
      <c r="BF34" s="53">
        <f t="shared" si="58"/>
        <v>0</v>
      </c>
      <c r="BG34" s="19"/>
      <c r="BH34" s="19"/>
      <c r="BI34" s="19"/>
      <c r="BJ34" s="19"/>
      <c r="BK34" s="19"/>
    </row>
    <row r="35" spans="1:63" s="8" customFormat="1" ht="15" customHeight="1" thickBot="1" x14ac:dyDescent="0.4">
      <c r="A35" s="3" t="s">
        <v>42</v>
      </c>
      <c r="B35" s="24">
        <v>3</v>
      </c>
      <c r="C35" s="24">
        <v>0</v>
      </c>
      <c r="D35" s="24">
        <v>0</v>
      </c>
      <c r="E35" s="24">
        <v>0</v>
      </c>
      <c r="F35" s="24">
        <v>0</v>
      </c>
      <c r="G35" s="24">
        <v>1</v>
      </c>
      <c r="H35" s="25">
        <v>0</v>
      </c>
      <c r="I35" s="25">
        <v>0.25</v>
      </c>
      <c r="J35" s="24"/>
      <c r="K35" s="24">
        <v>23</v>
      </c>
      <c r="L35" s="24">
        <v>0</v>
      </c>
      <c r="M35" s="24">
        <v>0</v>
      </c>
      <c r="N35" s="24">
        <v>0</v>
      </c>
      <c r="O35" s="24">
        <v>0</v>
      </c>
      <c r="P35" s="24">
        <v>16</v>
      </c>
      <c r="Q35" s="25">
        <v>0</v>
      </c>
      <c r="R35" s="25">
        <v>0.41025641025641024</v>
      </c>
      <c r="S35" s="24"/>
      <c r="T35" s="17">
        <f t="shared" si="59"/>
        <v>26</v>
      </c>
      <c r="U35" s="17">
        <f t="shared" si="60"/>
        <v>0</v>
      </c>
      <c r="V35" s="17">
        <f t="shared" si="61"/>
        <v>0</v>
      </c>
      <c r="W35" s="17">
        <f t="shared" si="62"/>
        <v>0</v>
      </c>
      <c r="X35" s="17">
        <f t="shared" si="63"/>
        <v>0</v>
      </c>
      <c r="Y35" s="17">
        <f t="shared" si="64"/>
        <v>17</v>
      </c>
      <c r="Z35" s="23">
        <v>0</v>
      </c>
      <c r="AA35" s="23">
        <v>0.39534883720930231</v>
      </c>
      <c r="AB35" s="24"/>
      <c r="AC35" s="24">
        <v>1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5">
        <v>0</v>
      </c>
      <c r="AJ35" s="25">
        <v>0</v>
      </c>
      <c r="AK35" s="24"/>
      <c r="AL35" s="24">
        <v>7</v>
      </c>
      <c r="AM35" s="24">
        <v>0</v>
      </c>
      <c r="AN35" s="24">
        <v>0</v>
      </c>
      <c r="AO35" s="24">
        <v>0</v>
      </c>
      <c r="AP35" s="24">
        <v>0</v>
      </c>
      <c r="AQ35" s="24">
        <v>5</v>
      </c>
      <c r="AR35" s="25">
        <v>0</v>
      </c>
      <c r="AS35" s="25">
        <v>0.41666666666666669</v>
      </c>
      <c r="AT35" s="24"/>
      <c r="AU35" s="17">
        <f t="shared" si="51"/>
        <v>34</v>
      </c>
      <c r="AV35" s="17">
        <f t="shared" si="52"/>
        <v>0</v>
      </c>
      <c r="AW35" s="17">
        <f t="shared" si="53"/>
        <v>0</v>
      </c>
      <c r="AX35" s="17">
        <f t="shared" si="54"/>
        <v>0</v>
      </c>
      <c r="AY35" s="17">
        <f t="shared" si="55"/>
        <v>0</v>
      </c>
      <c r="AZ35" s="17">
        <f t="shared" si="56"/>
        <v>22</v>
      </c>
      <c r="BA35" s="23">
        <v>0</v>
      </c>
      <c r="BB35" s="23">
        <v>0.39285714285714285</v>
      </c>
      <c r="BC35" s="19"/>
      <c r="BD35" s="20">
        <f t="shared" si="57"/>
        <v>56</v>
      </c>
      <c r="BE35" s="20">
        <v>56</v>
      </c>
      <c r="BF35" s="53">
        <f t="shared" si="58"/>
        <v>0</v>
      </c>
      <c r="BG35" s="19"/>
      <c r="BH35" s="19"/>
      <c r="BI35" s="19"/>
      <c r="BJ35" s="19"/>
      <c r="BK35" s="19"/>
    </row>
    <row r="36" spans="1:63" s="8" customFormat="1" ht="15" customHeight="1" thickBot="1" x14ac:dyDescent="0.4">
      <c r="A36" s="2" t="s">
        <v>43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5" t="s">
        <v>74</v>
      </c>
      <c r="I36" s="25" t="s">
        <v>74</v>
      </c>
      <c r="J36" s="24"/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5" t="s">
        <v>74</v>
      </c>
      <c r="R36" s="25" t="s">
        <v>74</v>
      </c>
      <c r="S36" s="24"/>
      <c r="T36" s="17">
        <f t="shared" si="59"/>
        <v>0</v>
      </c>
      <c r="U36" s="17">
        <f t="shared" si="60"/>
        <v>0</v>
      </c>
      <c r="V36" s="17">
        <f t="shared" si="61"/>
        <v>0</v>
      </c>
      <c r="W36" s="17">
        <f t="shared" si="62"/>
        <v>0</v>
      </c>
      <c r="X36" s="17">
        <f t="shared" si="63"/>
        <v>0</v>
      </c>
      <c r="Y36" s="17">
        <f t="shared" si="64"/>
        <v>0</v>
      </c>
      <c r="Z36" s="23" t="s">
        <v>74</v>
      </c>
      <c r="AA36" s="23" t="s">
        <v>74</v>
      </c>
      <c r="AB36" s="24"/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5" t="s">
        <v>74</v>
      </c>
      <c r="AJ36" s="25" t="s">
        <v>74</v>
      </c>
      <c r="AK36" s="24"/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5" t="s">
        <v>74</v>
      </c>
      <c r="AS36" s="25" t="s">
        <v>74</v>
      </c>
      <c r="AT36" s="24"/>
      <c r="AU36" s="17">
        <f t="shared" si="51"/>
        <v>0</v>
      </c>
      <c r="AV36" s="17">
        <f t="shared" si="52"/>
        <v>0</v>
      </c>
      <c r="AW36" s="17">
        <f t="shared" si="53"/>
        <v>0</v>
      </c>
      <c r="AX36" s="17">
        <f t="shared" si="54"/>
        <v>0</v>
      </c>
      <c r="AY36" s="17">
        <f t="shared" si="55"/>
        <v>0</v>
      </c>
      <c r="AZ36" s="17">
        <f t="shared" si="56"/>
        <v>0</v>
      </c>
      <c r="BA36" s="23" t="s">
        <v>74</v>
      </c>
      <c r="BB36" s="23" t="s">
        <v>74</v>
      </c>
      <c r="BC36" s="19"/>
      <c r="BD36" s="20">
        <f t="shared" si="57"/>
        <v>0</v>
      </c>
      <c r="BE36" s="20">
        <v>0</v>
      </c>
      <c r="BF36" s="53">
        <f t="shared" si="58"/>
        <v>0</v>
      </c>
      <c r="BG36" s="19"/>
      <c r="BH36" s="19"/>
      <c r="BI36" s="19"/>
      <c r="BJ36" s="19"/>
      <c r="BK36" s="19"/>
    </row>
    <row r="37" spans="1:63" s="8" customFormat="1" ht="15" customHeight="1" thickBot="1" x14ac:dyDescent="0.4">
      <c r="A37" s="3" t="s">
        <v>44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5" t="s">
        <v>74</v>
      </c>
      <c r="I37" s="25" t="s">
        <v>74</v>
      </c>
      <c r="J37" s="24"/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 t="s">
        <v>74</v>
      </c>
      <c r="R37" s="25" t="s">
        <v>74</v>
      </c>
      <c r="S37" s="24"/>
      <c r="T37" s="17">
        <f t="shared" si="59"/>
        <v>0</v>
      </c>
      <c r="U37" s="17">
        <f t="shared" si="60"/>
        <v>0</v>
      </c>
      <c r="V37" s="17">
        <f t="shared" si="61"/>
        <v>0</v>
      </c>
      <c r="W37" s="17">
        <f t="shared" si="62"/>
        <v>0</v>
      </c>
      <c r="X37" s="17">
        <f t="shared" si="63"/>
        <v>0</v>
      </c>
      <c r="Y37" s="17">
        <f t="shared" si="64"/>
        <v>0</v>
      </c>
      <c r="Z37" s="23" t="s">
        <v>74</v>
      </c>
      <c r="AA37" s="23" t="s">
        <v>74</v>
      </c>
      <c r="AB37" s="24"/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5" t="s">
        <v>74</v>
      </c>
      <c r="AJ37" s="25" t="s">
        <v>74</v>
      </c>
      <c r="AK37" s="24"/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5" t="s">
        <v>74</v>
      </c>
      <c r="AS37" s="25" t="s">
        <v>74</v>
      </c>
      <c r="AT37" s="24"/>
      <c r="AU37" s="17">
        <f t="shared" si="51"/>
        <v>0</v>
      </c>
      <c r="AV37" s="17">
        <f t="shared" si="52"/>
        <v>0</v>
      </c>
      <c r="AW37" s="17">
        <f t="shared" si="53"/>
        <v>0</v>
      </c>
      <c r="AX37" s="17">
        <f t="shared" si="54"/>
        <v>0</v>
      </c>
      <c r="AY37" s="17">
        <f t="shared" si="55"/>
        <v>0</v>
      </c>
      <c r="AZ37" s="17">
        <f t="shared" si="56"/>
        <v>0</v>
      </c>
      <c r="BA37" s="23" t="s">
        <v>74</v>
      </c>
      <c r="BB37" s="23" t="s">
        <v>74</v>
      </c>
      <c r="BC37" s="19"/>
      <c r="BD37" s="20">
        <f t="shared" si="57"/>
        <v>0</v>
      </c>
      <c r="BE37" s="20">
        <v>0</v>
      </c>
      <c r="BF37" s="53">
        <f t="shared" si="58"/>
        <v>0</v>
      </c>
      <c r="BG37" s="19"/>
      <c r="BH37" s="19"/>
      <c r="BI37" s="19"/>
      <c r="BJ37" s="19"/>
      <c r="BK37" s="19"/>
    </row>
    <row r="38" spans="1:63" s="8" customFormat="1" ht="15" customHeight="1" thickBot="1" x14ac:dyDescent="0.4">
      <c r="A38" s="3" t="s">
        <v>45</v>
      </c>
      <c r="B38" s="24">
        <v>1</v>
      </c>
      <c r="C38" s="24">
        <v>0</v>
      </c>
      <c r="D38" s="24">
        <v>0</v>
      </c>
      <c r="E38" s="24">
        <v>0</v>
      </c>
      <c r="F38" s="24">
        <v>0</v>
      </c>
      <c r="G38" s="24">
        <v>3</v>
      </c>
      <c r="H38" s="25">
        <v>0</v>
      </c>
      <c r="I38" s="25">
        <v>0.75</v>
      </c>
      <c r="J38" s="24"/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11</v>
      </c>
      <c r="Q38" s="25" t="s">
        <v>74</v>
      </c>
      <c r="R38" s="25">
        <v>1</v>
      </c>
      <c r="S38" s="24"/>
      <c r="T38" s="17">
        <f t="shared" si="59"/>
        <v>1</v>
      </c>
      <c r="U38" s="17">
        <f t="shared" si="60"/>
        <v>0</v>
      </c>
      <c r="V38" s="17">
        <f t="shared" si="61"/>
        <v>0</v>
      </c>
      <c r="W38" s="17">
        <f t="shared" si="62"/>
        <v>0</v>
      </c>
      <c r="X38" s="17">
        <f t="shared" si="63"/>
        <v>0</v>
      </c>
      <c r="Y38" s="17">
        <f t="shared" si="64"/>
        <v>14</v>
      </c>
      <c r="Z38" s="23">
        <v>0</v>
      </c>
      <c r="AA38" s="23">
        <v>0.93333333333333335</v>
      </c>
      <c r="AB38" s="24"/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5" t="s">
        <v>74</v>
      </c>
      <c r="AJ38" s="25" t="s">
        <v>74</v>
      </c>
      <c r="AK38" s="24"/>
      <c r="AL38" s="24">
        <v>3</v>
      </c>
      <c r="AM38" s="24">
        <v>0</v>
      </c>
      <c r="AN38" s="24">
        <v>0</v>
      </c>
      <c r="AO38" s="24">
        <v>0</v>
      </c>
      <c r="AP38" s="24">
        <v>0</v>
      </c>
      <c r="AQ38" s="24">
        <v>6</v>
      </c>
      <c r="AR38" s="25">
        <v>0</v>
      </c>
      <c r="AS38" s="25">
        <v>0.66666666666666663</v>
      </c>
      <c r="AT38" s="24"/>
      <c r="AU38" s="17">
        <f t="shared" si="51"/>
        <v>4</v>
      </c>
      <c r="AV38" s="17">
        <f t="shared" si="52"/>
        <v>0</v>
      </c>
      <c r="AW38" s="17">
        <f t="shared" si="53"/>
        <v>0</v>
      </c>
      <c r="AX38" s="17">
        <f t="shared" si="54"/>
        <v>0</v>
      </c>
      <c r="AY38" s="17">
        <f t="shared" si="55"/>
        <v>0</v>
      </c>
      <c r="AZ38" s="17">
        <f t="shared" si="56"/>
        <v>20</v>
      </c>
      <c r="BA38" s="23">
        <v>0</v>
      </c>
      <c r="BB38" s="23">
        <v>0.83333333333333337</v>
      </c>
      <c r="BC38" s="19"/>
      <c r="BD38" s="20">
        <f t="shared" si="57"/>
        <v>24</v>
      </c>
      <c r="BE38" s="20">
        <v>24</v>
      </c>
      <c r="BF38" s="53">
        <f t="shared" si="58"/>
        <v>0</v>
      </c>
      <c r="BG38" s="19"/>
      <c r="BH38" s="19"/>
      <c r="BI38" s="19"/>
      <c r="BJ38" s="19"/>
      <c r="BK38" s="19"/>
    </row>
    <row r="39" spans="1:63" s="8" customFormat="1" ht="15" customHeight="1" thickBot="1" x14ac:dyDescent="0.4">
      <c r="A39" s="3" t="s">
        <v>46</v>
      </c>
      <c r="B39" s="24">
        <v>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5">
        <v>0</v>
      </c>
      <c r="I39" s="25">
        <v>0</v>
      </c>
      <c r="J39" s="24"/>
      <c r="K39" s="24">
        <v>11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5">
        <v>0</v>
      </c>
      <c r="R39" s="25">
        <v>0</v>
      </c>
      <c r="S39" s="24"/>
      <c r="T39" s="17">
        <f t="shared" si="59"/>
        <v>16</v>
      </c>
      <c r="U39" s="17">
        <f t="shared" si="60"/>
        <v>0</v>
      </c>
      <c r="V39" s="17">
        <f t="shared" si="61"/>
        <v>0</v>
      </c>
      <c r="W39" s="17">
        <f t="shared" si="62"/>
        <v>0</v>
      </c>
      <c r="X39" s="17">
        <f t="shared" si="63"/>
        <v>0</v>
      </c>
      <c r="Y39" s="17">
        <f t="shared" si="64"/>
        <v>0</v>
      </c>
      <c r="Z39" s="23">
        <v>0</v>
      </c>
      <c r="AA39" s="23">
        <v>0</v>
      </c>
      <c r="AB39" s="24"/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5" t="s">
        <v>74</v>
      </c>
      <c r="AJ39" s="25" t="s">
        <v>74</v>
      </c>
      <c r="AK39" s="24"/>
      <c r="AL39" s="24">
        <v>1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5">
        <v>0</v>
      </c>
      <c r="AS39" s="25">
        <v>0</v>
      </c>
      <c r="AT39" s="24"/>
      <c r="AU39" s="17">
        <f t="shared" si="51"/>
        <v>17</v>
      </c>
      <c r="AV39" s="17">
        <f t="shared" si="52"/>
        <v>0</v>
      </c>
      <c r="AW39" s="17">
        <f t="shared" si="53"/>
        <v>0</v>
      </c>
      <c r="AX39" s="17">
        <f t="shared" si="54"/>
        <v>0</v>
      </c>
      <c r="AY39" s="17">
        <f t="shared" si="55"/>
        <v>0</v>
      </c>
      <c r="AZ39" s="17">
        <f t="shared" si="56"/>
        <v>0</v>
      </c>
      <c r="BA39" s="23">
        <v>0</v>
      </c>
      <c r="BB39" s="23">
        <v>0</v>
      </c>
      <c r="BC39" s="19"/>
      <c r="BD39" s="20">
        <f t="shared" si="57"/>
        <v>17</v>
      </c>
      <c r="BE39" s="20">
        <v>17</v>
      </c>
      <c r="BF39" s="53">
        <f t="shared" si="58"/>
        <v>0</v>
      </c>
      <c r="BG39" s="19"/>
      <c r="BH39" s="19"/>
      <c r="BI39" s="19"/>
      <c r="BJ39" s="19"/>
      <c r="BK39" s="19"/>
    </row>
    <row r="40" spans="1:63" s="8" customFormat="1" ht="15" customHeight="1" thickBot="1" x14ac:dyDescent="0.4">
      <c r="A40" s="2" t="s">
        <v>47</v>
      </c>
      <c r="B40" s="24">
        <v>1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5">
        <v>0</v>
      </c>
      <c r="I40" s="25">
        <v>0</v>
      </c>
      <c r="J40" s="24"/>
      <c r="K40" s="24">
        <v>26</v>
      </c>
      <c r="L40" s="24">
        <v>0</v>
      </c>
      <c r="M40" s="24">
        <v>0</v>
      </c>
      <c r="N40" s="24">
        <v>0</v>
      </c>
      <c r="O40" s="24">
        <v>4</v>
      </c>
      <c r="P40" s="24">
        <v>0</v>
      </c>
      <c r="Q40" s="25">
        <v>0.13333333333333333</v>
      </c>
      <c r="R40" s="25">
        <v>0</v>
      </c>
      <c r="S40" s="24"/>
      <c r="T40" s="17">
        <f t="shared" si="59"/>
        <v>27</v>
      </c>
      <c r="U40" s="17">
        <f t="shared" si="60"/>
        <v>0</v>
      </c>
      <c r="V40" s="17">
        <f t="shared" si="61"/>
        <v>0</v>
      </c>
      <c r="W40" s="17">
        <f t="shared" si="62"/>
        <v>0</v>
      </c>
      <c r="X40" s="17">
        <f t="shared" si="63"/>
        <v>4</v>
      </c>
      <c r="Y40" s="17">
        <f t="shared" si="64"/>
        <v>0</v>
      </c>
      <c r="Z40" s="23">
        <v>0.12903225806451613</v>
      </c>
      <c r="AA40" s="23">
        <v>0</v>
      </c>
      <c r="AB40" s="24"/>
      <c r="AC40" s="24">
        <v>0</v>
      </c>
      <c r="AD40" s="24">
        <v>0</v>
      </c>
      <c r="AE40" s="24">
        <v>0</v>
      </c>
      <c r="AF40" s="24">
        <v>0</v>
      </c>
      <c r="AG40" s="24">
        <v>1</v>
      </c>
      <c r="AH40" s="24">
        <v>0</v>
      </c>
      <c r="AI40" s="25">
        <v>1</v>
      </c>
      <c r="AJ40" s="25">
        <v>0</v>
      </c>
      <c r="AK40" s="24"/>
      <c r="AL40" s="24">
        <v>16</v>
      </c>
      <c r="AM40" s="24">
        <v>0</v>
      </c>
      <c r="AN40" s="24">
        <v>0</v>
      </c>
      <c r="AO40" s="24">
        <v>0</v>
      </c>
      <c r="AP40" s="24">
        <v>10</v>
      </c>
      <c r="AQ40" s="24">
        <v>0</v>
      </c>
      <c r="AR40" s="25">
        <v>0.38461538461538464</v>
      </c>
      <c r="AS40" s="25">
        <v>0</v>
      </c>
      <c r="AT40" s="24"/>
      <c r="AU40" s="17">
        <f t="shared" si="51"/>
        <v>43</v>
      </c>
      <c r="AV40" s="17">
        <f t="shared" si="52"/>
        <v>0</v>
      </c>
      <c r="AW40" s="17">
        <f t="shared" si="53"/>
        <v>0</v>
      </c>
      <c r="AX40" s="17">
        <f t="shared" si="54"/>
        <v>0</v>
      </c>
      <c r="AY40" s="17">
        <f t="shared" si="55"/>
        <v>15</v>
      </c>
      <c r="AZ40" s="17">
        <f t="shared" si="56"/>
        <v>0</v>
      </c>
      <c r="BA40" s="23">
        <v>0.25862068965517243</v>
      </c>
      <c r="BB40" s="23">
        <v>0</v>
      </c>
      <c r="BC40" s="19"/>
      <c r="BD40" s="20">
        <f t="shared" si="57"/>
        <v>58</v>
      </c>
      <c r="BE40" s="20">
        <v>58</v>
      </c>
      <c r="BF40" s="53">
        <f t="shared" si="58"/>
        <v>0</v>
      </c>
      <c r="BG40" s="19"/>
      <c r="BH40" s="19"/>
      <c r="BI40" s="19"/>
      <c r="BJ40" s="19"/>
      <c r="BK40" s="19"/>
    </row>
    <row r="41" spans="1:63" s="8" customFormat="1" ht="15" customHeight="1" thickBot="1" x14ac:dyDescent="0.4">
      <c r="A41" s="2" t="s">
        <v>48</v>
      </c>
      <c r="B41" s="24">
        <v>17</v>
      </c>
      <c r="C41" s="24">
        <v>0</v>
      </c>
      <c r="D41" s="24">
        <v>0</v>
      </c>
      <c r="E41" s="24">
        <v>0</v>
      </c>
      <c r="F41" s="24">
        <v>0</v>
      </c>
      <c r="G41" s="24">
        <v>1</v>
      </c>
      <c r="H41" s="25">
        <v>0</v>
      </c>
      <c r="I41" s="25">
        <v>5.5555555555555552E-2</v>
      </c>
      <c r="J41" s="24"/>
      <c r="K41" s="24">
        <v>36</v>
      </c>
      <c r="L41" s="24">
        <v>0</v>
      </c>
      <c r="M41" s="24">
        <v>0</v>
      </c>
      <c r="N41" s="24">
        <v>0</v>
      </c>
      <c r="O41" s="24">
        <v>1</v>
      </c>
      <c r="P41" s="24">
        <v>9</v>
      </c>
      <c r="Q41" s="25">
        <v>2.7027027027027029E-2</v>
      </c>
      <c r="R41" s="25">
        <v>0.19565217391304349</v>
      </c>
      <c r="S41" s="24"/>
      <c r="T41" s="17">
        <f t="shared" si="59"/>
        <v>53</v>
      </c>
      <c r="U41" s="17">
        <f t="shared" si="60"/>
        <v>0</v>
      </c>
      <c r="V41" s="17">
        <f t="shared" si="61"/>
        <v>0</v>
      </c>
      <c r="W41" s="17">
        <f t="shared" si="62"/>
        <v>0</v>
      </c>
      <c r="X41" s="17">
        <f t="shared" si="63"/>
        <v>1</v>
      </c>
      <c r="Y41" s="17">
        <f t="shared" si="64"/>
        <v>10</v>
      </c>
      <c r="Z41" s="23">
        <v>1.8518518518518517E-2</v>
      </c>
      <c r="AA41" s="23">
        <v>0.15625</v>
      </c>
      <c r="AB41" s="24"/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5" t="s">
        <v>74</v>
      </c>
      <c r="AJ41" s="25" t="s">
        <v>74</v>
      </c>
      <c r="AK41" s="24"/>
      <c r="AL41" s="24">
        <v>3</v>
      </c>
      <c r="AM41" s="24">
        <v>0</v>
      </c>
      <c r="AN41" s="24">
        <v>1</v>
      </c>
      <c r="AO41" s="24">
        <v>0</v>
      </c>
      <c r="AP41" s="24">
        <v>1</v>
      </c>
      <c r="AQ41" s="24">
        <v>1</v>
      </c>
      <c r="AR41" s="25">
        <v>0.4</v>
      </c>
      <c r="AS41" s="25">
        <v>0.16666666666666666</v>
      </c>
      <c r="AT41" s="24"/>
      <c r="AU41" s="17">
        <f t="shared" si="51"/>
        <v>56</v>
      </c>
      <c r="AV41" s="17">
        <f t="shared" si="52"/>
        <v>0</v>
      </c>
      <c r="AW41" s="17">
        <f t="shared" si="53"/>
        <v>1</v>
      </c>
      <c r="AX41" s="17">
        <f t="shared" si="54"/>
        <v>0</v>
      </c>
      <c r="AY41" s="17">
        <f t="shared" si="55"/>
        <v>2</v>
      </c>
      <c r="AZ41" s="17">
        <f t="shared" si="56"/>
        <v>11</v>
      </c>
      <c r="BA41" s="23">
        <v>5.0847457627118647E-2</v>
      </c>
      <c r="BB41" s="23">
        <v>0.15714285714285714</v>
      </c>
      <c r="BC41" s="19"/>
      <c r="BD41" s="20">
        <f t="shared" si="57"/>
        <v>70</v>
      </c>
      <c r="BE41" s="20">
        <v>70</v>
      </c>
      <c r="BF41" s="53">
        <f t="shared" si="58"/>
        <v>0</v>
      </c>
      <c r="BG41" s="19"/>
      <c r="BH41" s="19"/>
      <c r="BI41" s="19"/>
      <c r="BJ41" s="19"/>
      <c r="BK41" s="19"/>
    </row>
    <row r="42" spans="1:63" s="8" customFormat="1" ht="15" customHeight="1" thickBot="1" x14ac:dyDescent="0.4">
      <c r="A42" s="2" t="s">
        <v>49</v>
      </c>
      <c r="B42" s="24">
        <v>5</v>
      </c>
      <c r="C42" s="24">
        <v>0</v>
      </c>
      <c r="D42" s="24">
        <v>0</v>
      </c>
      <c r="E42" s="24">
        <v>0</v>
      </c>
      <c r="F42" s="24">
        <v>0</v>
      </c>
      <c r="G42" s="24">
        <v>9</v>
      </c>
      <c r="H42" s="25">
        <v>0</v>
      </c>
      <c r="I42" s="25">
        <v>0.6428571428571429</v>
      </c>
      <c r="J42" s="24"/>
      <c r="K42" s="24">
        <v>19</v>
      </c>
      <c r="L42" s="24">
        <v>0</v>
      </c>
      <c r="M42" s="24">
        <v>0</v>
      </c>
      <c r="N42" s="24">
        <v>0</v>
      </c>
      <c r="O42" s="24">
        <v>0</v>
      </c>
      <c r="P42" s="24">
        <v>13</v>
      </c>
      <c r="Q42" s="25">
        <v>0</v>
      </c>
      <c r="R42" s="25">
        <v>0.40625</v>
      </c>
      <c r="S42" s="24"/>
      <c r="T42" s="17">
        <f t="shared" si="59"/>
        <v>24</v>
      </c>
      <c r="U42" s="17">
        <f t="shared" si="60"/>
        <v>0</v>
      </c>
      <c r="V42" s="17">
        <f t="shared" si="61"/>
        <v>0</v>
      </c>
      <c r="W42" s="17">
        <f t="shared" si="62"/>
        <v>0</v>
      </c>
      <c r="X42" s="17">
        <f t="shared" si="63"/>
        <v>0</v>
      </c>
      <c r="Y42" s="17">
        <f t="shared" si="64"/>
        <v>22</v>
      </c>
      <c r="Z42" s="23">
        <v>0</v>
      </c>
      <c r="AA42" s="23">
        <v>0.47826086956521741</v>
      </c>
      <c r="AB42" s="24"/>
      <c r="AC42" s="24">
        <v>1</v>
      </c>
      <c r="AD42" s="24">
        <v>0</v>
      </c>
      <c r="AE42" s="24">
        <v>0</v>
      </c>
      <c r="AF42" s="24">
        <v>0</v>
      </c>
      <c r="AG42" s="24">
        <v>0</v>
      </c>
      <c r="AH42" s="24">
        <v>1</v>
      </c>
      <c r="AI42" s="25">
        <v>0</v>
      </c>
      <c r="AJ42" s="25">
        <v>0.5</v>
      </c>
      <c r="AK42" s="24"/>
      <c r="AL42" s="24">
        <v>10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5">
        <v>0</v>
      </c>
      <c r="AS42" s="25">
        <v>0</v>
      </c>
      <c r="AT42" s="24"/>
      <c r="AU42" s="17">
        <f t="shared" si="51"/>
        <v>35</v>
      </c>
      <c r="AV42" s="17">
        <f t="shared" si="52"/>
        <v>0</v>
      </c>
      <c r="AW42" s="17">
        <f t="shared" si="53"/>
        <v>0</v>
      </c>
      <c r="AX42" s="17">
        <f t="shared" si="54"/>
        <v>0</v>
      </c>
      <c r="AY42" s="17">
        <f t="shared" si="55"/>
        <v>0</v>
      </c>
      <c r="AZ42" s="17">
        <f t="shared" si="56"/>
        <v>23</v>
      </c>
      <c r="BA42" s="23">
        <v>0</v>
      </c>
      <c r="BB42" s="23">
        <v>0.39655172413793105</v>
      </c>
      <c r="BC42" s="19"/>
      <c r="BD42" s="20">
        <f t="shared" si="57"/>
        <v>58</v>
      </c>
      <c r="BE42" s="20">
        <v>58</v>
      </c>
      <c r="BF42" s="53">
        <f t="shared" si="58"/>
        <v>0</v>
      </c>
      <c r="BG42" s="19"/>
      <c r="BH42" s="19"/>
      <c r="BI42" s="19"/>
      <c r="BJ42" s="19"/>
      <c r="BK42" s="19"/>
    </row>
    <row r="43" spans="1:63" s="8" customFormat="1" ht="15" customHeight="1" thickBot="1" x14ac:dyDescent="0.4">
      <c r="A43" s="2" t="s">
        <v>50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5" t="s">
        <v>74</v>
      </c>
      <c r="I43" s="25" t="s">
        <v>74</v>
      </c>
      <c r="J43" s="24"/>
      <c r="K43" s="24">
        <v>33</v>
      </c>
      <c r="L43" s="24">
        <v>0</v>
      </c>
      <c r="M43" s="24">
        <v>0</v>
      </c>
      <c r="N43" s="24">
        <v>0</v>
      </c>
      <c r="O43" s="24">
        <v>1</v>
      </c>
      <c r="P43" s="24">
        <v>0</v>
      </c>
      <c r="Q43" s="25">
        <v>2.9411764705882353E-2</v>
      </c>
      <c r="R43" s="25">
        <v>0</v>
      </c>
      <c r="S43" s="24"/>
      <c r="T43" s="17">
        <f t="shared" si="59"/>
        <v>33</v>
      </c>
      <c r="U43" s="17">
        <f t="shared" si="60"/>
        <v>0</v>
      </c>
      <c r="V43" s="17">
        <f t="shared" si="61"/>
        <v>0</v>
      </c>
      <c r="W43" s="17">
        <f t="shared" si="62"/>
        <v>0</v>
      </c>
      <c r="X43" s="17">
        <f t="shared" si="63"/>
        <v>1</v>
      </c>
      <c r="Y43" s="17">
        <f t="shared" si="64"/>
        <v>0</v>
      </c>
      <c r="Z43" s="23">
        <v>2.9411764705882353E-2</v>
      </c>
      <c r="AA43" s="23">
        <v>0</v>
      </c>
      <c r="AB43" s="24"/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5" t="s">
        <v>74</v>
      </c>
      <c r="AJ43" s="25" t="s">
        <v>74</v>
      </c>
      <c r="AK43" s="24"/>
      <c r="AL43" s="24">
        <v>12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5">
        <v>0</v>
      </c>
      <c r="AS43" s="25">
        <v>0</v>
      </c>
      <c r="AT43" s="24"/>
      <c r="AU43" s="17">
        <f t="shared" si="51"/>
        <v>45</v>
      </c>
      <c r="AV43" s="17">
        <f t="shared" si="52"/>
        <v>0</v>
      </c>
      <c r="AW43" s="17">
        <f t="shared" si="53"/>
        <v>0</v>
      </c>
      <c r="AX43" s="17">
        <f t="shared" si="54"/>
        <v>0</v>
      </c>
      <c r="AY43" s="17">
        <f t="shared" si="55"/>
        <v>1</v>
      </c>
      <c r="AZ43" s="17">
        <f t="shared" si="56"/>
        <v>0</v>
      </c>
      <c r="BA43" s="23">
        <v>2.1739130434782608E-2</v>
      </c>
      <c r="BB43" s="23">
        <v>0</v>
      </c>
      <c r="BC43" s="19"/>
      <c r="BD43" s="20">
        <f t="shared" si="57"/>
        <v>46</v>
      </c>
      <c r="BE43" s="20">
        <v>46</v>
      </c>
      <c r="BF43" s="53">
        <f t="shared" si="58"/>
        <v>0</v>
      </c>
      <c r="BG43" s="19"/>
      <c r="BH43" s="19"/>
      <c r="BI43" s="19"/>
      <c r="BJ43" s="19"/>
      <c r="BK43" s="19"/>
    </row>
    <row r="44" spans="1:63" s="8" customFormat="1" ht="15" customHeight="1" thickBot="1" x14ac:dyDescent="0.4">
      <c r="A44" s="2" t="s">
        <v>51</v>
      </c>
      <c r="B44" s="24">
        <v>10</v>
      </c>
      <c r="C44" s="24">
        <v>0</v>
      </c>
      <c r="D44" s="24">
        <v>0</v>
      </c>
      <c r="E44" s="24">
        <v>0</v>
      </c>
      <c r="F44" s="24">
        <v>0</v>
      </c>
      <c r="G44" s="24">
        <v>7</v>
      </c>
      <c r="H44" s="25">
        <v>0</v>
      </c>
      <c r="I44" s="25">
        <v>0.41176470588235292</v>
      </c>
      <c r="J44" s="24"/>
      <c r="K44" s="24">
        <v>3</v>
      </c>
      <c r="L44" s="24">
        <v>0</v>
      </c>
      <c r="M44" s="24">
        <v>0</v>
      </c>
      <c r="N44" s="24">
        <v>0</v>
      </c>
      <c r="O44" s="24">
        <v>0</v>
      </c>
      <c r="P44" s="24">
        <v>30</v>
      </c>
      <c r="Q44" s="25">
        <v>0</v>
      </c>
      <c r="R44" s="25">
        <v>0.90909090909090906</v>
      </c>
      <c r="S44" s="24"/>
      <c r="T44" s="17">
        <f t="shared" si="59"/>
        <v>13</v>
      </c>
      <c r="U44" s="17">
        <f t="shared" si="60"/>
        <v>0</v>
      </c>
      <c r="V44" s="17">
        <f t="shared" si="61"/>
        <v>0</v>
      </c>
      <c r="W44" s="17">
        <f t="shared" si="62"/>
        <v>0</v>
      </c>
      <c r="X44" s="17">
        <f t="shared" si="63"/>
        <v>0</v>
      </c>
      <c r="Y44" s="17">
        <f t="shared" si="64"/>
        <v>37</v>
      </c>
      <c r="Z44" s="23">
        <v>0</v>
      </c>
      <c r="AA44" s="23">
        <v>0.74</v>
      </c>
      <c r="AB44" s="24"/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5" t="s">
        <v>74</v>
      </c>
      <c r="AJ44" s="25" t="s">
        <v>74</v>
      </c>
      <c r="AK44" s="24"/>
      <c r="AL44" s="24">
        <v>11</v>
      </c>
      <c r="AM44" s="24">
        <v>0</v>
      </c>
      <c r="AN44" s="24">
        <v>1</v>
      </c>
      <c r="AO44" s="24">
        <v>0</v>
      </c>
      <c r="AP44" s="24">
        <v>0</v>
      </c>
      <c r="AQ44" s="24">
        <v>0</v>
      </c>
      <c r="AR44" s="25">
        <v>8.3333333333333329E-2</v>
      </c>
      <c r="AS44" s="25">
        <v>0</v>
      </c>
      <c r="AT44" s="24"/>
      <c r="AU44" s="17">
        <f t="shared" si="51"/>
        <v>24</v>
      </c>
      <c r="AV44" s="17">
        <f t="shared" si="52"/>
        <v>0</v>
      </c>
      <c r="AW44" s="17">
        <f t="shared" si="53"/>
        <v>1</v>
      </c>
      <c r="AX44" s="17">
        <f t="shared" si="54"/>
        <v>0</v>
      </c>
      <c r="AY44" s="17">
        <f t="shared" si="55"/>
        <v>0</v>
      </c>
      <c r="AZ44" s="17">
        <f t="shared" si="56"/>
        <v>37</v>
      </c>
      <c r="BA44" s="23">
        <v>0.04</v>
      </c>
      <c r="BB44" s="23">
        <v>0.59677419354838712</v>
      </c>
      <c r="BC44" s="19"/>
      <c r="BD44" s="20">
        <f t="shared" si="57"/>
        <v>62</v>
      </c>
      <c r="BE44" s="20">
        <v>62</v>
      </c>
      <c r="BF44" s="53">
        <f t="shared" si="58"/>
        <v>0</v>
      </c>
      <c r="BG44" s="19"/>
      <c r="BH44" s="19"/>
      <c r="BI44" s="19"/>
      <c r="BJ44" s="19"/>
      <c r="BK44" s="19"/>
    </row>
    <row r="45" spans="1:63" s="8" customFormat="1" ht="15" customHeight="1" thickBot="1" x14ac:dyDescent="0.4">
      <c r="A45" s="2" t="s">
        <v>52</v>
      </c>
      <c r="B45" s="24">
        <v>10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5">
        <v>0</v>
      </c>
      <c r="I45" s="25">
        <v>0</v>
      </c>
      <c r="J45" s="24"/>
      <c r="K45" s="24">
        <v>11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5">
        <v>0</v>
      </c>
      <c r="R45" s="25">
        <v>0</v>
      </c>
      <c r="S45" s="24"/>
      <c r="T45" s="17">
        <f t="shared" si="59"/>
        <v>21</v>
      </c>
      <c r="U45" s="17">
        <f t="shared" si="60"/>
        <v>0</v>
      </c>
      <c r="V45" s="17">
        <f t="shared" si="61"/>
        <v>0</v>
      </c>
      <c r="W45" s="17">
        <f t="shared" si="62"/>
        <v>0</v>
      </c>
      <c r="X45" s="17">
        <f t="shared" si="63"/>
        <v>0</v>
      </c>
      <c r="Y45" s="17">
        <f t="shared" si="64"/>
        <v>0</v>
      </c>
      <c r="Z45" s="23">
        <v>0</v>
      </c>
      <c r="AA45" s="23">
        <v>0</v>
      </c>
      <c r="AB45" s="24"/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1</v>
      </c>
      <c r="AI45" s="25" t="s">
        <v>74</v>
      </c>
      <c r="AJ45" s="25">
        <v>1</v>
      </c>
      <c r="AK45" s="24"/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5" t="s">
        <v>74</v>
      </c>
      <c r="AS45" s="25" t="s">
        <v>74</v>
      </c>
      <c r="AT45" s="24"/>
      <c r="AU45" s="17">
        <f t="shared" si="51"/>
        <v>21</v>
      </c>
      <c r="AV45" s="17">
        <f t="shared" si="52"/>
        <v>0</v>
      </c>
      <c r="AW45" s="17">
        <f t="shared" si="53"/>
        <v>0</v>
      </c>
      <c r="AX45" s="17">
        <f t="shared" si="54"/>
        <v>0</v>
      </c>
      <c r="AY45" s="17">
        <f t="shared" si="55"/>
        <v>0</v>
      </c>
      <c r="AZ45" s="17">
        <f t="shared" si="56"/>
        <v>1</v>
      </c>
      <c r="BA45" s="23">
        <v>0</v>
      </c>
      <c r="BB45" s="23">
        <v>4.5454545454545456E-2</v>
      </c>
      <c r="BC45" s="19"/>
      <c r="BD45" s="20">
        <f t="shared" si="57"/>
        <v>22</v>
      </c>
      <c r="BE45" s="20">
        <v>22</v>
      </c>
      <c r="BF45" s="53">
        <f t="shared" si="58"/>
        <v>0</v>
      </c>
      <c r="BG45" s="19"/>
      <c r="BH45" s="19"/>
      <c r="BI45" s="19"/>
      <c r="BJ45" s="19"/>
      <c r="BK45" s="19"/>
    </row>
    <row r="46" spans="1:63" s="8" customFormat="1" ht="15" customHeight="1" thickBot="1" x14ac:dyDescent="0.4">
      <c r="A46" s="2" t="s">
        <v>53</v>
      </c>
      <c r="B46" s="24">
        <v>6</v>
      </c>
      <c r="C46" s="24">
        <v>0</v>
      </c>
      <c r="D46" s="24">
        <v>0</v>
      </c>
      <c r="E46" s="24">
        <v>0</v>
      </c>
      <c r="F46" s="24">
        <v>0</v>
      </c>
      <c r="G46" s="24">
        <v>1</v>
      </c>
      <c r="H46" s="25">
        <v>0</v>
      </c>
      <c r="I46" s="25">
        <v>0.14285714285714285</v>
      </c>
      <c r="J46" s="24"/>
      <c r="K46" s="24">
        <v>9</v>
      </c>
      <c r="L46" s="24">
        <v>0</v>
      </c>
      <c r="M46" s="24">
        <v>0</v>
      </c>
      <c r="N46" s="24">
        <v>0</v>
      </c>
      <c r="O46" s="24">
        <v>0</v>
      </c>
      <c r="P46" s="24">
        <v>16</v>
      </c>
      <c r="Q46" s="25">
        <v>0</v>
      </c>
      <c r="R46" s="25">
        <v>0.64</v>
      </c>
      <c r="S46" s="24"/>
      <c r="T46" s="17">
        <f t="shared" si="59"/>
        <v>15</v>
      </c>
      <c r="U46" s="17">
        <f t="shared" si="60"/>
        <v>0</v>
      </c>
      <c r="V46" s="17">
        <f t="shared" si="61"/>
        <v>0</v>
      </c>
      <c r="W46" s="17">
        <f t="shared" si="62"/>
        <v>0</v>
      </c>
      <c r="X46" s="17">
        <f t="shared" si="63"/>
        <v>0</v>
      </c>
      <c r="Y46" s="17">
        <f t="shared" si="64"/>
        <v>17</v>
      </c>
      <c r="Z46" s="23">
        <v>0</v>
      </c>
      <c r="AA46" s="23">
        <v>0.53125</v>
      </c>
      <c r="AB46" s="24"/>
      <c r="AC46" s="24">
        <v>2</v>
      </c>
      <c r="AD46" s="24">
        <v>0</v>
      </c>
      <c r="AE46" s="24">
        <v>0</v>
      </c>
      <c r="AF46" s="24">
        <v>0</v>
      </c>
      <c r="AG46" s="24">
        <v>0</v>
      </c>
      <c r="AH46" s="24">
        <v>3</v>
      </c>
      <c r="AI46" s="25">
        <v>0</v>
      </c>
      <c r="AJ46" s="25">
        <v>0.6</v>
      </c>
      <c r="AK46" s="24"/>
      <c r="AL46" s="24">
        <v>16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5">
        <v>0</v>
      </c>
      <c r="AS46" s="25">
        <v>0</v>
      </c>
      <c r="AT46" s="24"/>
      <c r="AU46" s="17">
        <f t="shared" si="51"/>
        <v>33</v>
      </c>
      <c r="AV46" s="17">
        <f t="shared" si="52"/>
        <v>0</v>
      </c>
      <c r="AW46" s="17">
        <f t="shared" si="53"/>
        <v>0</v>
      </c>
      <c r="AX46" s="17">
        <f t="shared" si="54"/>
        <v>0</v>
      </c>
      <c r="AY46" s="17">
        <f t="shared" si="55"/>
        <v>0</v>
      </c>
      <c r="AZ46" s="17">
        <f t="shared" si="56"/>
        <v>20</v>
      </c>
      <c r="BA46" s="23">
        <v>0</v>
      </c>
      <c r="BB46" s="23">
        <v>0.37735849056603776</v>
      </c>
      <c r="BC46" s="19"/>
      <c r="BD46" s="20">
        <f t="shared" si="57"/>
        <v>53</v>
      </c>
      <c r="BE46" s="20">
        <v>53</v>
      </c>
      <c r="BF46" s="53">
        <f t="shared" si="58"/>
        <v>0</v>
      </c>
      <c r="BG46" s="19"/>
      <c r="BH46" s="19"/>
      <c r="BI46" s="19"/>
      <c r="BJ46" s="19"/>
      <c r="BK46" s="19"/>
    </row>
    <row r="47" spans="1:63" s="8" customFormat="1" ht="15" customHeight="1" thickBot="1" x14ac:dyDescent="0.4">
      <c r="A47" s="2" t="s">
        <v>54</v>
      </c>
      <c r="B47" s="24">
        <v>1</v>
      </c>
      <c r="C47" s="24">
        <v>0</v>
      </c>
      <c r="D47" s="24">
        <v>0</v>
      </c>
      <c r="E47" s="24">
        <v>0</v>
      </c>
      <c r="F47" s="24">
        <v>0</v>
      </c>
      <c r="G47" s="24">
        <v>16</v>
      </c>
      <c r="H47" s="25">
        <v>0</v>
      </c>
      <c r="I47" s="25">
        <v>0.94117647058823528</v>
      </c>
      <c r="J47" s="24"/>
      <c r="K47" s="24">
        <v>5</v>
      </c>
      <c r="L47" s="24">
        <v>0</v>
      </c>
      <c r="M47" s="24">
        <v>0</v>
      </c>
      <c r="N47" s="24">
        <v>0</v>
      </c>
      <c r="O47" s="24">
        <v>0</v>
      </c>
      <c r="P47" s="24">
        <v>35</v>
      </c>
      <c r="Q47" s="25">
        <v>0</v>
      </c>
      <c r="R47" s="25">
        <v>0.875</v>
      </c>
      <c r="S47" s="24"/>
      <c r="T47" s="17">
        <f t="shared" si="59"/>
        <v>6</v>
      </c>
      <c r="U47" s="17">
        <f t="shared" si="60"/>
        <v>0</v>
      </c>
      <c r="V47" s="17">
        <f t="shared" si="61"/>
        <v>0</v>
      </c>
      <c r="W47" s="17">
        <f t="shared" si="62"/>
        <v>0</v>
      </c>
      <c r="X47" s="17">
        <f t="shared" si="63"/>
        <v>0</v>
      </c>
      <c r="Y47" s="17">
        <f t="shared" si="64"/>
        <v>51</v>
      </c>
      <c r="Z47" s="23">
        <v>0</v>
      </c>
      <c r="AA47" s="23">
        <v>0.89473684210526316</v>
      </c>
      <c r="AB47" s="24"/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5" t="s">
        <v>74</v>
      </c>
      <c r="AJ47" s="25" t="s">
        <v>74</v>
      </c>
      <c r="AK47" s="24"/>
      <c r="AL47" s="24">
        <v>1</v>
      </c>
      <c r="AM47" s="24">
        <v>0</v>
      </c>
      <c r="AN47" s="24">
        <v>0</v>
      </c>
      <c r="AO47" s="24">
        <v>0</v>
      </c>
      <c r="AP47" s="24">
        <v>0</v>
      </c>
      <c r="AQ47" s="24">
        <v>15</v>
      </c>
      <c r="AR47" s="25">
        <v>0</v>
      </c>
      <c r="AS47" s="25">
        <v>0.9375</v>
      </c>
      <c r="AT47" s="24"/>
      <c r="AU47" s="17">
        <f t="shared" si="51"/>
        <v>7</v>
      </c>
      <c r="AV47" s="17">
        <f t="shared" si="52"/>
        <v>0</v>
      </c>
      <c r="AW47" s="17">
        <f t="shared" si="53"/>
        <v>0</v>
      </c>
      <c r="AX47" s="17">
        <f t="shared" si="54"/>
        <v>0</v>
      </c>
      <c r="AY47" s="17">
        <f t="shared" si="55"/>
        <v>0</v>
      </c>
      <c r="AZ47" s="17">
        <f t="shared" si="56"/>
        <v>66</v>
      </c>
      <c r="BA47" s="23">
        <v>0</v>
      </c>
      <c r="BB47" s="23">
        <v>0.90410958904109584</v>
      </c>
      <c r="BC47" s="19"/>
      <c r="BD47" s="20">
        <f t="shared" si="57"/>
        <v>73</v>
      </c>
      <c r="BE47" s="20">
        <v>73</v>
      </c>
      <c r="BF47" s="53">
        <f t="shared" si="58"/>
        <v>0</v>
      </c>
      <c r="BG47" s="19"/>
      <c r="BH47" s="19"/>
      <c r="BI47" s="19"/>
      <c r="BJ47" s="19"/>
      <c r="BK47" s="19"/>
    </row>
    <row r="48" spans="1:63" s="8" customFormat="1" ht="15" customHeight="1" thickBot="1" x14ac:dyDescent="0.4">
      <c r="A48" s="2" t="s">
        <v>55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5" t="s">
        <v>74</v>
      </c>
      <c r="I48" s="25" t="s">
        <v>74</v>
      </c>
      <c r="J48" s="24"/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5" t="s">
        <v>74</v>
      </c>
      <c r="R48" s="25" t="s">
        <v>74</v>
      </c>
      <c r="S48" s="24"/>
      <c r="T48" s="17">
        <f t="shared" si="59"/>
        <v>0</v>
      </c>
      <c r="U48" s="17">
        <f t="shared" si="60"/>
        <v>0</v>
      </c>
      <c r="V48" s="17">
        <f t="shared" si="61"/>
        <v>0</v>
      </c>
      <c r="W48" s="17">
        <f t="shared" si="62"/>
        <v>0</v>
      </c>
      <c r="X48" s="17">
        <f t="shared" si="63"/>
        <v>0</v>
      </c>
      <c r="Y48" s="17">
        <f t="shared" si="64"/>
        <v>0</v>
      </c>
      <c r="Z48" s="23" t="s">
        <v>74</v>
      </c>
      <c r="AA48" s="23" t="s">
        <v>74</v>
      </c>
      <c r="AB48" s="24"/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5" t="s">
        <v>74</v>
      </c>
      <c r="AJ48" s="25" t="s">
        <v>74</v>
      </c>
      <c r="AK48" s="24"/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5" t="s">
        <v>74</v>
      </c>
      <c r="AS48" s="25" t="s">
        <v>74</v>
      </c>
      <c r="AT48" s="24"/>
      <c r="AU48" s="17">
        <f t="shared" si="51"/>
        <v>0</v>
      </c>
      <c r="AV48" s="17">
        <f t="shared" si="52"/>
        <v>0</v>
      </c>
      <c r="AW48" s="17">
        <f t="shared" si="53"/>
        <v>0</v>
      </c>
      <c r="AX48" s="17">
        <f t="shared" si="54"/>
        <v>0</v>
      </c>
      <c r="AY48" s="17">
        <f t="shared" si="55"/>
        <v>0</v>
      </c>
      <c r="AZ48" s="17">
        <f t="shared" si="56"/>
        <v>0</v>
      </c>
      <c r="BA48" s="23" t="s">
        <v>74</v>
      </c>
      <c r="BB48" s="23" t="s">
        <v>74</v>
      </c>
      <c r="BC48" s="19"/>
      <c r="BD48" s="20">
        <f t="shared" si="57"/>
        <v>0</v>
      </c>
      <c r="BE48" s="20">
        <v>0</v>
      </c>
      <c r="BF48" s="53">
        <f t="shared" si="58"/>
        <v>0</v>
      </c>
      <c r="BG48" s="19"/>
      <c r="BH48" s="19"/>
      <c r="BI48" s="19"/>
      <c r="BJ48" s="19"/>
      <c r="BK48" s="19"/>
    </row>
    <row r="49" spans="1:63" s="8" customFormat="1" ht="15" customHeight="1" thickBot="1" x14ac:dyDescent="0.4">
      <c r="A49" s="21" t="s">
        <v>56</v>
      </c>
      <c r="B49" s="22">
        <v>119</v>
      </c>
      <c r="C49" s="22">
        <v>16</v>
      </c>
      <c r="D49" s="22">
        <v>1</v>
      </c>
      <c r="E49" s="22">
        <v>7</v>
      </c>
      <c r="F49" s="22">
        <v>2</v>
      </c>
      <c r="G49" s="22">
        <v>14</v>
      </c>
      <c r="H49" s="22">
        <v>0.85470085470085466</v>
      </c>
      <c r="I49" s="22">
        <v>0.67205882352941182</v>
      </c>
      <c r="J49" s="22"/>
      <c r="K49" s="22">
        <v>15</v>
      </c>
      <c r="L49" s="22">
        <v>0</v>
      </c>
      <c r="M49" s="22">
        <v>1</v>
      </c>
      <c r="N49" s="22">
        <v>0</v>
      </c>
      <c r="O49" s="22">
        <v>0</v>
      </c>
      <c r="P49" s="22">
        <v>0</v>
      </c>
      <c r="Q49" s="22">
        <v>6.6666666666666666E-2</v>
      </c>
      <c r="R49" s="22">
        <v>0</v>
      </c>
      <c r="S49" s="22"/>
      <c r="T49" s="17">
        <f t="shared" si="59"/>
        <v>134</v>
      </c>
      <c r="U49" s="17">
        <f t="shared" si="60"/>
        <v>16</v>
      </c>
      <c r="V49" s="17">
        <f t="shared" si="61"/>
        <v>2</v>
      </c>
      <c r="W49" s="17">
        <f t="shared" si="62"/>
        <v>7</v>
      </c>
      <c r="X49" s="17">
        <f t="shared" si="63"/>
        <v>2</v>
      </c>
      <c r="Y49" s="17">
        <f t="shared" si="64"/>
        <v>14</v>
      </c>
      <c r="Z49" s="22">
        <v>0.82196275946275943</v>
      </c>
      <c r="AA49" s="22">
        <v>0.63611111111111118</v>
      </c>
      <c r="AB49" s="22"/>
      <c r="AC49" s="22">
        <v>21</v>
      </c>
      <c r="AD49" s="22">
        <v>1</v>
      </c>
      <c r="AE49" s="22">
        <v>0</v>
      </c>
      <c r="AF49" s="22">
        <v>2</v>
      </c>
      <c r="AG49" s="22">
        <v>0</v>
      </c>
      <c r="AH49" s="22">
        <v>1</v>
      </c>
      <c r="AI49" s="22">
        <v>0.25</v>
      </c>
      <c r="AJ49" s="22">
        <v>9.0909090909090912E-2</v>
      </c>
      <c r="AK49" s="22"/>
      <c r="AL49" s="22">
        <v>155</v>
      </c>
      <c r="AM49" s="22">
        <v>6</v>
      </c>
      <c r="AN49" s="22">
        <v>7</v>
      </c>
      <c r="AO49" s="22">
        <v>11</v>
      </c>
      <c r="AP49" s="22">
        <v>3</v>
      </c>
      <c r="AQ49" s="22">
        <v>15</v>
      </c>
      <c r="AR49" s="22">
        <v>0.72693516633009159</v>
      </c>
      <c r="AS49" s="22">
        <v>0.4212555664168568</v>
      </c>
      <c r="AT49" s="22"/>
      <c r="AU49" s="17">
        <f t="shared" si="51"/>
        <v>310</v>
      </c>
      <c r="AV49" s="17">
        <f t="shared" si="52"/>
        <v>23</v>
      </c>
      <c r="AW49" s="17">
        <f t="shared" si="53"/>
        <v>9</v>
      </c>
      <c r="AX49" s="17">
        <f t="shared" si="54"/>
        <v>20</v>
      </c>
      <c r="AY49" s="17">
        <f t="shared" si="55"/>
        <v>5</v>
      </c>
      <c r="AZ49" s="17">
        <f t="shared" si="56"/>
        <v>30</v>
      </c>
      <c r="BA49" s="22">
        <v>0.55058553536814414</v>
      </c>
      <c r="BB49" s="22">
        <v>0.4595938104448743</v>
      </c>
      <c r="BC49" s="19"/>
      <c r="BD49" s="20">
        <f t="shared" si="57"/>
        <v>397</v>
      </c>
      <c r="BE49" s="20">
        <v>397</v>
      </c>
      <c r="BF49" s="53">
        <f t="shared" si="58"/>
        <v>0</v>
      </c>
      <c r="BG49" s="19"/>
      <c r="BH49" s="19"/>
      <c r="BI49" s="19"/>
      <c r="BJ49" s="19"/>
      <c r="BK49" s="19"/>
    </row>
    <row r="50" spans="1:63" s="8" customFormat="1" ht="15" customHeight="1" thickBot="1" x14ac:dyDescent="0.4">
      <c r="A50" s="2" t="s">
        <v>57</v>
      </c>
      <c r="B50" s="24">
        <v>2</v>
      </c>
      <c r="C50" s="24">
        <v>3</v>
      </c>
      <c r="D50" s="24">
        <v>0</v>
      </c>
      <c r="E50" s="24">
        <v>1</v>
      </c>
      <c r="F50" s="24">
        <v>0</v>
      </c>
      <c r="G50" s="24">
        <v>11</v>
      </c>
      <c r="H50" s="25">
        <v>0.66666666666666663</v>
      </c>
      <c r="I50" s="25">
        <v>0.6470588235294118</v>
      </c>
      <c r="J50" s="24"/>
      <c r="K50" s="24">
        <v>1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5">
        <v>0</v>
      </c>
      <c r="R50" s="25">
        <v>0</v>
      </c>
      <c r="S50" s="24"/>
      <c r="T50" s="17">
        <f t="shared" si="59"/>
        <v>3</v>
      </c>
      <c r="U50" s="17">
        <f t="shared" si="60"/>
        <v>3</v>
      </c>
      <c r="V50" s="17">
        <f t="shared" si="61"/>
        <v>0</v>
      </c>
      <c r="W50" s="17">
        <f t="shared" si="62"/>
        <v>1</v>
      </c>
      <c r="X50" s="17">
        <f t="shared" si="63"/>
        <v>0</v>
      </c>
      <c r="Y50" s="17">
        <f t="shared" si="64"/>
        <v>11</v>
      </c>
      <c r="Z50" s="23">
        <v>0.5714285714285714</v>
      </c>
      <c r="AA50" s="23">
        <v>0.61111111111111116</v>
      </c>
      <c r="AB50" s="24"/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5" t="s">
        <v>74</v>
      </c>
      <c r="AJ50" s="25" t="s">
        <v>74</v>
      </c>
      <c r="AK50" s="24"/>
      <c r="AL50" s="24">
        <v>50</v>
      </c>
      <c r="AM50" s="24">
        <v>2</v>
      </c>
      <c r="AN50" s="24">
        <v>0</v>
      </c>
      <c r="AO50" s="24">
        <v>1</v>
      </c>
      <c r="AP50" s="24">
        <v>0</v>
      </c>
      <c r="AQ50" s="24">
        <v>9</v>
      </c>
      <c r="AR50" s="25">
        <v>5.6603773584905662E-2</v>
      </c>
      <c r="AS50" s="25">
        <v>0.14516129032258066</v>
      </c>
      <c r="AT50" s="24"/>
      <c r="AU50" s="17">
        <f t="shared" si="51"/>
        <v>53</v>
      </c>
      <c r="AV50" s="17">
        <f t="shared" si="52"/>
        <v>5</v>
      </c>
      <c r="AW50" s="17">
        <f t="shared" si="53"/>
        <v>0</v>
      </c>
      <c r="AX50" s="17">
        <f t="shared" si="54"/>
        <v>2</v>
      </c>
      <c r="AY50" s="17">
        <f t="shared" si="55"/>
        <v>0</v>
      </c>
      <c r="AZ50" s="17">
        <f t="shared" si="56"/>
        <v>20</v>
      </c>
      <c r="BA50" s="23">
        <v>0.11666666666666667</v>
      </c>
      <c r="BB50" s="23">
        <v>0.25</v>
      </c>
      <c r="BC50" s="19"/>
      <c r="BD50" s="20">
        <f t="shared" si="57"/>
        <v>80</v>
      </c>
      <c r="BE50" s="20">
        <v>80</v>
      </c>
      <c r="BF50" s="53">
        <f t="shared" si="58"/>
        <v>0</v>
      </c>
      <c r="BG50" s="19"/>
      <c r="BH50" s="19"/>
      <c r="BI50" s="19"/>
      <c r="BJ50" s="19"/>
      <c r="BK50" s="19"/>
    </row>
    <row r="51" spans="1:63" s="8" customFormat="1" ht="15" customHeight="1" thickBot="1" x14ac:dyDescent="0.4">
      <c r="A51" s="2" t="s">
        <v>58</v>
      </c>
      <c r="B51" s="24">
        <v>17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5">
        <v>0</v>
      </c>
      <c r="I51" s="25">
        <v>0</v>
      </c>
      <c r="J51" s="24"/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5" t="s">
        <v>74</v>
      </c>
      <c r="R51" s="25" t="s">
        <v>74</v>
      </c>
      <c r="S51" s="24"/>
      <c r="T51" s="17">
        <f t="shared" si="59"/>
        <v>17</v>
      </c>
      <c r="U51" s="17">
        <f t="shared" si="60"/>
        <v>0</v>
      </c>
      <c r="V51" s="17">
        <f t="shared" si="61"/>
        <v>0</v>
      </c>
      <c r="W51" s="17">
        <f t="shared" si="62"/>
        <v>0</v>
      </c>
      <c r="X51" s="17">
        <f t="shared" si="63"/>
        <v>0</v>
      </c>
      <c r="Y51" s="17">
        <f t="shared" si="64"/>
        <v>0</v>
      </c>
      <c r="Z51" s="23">
        <v>0</v>
      </c>
      <c r="AA51" s="23">
        <v>0</v>
      </c>
      <c r="AB51" s="24"/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5" t="s">
        <v>74</v>
      </c>
      <c r="AJ51" s="25" t="s">
        <v>74</v>
      </c>
      <c r="AK51" s="24"/>
      <c r="AL51" s="24">
        <v>21</v>
      </c>
      <c r="AM51" s="24">
        <v>0</v>
      </c>
      <c r="AN51" s="24">
        <v>0</v>
      </c>
      <c r="AO51" s="24">
        <v>1</v>
      </c>
      <c r="AP51" s="24">
        <v>0</v>
      </c>
      <c r="AQ51" s="24">
        <v>5</v>
      </c>
      <c r="AR51" s="25">
        <v>4.5454545454545456E-2</v>
      </c>
      <c r="AS51" s="25">
        <v>0.18518518518518517</v>
      </c>
      <c r="AT51" s="24"/>
      <c r="AU51" s="17">
        <f t="shared" si="51"/>
        <v>38</v>
      </c>
      <c r="AV51" s="17">
        <f t="shared" si="52"/>
        <v>0</v>
      </c>
      <c r="AW51" s="17">
        <f t="shared" si="53"/>
        <v>0</v>
      </c>
      <c r="AX51" s="17">
        <f t="shared" si="54"/>
        <v>1</v>
      </c>
      <c r="AY51" s="17">
        <f t="shared" si="55"/>
        <v>0</v>
      </c>
      <c r="AZ51" s="17">
        <f t="shared" si="56"/>
        <v>5</v>
      </c>
      <c r="BA51" s="23">
        <v>2.564102564102564E-2</v>
      </c>
      <c r="BB51" s="23">
        <v>0.11363636363636363</v>
      </c>
      <c r="BC51" s="19"/>
      <c r="BD51" s="20">
        <f t="shared" si="57"/>
        <v>44</v>
      </c>
      <c r="BE51" s="20">
        <v>44</v>
      </c>
      <c r="BF51" s="53">
        <f t="shared" si="58"/>
        <v>0</v>
      </c>
      <c r="BG51" s="19"/>
      <c r="BH51" s="19"/>
      <c r="BI51" s="19"/>
      <c r="BJ51" s="19"/>
      <c r="BK51" s="19"/>
    </row>
    <row r="52" spans="1:63" s="8" customFormat="1" ht="15" customHeight="1" thickBot="1" x14ac:dyDescent="0.4">
      <c r="A52" s="2" t="s">
        <v>59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5" t="s">
        <v>74</v>
      </c>
      <c r="I52" s="25" t="s">
        <v>74</v>
      </c>
      <c r="J52" s="24"/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5" t="s">
        <v>74</v>
      </c>
      <c r="R52" s="25" t="s">
        <v>74</v>
      </c>
      <c r="S52" s="24"/>
      <c r="T52" s="17">
        <f t="shared" si="59"/>
        <v>0</v>
      </c>
      <c r="U52" s="17">
        <f t="shared" si="60"/>
        <v>0</v>
      </c>
      <c r="V52" s="17">
        <f t="shared" si="61"/>
        <v>0</v>
      </c>
      <c r="W52" s="17">
        <f t="shared" si="62"/>
        <v>0</v>
      </c>
      <c r="X52" s="17">
        <f t="shared" si="63"/>
        <v>0</v>
      </c>
      <c r="Y52" s="17">
        <f t="shared" si="64"/>
        <v>0</v>
      </c>
      <c r="Z52" s="23" t="s">
        <v>74</v>
      </c>
      <c r="AA52" s="23" t="s">
        <v>74</v>
      </c>
      <c r="AB52" s="24"/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5" t="s">
        <v>74</v>
      </c>
      <c r="AJ52" s="25" t="s">
        <v>74</v>
      </c>
      <c r="AK52" s="24"/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5" t="s">
        <v>74</v>
      </c>
      <c r="AS52" s="25" t="s">
        <v>74</v>
      </c>
      <c r="AT52" s="24"/>
      <c r="AU52" s="17">
        <f t="shared" si="51"/>
        <v>0</v>
      </c>
      <c r="AV52" s="17">
        <f t="shared" si="52"/>
        <v>0</v>
      </c>
      <c r="AW52" s="17">
        <f t="shared" si="53"/>
        <v>0</v>
      </c>
      <c r="AX52" s="17">
        <f t="shared" si="54"/>
        <v>0</v>
      </c>
      <c r="AY52" s="17">
        <f t="shared" si="55"/>
        <v>0</v>
      </c>
      <c r="AZ52" s="17">
        <f t="shared" si="56"/>
        <v>0</v>
      </c>
      <c r="BA52" s="23" t="s">
        <v>74</v>
      </c>
      <c r="BB52" s="23" t="s">
        <v>74</v>
      </c>
      <c r="BC52" s="19"/>
      <c r="BD52" s="20">
        <f t="shared" si="57"/>
        <v>0</v>
      </c>
      <c r="BE52" s="20">
        <v>0</v>
      </c>
      <c r="BF52" s="53">
        <f t="shared" si="58"/>
        <v>0</v>
      </c>
      <c r="BG52" s="19"/>
      <c r="BH52" s="19"/>
      <c r="BI52" s="19"/>
      <c r="BJ52" s="19"/>
      <c r="BK52" s="19"/>
    </row>
    <row r="53" spans="1:63" s="8" customFormat="1" ht="15" customHeight="1" thickBot="1" x14ac:dyDescent="0.4">
      <c r="A53" s="2" t="s">
        <v>60</v>
      </c>
      <c r="B53" s="24">
        <v>1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5">
        <v>0</v>
      </c>
      <c r="I53" s="25">
        <v>0</v>
      </c>
      <c r="J53" s="24"/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5" t="s">
        <v>74</v>
      </c>
      <c r="R53" s="25" t="s">
        <v>74</v>
      </c>
      <c r="S53" s="24"/>
      <c r="T53" s="17">
        <f t="shared" si="59"/>
        <v>1</v>
      </c>
      <c r="U53" s="17">
        <f t="shared" si="60"/>
        <v>0</v>
      </c>
      <c r="V53" s="17">
        <f t="shared" si="61"/>
        <v>0</v>
      </c>
      <c r="W53" s="17">
        <f t="shared" si="62"/>
        <v>0</v>
      </c>
      <c r="X53" s="17">
        <f t="shared" si="63"/>
        <v>0</v>
      </c>
      <c r="Y53" s="17">
        <f t="shared" si="64"/>
        <v>0</v>
      </c>
      <c r="Z53" s="23">
        <v>0</v>
      </c>
      <c r="AA53" s="23">
        <v>0</v>
      </c>
      <c r="AB53" s="24"/>
      <c r="AC53" s="24">
        <v>2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5">
        <v>0</v>
      </c>
      <c r="AJ53" s="25">
        <v>0</v>
      </c>
      <c r="AK53" s="24"/>
      <c r="AL53" s="24">
        <v>12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5">
        <v>0</v>
      </c>
      <c r="AS53" s="25">
        <v>0</v>
      </c>
      <c r="AT53" s="24"/>
      <c r="AU53" s="17">
        <f t="shared" si="51"/>
        <v>15</v>
      </c>
      <c r="AV53" s="17">
        <f t="shared" si="52"/>
        <v>0</v>
      </c>
      <c r="AW53" s="17">
        <f t="shared" si="53"/>
        <v>0</v>
      </c>
      <c r="AX53" s="17">
        <f t="shared" si="54"/>
        <v>0</v>
      </c>
      <c r="AY53" s="17">
        <f t="shared" si="55"/>
        <v>0</v>
      </c>
      <c r="AZ53" s="17">
        <f t="shared" si="56"/>
        <v>0</v>
      </c>
      <c r="BA53" s="23">
        <v>0</v>
      </c>
      <c r="BB53" s="23">
        <v>0</v>
      </c>
      <c r="BC53" s="19"/>
      <c r="BD53" s="20">
        <f t="shared" si="57"/>
        <v>15</v>
      </c>
      <c r="BE53" s="20">
        <v>15</v>
      </c>
      <c r="BF53" s="53">
        <f t="shared" si="58"/>
        <v>0</v>
      </c>
      <c r="BG53" s="19"/>
      <c r="BH53" s="19"/>
      <c r="BI53" s="19"/>
      <c r="BJ53" s="19"/>
      <c r="BK53" s="19"/>
    </row>
    <row r="54" spans="1:63" s="8" customFormat="1" ht="15" customHeight="1" thickBot="1" x14ac:dyDescent="0.4">
      <c r="A54" s="2" t="s">
        <v>61</v>
      </c>
      <c r="B54" s="24">
        <v>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5">
        <v>0</v>
      </c>
      <c r="I54" s="25">
        <v>0</v>
      </c>
      <c r="J54" s="24"/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5" t="s">
        <v>74</v>
      </c>
      <c r="R54" s="25" t="s">
        <v>74</v>
      </c>
      <c r="S54" s="24"/>
      <c r="T54" s="17">
        <f t="shared" si="59"/>
        <v>3</v>
      </c>
      <c r="U54" s="17">
        <f t="shared" si="60"/>
        <v>0</v>
      </c>
      <c r="V54" s="17">
        <f t="shared" si="61"/>
        <v>0</v>
      </c>
      <c r="W54" s="17">
        <f t="shared" si="62"/>
        <v>0</v>
      </c>
      <c r="X54" s="17">
        <f t="shared" si="63"/>
        <v>0</v>
      </c>
      <c r="Y54" s="17">
        <f t="shared" si="64"/>
        <v>0</v>
      </c>
      <c r="Z54" s="23">
        <v>0</v>
      </c>
      <c r="AA54" s="23">
        <v>0</v>
      </c>
      <c r="AB54" s="24"/>
      <c r="AC54" s="24">
        <v>10</v>
      </c>
      <c r="AD54" s="24">
        <v>0</v>
      </c>
      <c r="AE54" s="24">
        <v>0</v>
      </c>
      <c r="AF54" s="24">
        <v>0</v>
      </c>
      <c r="AG54" s="24">
        <v>0</v>
      </c>
      <c r="AH54" s="24">
        <v>1</v>
      </c>
      <c r="AI54" s="25">
        <v>0</v>
      </c>
      <c r="AJ54" s="25">
        <v>9.0909090909090912E-2</v>
      </c>
      <c r="AK54" s="24"/>
      <c r="AL54" s="24">
        <v>8</v>
      </c>
      <c r="AM54" s="24">
        <v>1</v>
      </c>
      <c r="AN54" s="24">
        <v>1</v>
      </c>
      <c r="AO54" s="24">
        <v>0</v>
      </c>
      <c r="AP54" s="24">
        <v>0</v>
      </c>
      <c r="AQ54" s="24">
        <v>1</v>
      </c>
      <c r="AR54" s="25">
        <v>0.2</v>
      </c>
      <c r="AS54" s="25">
        <v>9.0909090909090912E-2</v>
      </c>
      <c r="AT54" s="24"/>
      <c r="AU54" s="17">
        <f t="shared" si="51"/>
        <v>21</v>
      </c>
      <c r="AV54" s="17">
        <f t="shared" si="52"/>
        <v>1</v>
      </c>
      <c r="AW54" s="17">
        <f t="shared" si="53"/>
        <v>1</v>
      </c>
      <c r="AX54" s="17">
        <f t="shared" si="54"/>
        <v>0</v>
      </c>
      <c r="AY54" s="17">
        <f t="shared" si="55"/>
        <v>0</v>
      </c>
      <c r="AZ54" s="17">
        <f t="shared" si="56"/>
        <v>2</v>
      </c>
      <c r="BA54" s="23">
        <v>8.6956521739130432E-2</v>
      </c>
      <c r="BB54" s="23">
        <v>0.08</v>
      </c>
      <c r="BC54" s="19"/>
      <c r="BD54" s="20">
        <f t="shared" si="57"/>
        <v>25</v>
      </c>
      <c r="BE54" s="20">
        <v>25</v>
      </c>
      <c r="BF54" s="53">
        <f t="shared" si="58"/>
        <v>0</v>
      </c>
      <c r="BG54" s="19"/>
      <c r="BH54" s="19"/>
      <c r="BI54" s="19"/>
      <c r="BJ54" s="19"/>
      <c r="BK54" s="19"/>
    </row>
    <row r="55" spans="1:63" s="8" customFormat="1" ht="15" customHeight="1" thickBot="1" x14ac:dyDescent="0.4">
      <c r="A55" s="2" t="s">
        <v>62</v>
      </c>
      <c r="B55" s="24">
        <v>1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5">
        <v>0</v>
      </c>
      <c r="I55" s="25">
        <v>0</v>
      </c>
      <c r="J55" s="24"/>
      <c r="K55" s="24">
        <v>14</v>
      </c>
      <c r="L55" s="24">
        <v>0</v>
      </c>
      <c r="M55" s="24">
        <v>1</v>
      </c>
      <c r="N55" s="24">
        <v>0</v>
      </c>
      <c r="O55" s="24">
        <v>0</v>
      </c>
      <c r="P55" s="24">
        <v>0</v>
      </c>
      <c r="Q55" s="25">
        <v>6.6666666666666666E-2</v>
      </c>
      <c r="R55" s="25">
        <v>0</v>
      </c>
      <c r="S55" s="24"/>
      <c r="T55" s="17">
        <f t="shared" si="59"/>
        <v>15</v>
      </c>
      <c r="U55" s="17">
        <f t="shared" si="60"/>
        <v>0</v>
      </c>
      <c r="V55" s="17">
        <f t="shared" si="61"/>
        <v>1</v>
      </c>
      <c r="W55" s="17">
        <f t="shared" si="62"/>
        <v>0</v>
      </c>
      <c r="X55" s="17">
        <f t="shared" si="63"/>
        <v>0</v>
      </c>
      <c r="Y55" s="17">
        <f t="shared" si="64"/>
        <v>0</v>
      </c>
      <c r="Z55" s="23">
        <v>6.25E-2</v>
      </c>
      <c r="AA55" s="23">
        <v>0</v>
      </c>
      <c r="AB55" s="24"/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5" t="s">
        <v>74</v>
      </c>
      <c r="AJ55" s="25" t="s">
        <v>74</v>
      </c>
      <c r="AK55" s="24"/>
      <c r="AL55" s="24">
        <v>26</v>
      </c>
      <c r="AM55" s="24">
        <v>0</v>
      </c>
      <c r="AN55" s="24">
        <v>2</v>
      </c>
      <c r="AO55" s="24">
        <v>0</v>
      </c>
      <c r="AP55" s="24">
        <v>1</v>
      </c>
      <c r="AQ55" s="24">
        <v>0</v>
      </c>
      <c r="AR55" s="25">
        <v>0.10344827586206896</v>
      </c>
      <c r="AS55" s="25">
        <v>0</v>
      </c>
      <c r="AT55" s="24"/>
      <c r="AU55" s="17">
        <f t="shared" si="51"/>
        <v>41</v>
      </c>
      <c r="AV55" s="17">
        <f t="shared" si="52"/>
        <v>0</v>
      </c>
      <c r="AW55" s="17">
        <f t="shared" si="53"/>
        <v>3</v>
      </c>
      <c r="AX55" s="17">
        <f t="shared" si="54"/>
        <v>0</v>
      </c>
      <c r="AY55" s="17">
        <f t="shared" si="55"/>
        <v>1</v>
      </c>
      <c r="AZ55" s="17">
        <f t="shared" si="56"/>
        <v>0</v>
      </c>
      <c r="BA55" s="23">
        <v>8.8888888888888892E-2</v>
      </c>
      <c r="BB55" s="23">
        <v>0</v>
      </c>
      <c r="BC55" s="19"/>
      <c r="BD55" s="20">
        <f t="shared" si="57"/>
        <v>45</v>
      </c>
      <c r="BE55" s="20">
        <v>45</v>
      </c>
      <c r="BF55" s="53">
        <f t="shared" si="58"/>
        <v>0</v>
      </c>
      <c r="BG55" s="19"/>
      <c r="BH55" s="19"/>
      <c r="BI55" s="19"/>
      <c r="BJ55" s="19"/>
      <c r="BK55" s="19"/>
    </row>
    <row r="56" spans="1:63" s="8" customFormat="1" ht="15" customHeight="1" thickBot="1" x14ac:dyDescent="0.4">
      <c r="A56" s="27" t="s">
        <v>63</v>
      </c>
      <c r="B56" s="28">
        <v>95</v>
      </c>
      <c r="C56" s="28">
        <v>13</v>
      </c>
      <c r="D56" s="28">
        <v>1</v>
      </c>
      <c r="E56" s="28">
        <v>6</v>
      </c>
      <c r="F56" s="28">
        <v>2</v>
      </c>
      <c r="G56" s="28">
        <v>3</v>
      </c>
      <c r="H56" s="29">
        <v>0.18803418803418803</v>
      </c>
      <c r="I56" s="29">
        <v>2.5000000000000001E-2</v>
      </c>
      <c r="J56" s="28"/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9" t="s">
        <v>74</v>
      </c>
      <c r="R56" s="29" t="s">
        <v>74</v>
      </c>
      <c r="S56" s="28"/>
      <c r="T56" s="17">
        <f t="shared" si="59"/>
        <v>95</v>
      </c>
      <c r="U56" s="17">
        <f t="shared" si="60"/>
        <v>13</v>
      </c>
      <c r="V56" s="17">
        <f t="shared" si="61"/>
        <v>1</v>
      </c>
      <c r="W56" s="17">
        <f t="shared" si="62"/>
        <v>6</v>
      </c>
      <c r="X56" s="17">
        <f t="shared" si="63"/>
        <v>2</v>
      </c>
      <c r="Y56" s="17">
        <f t="shared" si="64"/>
        <v>3</v>
      </c>
      <c r="Z56" s="31">
        <v>0.18803418803418803</v>
      </c>
      <c r="AA56" s="31">
        <v>2.5000000000000001E-2</v>
      </c>
      <c r="AB56" s="28"/>
      <c r="AC56" s="28">
        <v>9</v>
      </c>
      <c r="AD56" s="28">
        <v>1</v>
      </c>
      <c r="AE56" s="28">
        <v>0</v>
      </c>
      <c r="AF56" s="28">
        <v>2</v>
      </c>
      <c r="AG56" s="28">
        <v>0</v>
      </c>
      <c r="AH56" s="28">
        <v>0</v>
      </c>
      <c r="AI56" s="29">
        <v>0.25</v>
      </c>
      <c r="AJ56" s="29">
        <v>0</v>
      </c>
      <c r="AK56" s="28"/>
      <c r="AL56" s="28">
        <v>38</v>
      </c>
      <c r="AM56" s="28">
        <v>3</v>
      </c>
      <c r="AN56" s="28">
        <v>4</v>
      </c>
      <c r="AO56" s="28">
        <v>9</v>
      </c>
      <c r="AP56" s="28">
        <v>2</v>
      </c>
      <c r="AQ56" s="28">
        <v>0</v>
      </c>
      <c r="AR56" s="29">
        <v>0.32142857142857145</v>
      </c>
      <c r="AS56" s="29">
        <v>0</v>
      </c>
      <c r="AT56" s="28"/>
      <c r="AU56" s="17">
        <f t="shared" si="51"/>
        <v>142</v>
      </c>
      <c r="AV56" s="17">
        <f t="shared" si="52"/>
        <v>17</v>
      </c>
      <c r="AW56" s="17">
        <f t="shared" si="53"/>
        <v>5</v>
      </c>
      <c r="AX56" s="17">
        <f t="shared" si="54"/>
        <v>17</v>
      </c>
      <c r="AY56" s="17">
        <f t="shared" si="55"/>
        <v>4</v>
      </c>
      <c r="AZ56" s="17">
        <f t="shared" si="56"/>
        <v>3</v>
      </c>
      <c r="BA56" s="31">
        <v>0.23243243243243245</v>
      </c>
      <c r="BB56" s="31">
        <v>1.5957446808510637E-2</v>
      </c>
      <c r="BC56" s="19"/>
      <c r="BD56" s="20">
        <f t="shared" si="57"/>
        <v>188</v>
      </c>
      <c r="BE56" s="20">
        <v>188</v>
      </c>
      <c r="BF56" s="53">
        <f t="shared" si="58"/>
        <v>0</v>
      </c>
      <c r="BG56" s="19"/>
      <c r="BH56" s="19"/>
      <c r="BI56" s="19"/>
      <c r="BJ56" s="19"/>
      <c r="BK56" s="19"/>
    </row>
    <row r="57" spans="1:63" s="8" customFormat="1" ht="15" customHeigh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 x14ac:dyDescent="0.35">
      <c r="A58" s="80" t="s">
        <v>64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</row>
    <row r="59" spans="1:63" x14ac:dyDescent="0.35">
      <c r="A59" s="32" t="s">
        <v>76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63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1:63" x14ac:dyDescent="0.35">
      <c r="A61" s="33" t="s">
        <v>65</v>
      </c>
    </row>
    <row r="62" spans="1:63" x14ac:dyDescent="0.35">
      <c r="A62" s="82" t="s">
        <v>66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4" spans="1:63" x14ac:dyDescent="0.35">
      <c r="A64" s="4" t="s">
        <v>67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54" x14ac:dyDescent="0.35">
      <c r="A65" s="35" t="s">
        <v>68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7" spans="1:54" x14ac:dyDescent="0.35">
      <c r="A67" s="80" t="s">
        <v>69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</row>
    <row r="68" spans="1:54" x14ac:dyDescent="0.35">
      <c r="A68" s="35"/>
      <c r="BB68" s="8"/>
    </row>
    <row r="69" spans="1:54" x14ac:dyDescent="0.35">
      <c r="A69" s="4" t="s">
        <v>70</v>
      </c>
      <c r="X69" s="36"/>
      <c r="BB69" s="37" t="s">
        <v>71</v>
      </c>
    </row>
    <row r="70" spans="1:54" x14ac:dyDescent="0.35">
      <c r="A70" s="35" t="s">
        <v>72</v>
      </c>
      <c r="X70" s="36"/>
      <c r="BB70" s="36" t="s">
        <v>73</v>
      </c>
    </row>
  </sheetData>
  <mergeCells count="12">
    <mergeCell ref="A58:X58"/>
    <mergeCell ref="A60:X60"/>
    <mergeCell ref="A62:X62"/>
    <mergeCell ref="A67:X67"/>
    <mergeCell ref="A1:BB1"/>
    <mergeCell ref="B5:BB5"/>
    <mergeCell ref="B6:H6"/>
    <mergeCell ref="T6:Z6"/>
    <mergeCell ref="AC6:AI6"/>
    <mergeCell ref="AL6:AR6"/>
    <mergeCell ref="AU6:BB6"/>
    <mergeCell ref="K6:R6"/>
  </mergeCells>
  <hyperlinks>
    <hyperlink ref="A65" r:id="rId1" xr:uid="{00000000-0004-0000-0000-000000000000}"/>
    <hyperlink ref="A70" r:id="rId2" xr:uid="{00000000-0004-0000-0000-000001000000}"/>
    <hyperlink ref="BB69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57"/>
  <sheetViews>
    <sheetView topLeftCell="A7" workbookViewId="0">
      <selection activeCell="AU8" sqref="AU8"/>
    </sheetView>
  </sheetViews>
  <sheetFormatPr defaultColWidth="9.1796875" defaultRowHeight="14.5" x14ac:dyDescent="0.35"/>
  <cols>
    <col min="1" max="1" width="50.7265625" style="4" customWidth="1"/>
    <col min="2" max="9" width="8.7265625" style="4" customWidth="1"/>
    <col min="10" max="10" width="2.7265625" style="4" customWidth="1"/>
    <col min="11" max="18" width="8.7265625" style="4" customWidth="1"/>
    <col min="19" max="19" width="2.7265625" style="4" customWidth="1"/>
    <col min="20" max="27" width="8.7265625" style="4" customWidth="1"/>
    <col min="28" max="28" width="2.7265625" style="4" customWidth="1"/>
    <col min="29" max="36" width="8.7265625" style="4" customWidth="1"/>
    <col min="37" max="16384" width="9.1796875" style="4"/>
  </cols>
  <sheetData>
    <row r="1" spans="1:40" s="1" customFormat="1" ht="23.25" customHeight="1" x14ac:dyDescent="0.5">
      <c r="A1" s="83" t="s">
        <v>77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1:40" s="3" customFormat="1" x14ac:dyDescent="0.35">
      <c r="A2" s="2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40" s="3" customFormat="1" x14ac:dyDescent="0.35">
      <c r="A3" s="2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40" s="3" customFormat="1" x14ac:dyDescent="0.35">
      <c r="A4" s="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</row>
    <row r="5" spans="1:40" s="3" customFormat="1" x14ac:dyDescent="0.35">
      <c r="A5" s="2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40" s="8" customFormat="1" ht="15.75" customHeight="1" thickBot="1" x14ac:dyDescent="0.4">
      <c r="A6" s="4"/>
      <c r="B6" s="87" t="s">
        <v>1</v>
      </c>
      <c r="C6" s="87"/>
      <c r="D6" s="87"/>
      <c r="E6" s="87"/>
      <c r="F6" s="87"/>
      <c r="G6" s="87"/>
      <c r="H6" s="87"/>
      <c r="I6" s="87"/>
      <c r="J6" s="39"/>
      <c r="K6" s="87" t="s">
        <v>83</v>
      </c>
      <c r="L6" s="87"/>
      <c r="M6" s="87"/>
      <c r="N6" s="87"/>
      <c r="O6" s="87"/>
      <c r="P6" s="87"/>
      <c r="Q6" s="87"/>
      <c r="R6" s="87"/>
      <c r="S6" s="39"/>
      <c r="T6" s="87" t="s">
        <v>3</v>
      </c>
      <c r="U6" s="87"/>
      <c r="V6" s="87"/>
      <c r="W6" s="87"/>
      <c r="X6" s="87"/>
      <c r="Y6" s="87"/>
      <c r="Z6" s="87"/>
      <c r="AA6" s="87"/>
      <c r="AB6" s="39"/>
      <c r="AC6" s="87" t="s">
        <v>4</v>
      </c>
      <c r="AD6" s="87"/>
      <c r="AE6" s="87"/>
      <c r="AF6" s="87"/>
      <c r="AG6" s="87"/>
      <c r="AH6" s="87"/>
      <c r="AI6" s="87"/>
      <c r="AJ6" s="87"/>
    </row>
    <row r="7" spans="1:40" s="15" customFormat="1" ht="87.5" thickBot="1" x14ac:dyDescent="0.4">
      <c r="A7" s="9" t="s">
        <v>6</v>
      </c>
      <c r="B7" s="10" t="s">
        <v>78</v>
      </c>
      <c r="C7" s="10" t="s">
        <v>79</v>
      </c>
      <c r="D7" s="10" t="s">
        <v>8</v>
      </c>
      <c r="E7" s="10" t="s">
        <v>9</v>
      </c>
      <c r="F7" s="10" t="s">
        <v>10</v>
      </c>
      <c r="G7" s="10" t="s">
        <v>80</v>
      </c>
      <c r="H7" s="10" t="s">
        <v>81</v>
      </c>
      <c r="I7" s="10" t="s">
        <v>82</v>
      </c>
      <c r="J7" s="41"/>
      <c r="K7" s="10" t="s">
        <v>78</v>
      </c>
      <c r="L7" s="10" t="s">
        <v>79</v>
      </c>
      <c r="M7" s="10" t="s">
        <v>8</v>
      </c>
      <c r="N7" s="10" t="s">
        <v>9</v>
      </c>
      <c r="O7" s="10" t="s">
        <v>10</v>
      </c>
      <c r="P7" s="10" t="s">
        <v>80</v>
      </c>
      <c r="Q7" s="10" t="s">
        <v>81</v>
      </c>
      <c r="R7" s="10" t="s">
        <v>82</v>
      </c>
      <c r="S7" s="41"/>
      <c r="T7" s="10" t="s">
        <v>78</v>
      </c>
      <c r="U7" s="10" t="s">
        <v>79</v>
      </c>
      <c r="V7" s="10" t="s">
        <v>8</v>
      </c>
      <c r="W7" s="10" t="s">
        <v>9</v>
      </c>
      <c r="X7" s="10" t="s">
        <v>10</v>
      </c>
      <c r="Y7" s="10" t="s">
        <v>80</v>
      </c>
      <c r="Z7" s="10" t="s">
        <v>81</v>
      </c>
      <c r="AA7" s="10" t="s">
        <v>82</v>
      </c>
      <c r="AB7" s="41"/>
      <c r="AC7" s="10" t="s">
        <v>78</v>
      </c>
      <c r="AD7" s="10" t="s">
        <v>79</v>
      </c>
      <c r="AE7" s="10" t="s">
        <v>8</v>
      </c>
      <c r="AF7" s="10" t="s">
        <v>9</v>
      </c>
      <c r="AG7" s="10" t="s">
        <v>10</v>
      </c>
      <c r="AH7" s="10" t="s">
        <v>80</v>
      </c>
      <c r="AI7" s="10" t="s">
        <v>81</v>
      </c>
      <c r="AJ7" s="10" t="s">
        <v>82</v>
      </c>
    </row>
    <row r="8" spans="1:40" s="8" customFormat="1" ht="15" customHeight="1" x14ac:dyDescent="0.35">
      <c r="A8" s="16" t="s">
        <v>15</v>
      </c>
      <c r="B8" s="22">
        <f>B9+B49</f>
        <v>804</v>
      </c>
      <c r="C8" s="22">
        <f t="shared" ref="C8:I8" si="0">C9+C49</f>
        <v>20</v>
      </c>
      <c r="D8" s="22">
        <f t="shared" si="0"/>
        <v>48</v>
      </c>
      <c r="E8" s="22">
        <f t="shared" si="0"/>
        <v>17</v>
      </c>
      <c r="F8" s="22">
        <f t="shared" si="0"/>
        <v>18</v>
      </c>
      <c r="G8" s="22">
        <f t="shared" si="0"/>
        <v>0</v>
      </c>
      <c r="H8" s="22">
        <f t="shared" si="0"/>
        <v>5</v>
      </c>
      <c r="I8" s="22">
        <f t="shared" si="0"/>
        <v>194</v>
      </c>
      <c r="J8" s="22"/>
      <c r="K8" s="22">
        <f>K9+K49</f>
        <v>1015</v>
      </c>
      <c r="L8" s="22">
        <f t="shared" ref="L8" si="1">L9+L49</f>
        <v>48</v>
      </c>
      <c r="M8" s="22">
        <f t="shared" ref="M8" si="2">M9+M49</f>
        <v>10</v>
      </c>
      <c r="N8" s="22">
        <f t="shared" ref="N8" si="3">N9+N49</f>
        <v>1</v>
      </c>
      <c r="O8" s="22">
        <f t="shared" ref="O8" si="4">O9+O49</f>
        <v>0</v>
      </c>
      <c r="P8" s="22">
        <f t="shared" ref="P8" si="5">P9+P49</f>
        <v>0</v>
      </c>
      <c r="Q8" s="22">
        <f t="shared" ref="Q8" si="6">Q9+Q49</f>
        <v>4</v>
      </c>
      <c r="R8" s="22">
        <f t="shared" ref="R8" si="7">R9+R49</f>
        <v>430</v>
      </c>
      <c r="S8" s="22"/>
      <c r="T8" s="22">
        <f>T9+T49</f>
        <v>89</v>
      </c>
      <c r="U8" s="22">
        <f t="shared" ref="U8" si="8">U9+U49</f>
        <v>2</v>
      </c>
      <c r="V8" s="22">
        <f t="shared" ref="V8" si="9">V9+V49</f>
        <v>2</v>
      </c>
      <c r="W8" s="22">
        <f t="shared" ref="W8" si="10">W9+W49</f>
        <v>1</v>
      </c>
      <c r="X8" s="22">
        <f t="shared" ref="X8" si="11">X9+X49</f>
        <v>1</v>
      </c>
      <c r="Y8" s="22">
        <f t="shared" ref="Y8" si="12">Y9+Y49</f>
        <v>0</v>
      </c>
      <c r="Z8" s="22">
        <f t="shared" ref="Z8" si="13">Z9+Z49</f>
        <v>0</v>
      </c>
      <c r="AA8" s="22">
        <f t="shared" ref="AA8" si="14">AA9+AA49</f>
        <v>29</v>
      </c>
      <c r="AB8" s="22"/>
      <c r="AC8" s="22">
        <f>AC9+AC49</f>
        <v>688</v>
      </c>
      <c r="AD8" s="22">
        <f t="shared" ref="AD8" si="15">AD9+AD49</f>
        <v>13</v>
      </c>
      <c r="AE8" s="22">
        <f t="shared" ref="AE8" si="16">AE9+AE49</f>
        <v>18</v>
      </c>
      <c r="AF8" s="22">
        <f t="shared" ref="AF8" si="17">AF9+AF49</f>
        <v>28</v>
      </c>
      <c r="AG8" s="22">
        <f t="shared" ref="AG8" si="18">AG9+AG49</f>
        <v>30</v>
      </c>
      <c r="AH8" s="22">
        <f t="shared" ref="AH8" si="19">AH9+AH49</f>
        <v>4</v>
      </c>
      <c r="AI8" s="22">
        <f t="shared" ref="AI8" si="20">AI9+AI49</f>
        <v>11</v>
      </c>
      <c r="AJ8" s="22">
        <f t="shared" ref="AJ8" si="21">AJ9+AJ49</f>
        <v>236</v>
      </c>
    </row>
    <row r="9" spans="1:40" s="8" customFormat="1" ht="15" customHeight="1" x14ac:dyDescent="0.35">
      <c r="A9" s="21" t="s">
        <v>16</v>
      </c>
      <c r="B9" s="22">
        <f>SUM(B10:B48)</f>
        <v>487</v>
      </c>
      <c r="C9" s="22">
        <f t="shared" ref="C9:I9" si="22">SUM(C10:C48)</f>
        <v>9</v>
      </c>
      <c r="D9" s="22">
        <f t="shared" si="22"/>
        <v>11</v>
      </c>
      <c r="E9" s="22">
        <f t="shared" si="22"/>
        <v>5</v>
      </c>
      <c r="F9" s="22">
        <f t="shared" si="22"/>
        <v>1</v>
      </c>
      <c r="G9" s="22">
        <f t="shared" si="22"/>
        <v>0</v>
      </c>
      <c r="H9" s="22">
        <f t="shared" si="22"/>
        <v>0</v>
      </c>
      <c r="I9" s="22">
        <f t="shared" si="22"/>
        <v>153</v>
      </c>
      <c r="J9" s="22"/>
      <c r="K9" s="22">
        <f>SUM(K10:K48)</f>
        <v>962</v>
      </c>
      <c r="L9" s="22">
        <f t="shared" ref="L9" si="23">SUM(L10:L48)</f>
        <v>48</v>
      </c>
      <c r="M9" s="22">
        <f t="shared" ref="M9" si="24">SUM(M10:M48)</f>
        <v>9</v>
      </c>
      <c r="N9" s="22">
        <f t="shared" ref="N9" si="25">SUM(N10:N48)</f>
        <v>1</v>
      </c>
      <c r="O9" s="22">
        <f t="shared" ref="O9" si="26">SUM(O10:O48)</f>
        <v>0</v>
      </c>
      <c r="P9" s="22">
        <f t="shared" ref="P9" si="27">SUM(P10:P48)</f>
        <v>0</v>
      </c>
      <c r="Q9" s="22">
        <f t="shared" ref="Q9" si="28">SUM(Q10:Q48)</f>
        <v>4</v>
      </c>
      <c r="R9" s="22">
        <f t="shared" ref="R9" si="29">SUM(R10:R48)</f>
        <v>429</v>
      </c>
      <c r="S9" s="22"/>
      <c r="T9" s="22">
        <f>SUM(T10:T48)</f>
        <v>61</v>
      </c>
      <c r="U9" s="22">
        <f t="shared" ref="U9" si="30">SUM(U10:U48)</f>
        <v>1</v>
      </c>
      <c r="V9" s="22">
        <f t="shared" ref="V9" si="31">SUM(V10:V48)</f>
        <v>0</v>
      </c>
      <c r="W9" s="22">
        <f t="shared" ref="W9" si="32">SUM(W10:W48)</f>
        <v>0</v>
      </c>
      <c r="X9" s="22">
        <f t="shared" ref="X9" si="33">SUM(X10:X48)</f>
        <v>0</v>
      </c>
      <c r="Y9" s="22">
        <f t="shared" ref="Y9" si="34">SUM(Y10:Y48)</f>
        <v>0</v>
      </c>
      <c r="Z9" s="22">
        <f t="shared" ref="Z9" si="35">SUM(Z10:Z48)</f>
        <v>0</v>
      </c>
      <c r="AA9" s="22">
        <f t="shared" ref="AA9" si="36">SUM(AA10:AA48)</f>
        <v>29</v>
      </c>
      <c r="AB9" s="22"/>
      <c r="AC9" s="22">
        <f>SUM(AC10:AC48)</f>
        <v>484</v>
      </c>
      <c r="AD9" s="22">
        <f t="shared" ref="AD9" si="37">SUM(AD10:AD48)</f>
        <v>7</v>
      </c>
      <c r="AE9" s="22">
        <f t="shared" ref="AE9" si="38">SUM(AE10:AE48)</f>
        <v>14</v>
      </c>
      <c r="AF9" s="22">
        <f t="shared" ref="AF9" si="39">SUM(AF10:AF48)</f>
        <v>12</v>
      </c>
      <c r="AG9" s="22">
        <f t="shared" ref="AG9" si="40">SUM(AG10:AG48)</f>
        <v>10</v>
      </c>
      <c r="AH9" s="22">
        <f t="shared" ref="AH9" si="41">SUM(AH10:AH48)</f>
        <v>2</v>
      </c>
      <c r="AI9" s="22">
        <f t="shared" ref="AI9" si="42">SUM(AI10:AI48)</f>
        <v>3</v>
      </c>
      <c r="AJ9" s="22">
        <f t="shared" ref="AJ9" si="43">SUM(AJ10:AJ48)</f>
        <v>194</v>
      </c>
    </row>
    <row r="10" spans="1:40" s="8" customFormat="1" ht="15" customHeight="1" x14ac:dyDescent="0.35">
      <c r="A10" s="4" t="s">
        <v>17</v>
      </c>
      <c r="B10" s="24">
        <v>21</v>
      </c>
      <c r="C10" s="24">
        <v>0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3</v>
      </c>
      <c r="J10" s="24"/>
      <c r="K10" s="24">
        <v>22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1</v>
      </c>
      <c r="R10" s="24">
        <v>7</v>
      </c>
      <c r="S10" s="24"/>
      <c r="T10" s="24">
        <v>2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/>
      <c r="AC10" s="24">
        <v>18</v>
      </c>
      <c r="AD10" s="24">
        <v>1</v>
      </c>
      <c r="AE10" s="24">
        <v>0</v>
      </c>
      <c r="AF10" s="24">
        <v>0</v>
      </c>
      <c r="AG10" s="24">
        <v>0</v>
      </c>
      <c r="AH10" s="24">
        <v>0</v>
      </c>
      <c r="AI10" s="24">
        <v>1</v>
      </c>
      <c r="AJ10" s="24">
        <v>4</v>
      </c>
    </row>
    <row r="11" spans="1:40" s="8" customFormat="1" ht="15" customHeight="1" x14ac:dyDescent="0.35">
      <c r="A11" s="4" t="s">
        <v>18</v>
      </c>
      <c r="B11" s="24">
        <v>18</v>
      </c>
      <c r="C11" s="24">
        <v>0</v>
      </c>
      <c r="D11" s="24">
        <v>1</v>
      </c>
      <c r="E11" s="24">
        <v>0</v>
      </c>
      <c r="F11" s="24">
        <v>1</v>
      </c>
      <c r="G11" s="24">
        <v>0</v>
      </c>
      <c r="H11" s="24">
        <v>0</v>
      </c>
      <c r="I11" s="24">
        <v>5</v>
      </c>
      <c r="J11" s="24"/>
      <c r="K11" s="24">
        <v>18</v>
      </c>
      <c r="L11" s="24">
        <v>1</v>
      </c>
      <c r="M11" s="24">
        <v>1</v>
      </c>
      <c r="N11" s="24">
        <v>0</v>
      </c>
      <c r="O11" s="24">
        <v>0</v>
      </c>
      <c r="P11" s="24">
        <v>0</v>
      </c>
      <c r="Q11" s="24">
        <v>0</v>
      </c>
      <c r="R11" s="24">
        <v>13</v>
      </c>
      <c r="S11" s="24"/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/>
      <c r="AC11" s="24">
        <v>16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10</v>
      </c>
    </row>
    <row r="12" spans="1:40" s="8" customFormat="1" ht="15" customHeight="1" x14ac:dyDescent="0.35">
      <c r="A12" s="4" t="s">
        <v>19</v>
      </c>
      <c r="B12" s="24">
        <v>20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</v>
      </c>
      <c r="J12" s="24"/>
      <c r="K12" s="24">
        <v>19</v>
      </c>
      <c r="L12" s="24">
        <v>0</v>
      </c>
      <c r="M12" s="24">
        <v>1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/>
      <c r="T12" s="24">
        <v>9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/>
      <c r="AC12" s="24">
        <v>32</v>
      </c>
      <c r="AD12" s="24">
        <v>0</v>
      </c>
      <c r="AE12" s="24">
        <v>3</v>
      </c>
      <c r="AF12" s="24">
        <v>2</v>
      </c>
      <c r="AG12" s="24">
        <v>2</v>
      </c>
      <c r="AH12" s="24">
        <v>1</v>
      </c>
      <c r="AI12" s="24">
        <v>0</v>
      </c>
      <c r="AJ12" s="24">
        <v>2</v>
      </c>
    </row>
    <row r="13" spans="1:40" s="8" customFormat="1" ht="15" customHeight="1" x14ac:dyDescent="0.35">
      <c r="A13" s="4" t="s">
        <v>20</v>
      </c>
      <c r="B13" s="24">
        <v>11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/>
      <c r="K13" s="24">
        <v>20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/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/>
      <c r="AC13" s="24">
        <v>13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</row>
    <row r="14" spans="1:40" s="8" customFormat="1" ht="15" customHeight="1" x14ac:dyDescent="0.35">
      <c r="A14" s="4" t="s">
        <v>21</v>
      </c>
      <c r="B14" s="24">
        <v>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/>
      <c r="K14" s="24">
        <v>30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/>
      <c r="T14" s="24">
        <v>3</v>
      </c>
      <c r="U14" s="24">
        <v>1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5</v>
      </c>
      <c r="AB14" s="24"/>
      <c r="AC14" s="24">
        <v>18</v>
      </c>
      <c r="AD14" s="24">
        <v>1</v>
      </c>
      <c r="AE14" s="24">
        <v>0</v>
      </c>
      <c r="AF14" s="24">
        <v>1</v>
      </c>
      <c r="AG14" s="24">
        <v>1</v>
      </c>
      <c r="AH14" s="24">
        <v>0</v>
      </c>
      <c r="AI14" s="24">
        <v>1</v>
      </c>
      <c r="AJ14" s="24">
        <v>2</v>
      </c>
    </row>
    <row r="15" spans="1:40" s="8" customFormat="1" ht="15" customHeight="1" x14ac:dyDescent="0.35">
      <c r="A15" s="4" t="s">
        <v>22</v>
      </c>
      <c r="B15" s="24">
        <v>18</v>
      </c>
      <c r="C15" s="24">
        <v>0</v>
      </c>
      <c r="D15" s="24">
        <v>0</v>
      </c>
      <c r="E15" s="24">
        <v>1</v>
      </c>
      <c r="F15" s="24">
        <v>0</v>
      </c>
      <c r="G15" s="24">
        <v>0</v>
      </c>
      <c r="H15" s="24">
        <v>0</v>
      </c>
      <c r="I15" s="24">
        <v>0</v>
      </c>
      <c r="J15" s="24"/>
      <c r="K15" s="24">
        <v>21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/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/>
      <c r="AC15" s="24">
        <v>37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1</v>
      </c>
    </row>
    <row r="16" spans="1:40" s="8" customFormat="1" ht="15" customHeight="1" x14ac:dyDescent="0.35">
      <c r="A16" s="4" t="s">
        <v>23</v>
      </c>
      <c r="B16" s="24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/>
      <c r="K16" s="24">
        <v>11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/>
      <c r="T16" s="24">
        <v>1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/>
      <c r="AC16" s="24">
        <v>13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</row>
    <row r="17" spans="1:36" s="8" customFormat="1" ht="15" customHeight="1" x14ac:dyDescent="0.35">
      <c r="A17" s="4" t="s">
        <v>24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5</v>
      </c>
      <c r="J17" s="24"/>
      <c r="K17" s="24">
        <v>8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15</v>
      </c>
      <c r="S17" s="24"/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3</v>
      </c>
      <c r="AB17" s="24"/>
      <c r="AC17" s="24">
        <v>1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6</v>
      </c>
    </row>
    <row r="18" spans="1:36" s="8" customFormat="1" ht="15" customHeight="1" x14ac:dyDescent="0.35">
      <c r="A18" s="4" t="s">
        <v>25</v>
      </c>
      <c r="B18" s="24">
        <v>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/>
      <c r="K18" s="24">
        <v>6</v>
      </c>
      <c r="L18" s="24">
        <v>0</v>
      </c>
      <c r="M18" s="24">
        <v>0</v>
      </c>
      <c r="N18" s="24">
        <v>1</v>
      </c>
      <c r="O18" s="24">
        <v>0</v>
      </c>
      <c r="P18" s="24">
        <v>0</v>
      </c>
      <c r="Q18" s="24">
        <v>0</v>
      </c>
      <c r="R18" s="24">
        <v>27</v>
      </c>
      <c r="S18" s="24"/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/>
      <c r="AC18" s="24">
        <v>1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</row>
    <row r="19" spans="1:36" s="8" customFormat="1" ht="15" customHeight="1" x14ac:dyDescent="0.35">
      <c r="A19" s="42" t="s">
        <v>26</v>
      </c>
      <c r="B19" s="24">
        <v>2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1</v>
      </c>
      <c r="J19" s="24"/>
      <c r="K19" s="24">
        <v>17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11</v>
      </c>
      <c r="S19" s="24"/>
      <c r="T19" s="24">
        <v>2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2</v>
      </c>
      <c r="AB19" s="24"/>
      <c r="AC19" s="24">
        <v>8</v>
      </c>
      <c r="AD19" s="24">
        <v>0</v>
      </c>
      <c r="AE19" s="24">
        <v>0</v>
      </c>
      <c r="AF19" s="24">
        <v>1</v>
      </c>
      <c r="AG19" s="24">
        <v>0</v>
      </c>
      <c r="AH19" s="24">
        <v>0</v>
      </c>
      <c r="AI19" s="24">
        <v>0</v>
      </c>
      <c r="AJ19" s="24">
        <v>5</v>
      </c>
    </row>
    <row r="20" spans="1:36" s="8" customFormat="1" ht="15" customHeight="1" x14ac:dyDescent="0.35">
      <c r="A20" s="42" t="s">
        <v>27</v>
      </c>
      <c r="B20" s="24">
        <v>33</v>
      </c>
      <c r="C20" s="24">
        <v>1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1</v>
      </c>
      <c r="J20" s="24"/>
      <c r="K20" s="24">
        <v>72</v>
      </c>
      <c r="L20" s="24">
        <v>1</v>
      </c>
      <c r="M20" s="24">
        <v>1</v>
      </c>
      <c r="N20" s="24">
        <v>0</v>
      </c>
      <c r="O20" s="24">
        <v>0</v>
      </c>
      <c r="P20" s="24">
        <v>0</v>
      </c>
      <c r="Q20" s="24">
        <v>0</v>
      </c>
      <c r="R20" s="24">
        <v>34</v>
      </c>
      <c r="S20" s="24"/>
      <c r="T20" s="24">
        <v>2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/>
      <c r="AC20" s="24">
        <v>19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7</v>
      </c>
    </row>
    <row r="21" spans="1:36" s="8" customFormat="1" ht="15" customHeight="1" x14ac:dyDescent="0.35">
      <c r="A21" s="4" t="s">
        <v>28</v>
      </c>
      <c r="B21" s="24">
        <v>11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10</v>
      </c>
      <c r="J21" s="24"/>
      <c r="K21" s="24">
        <v>44</v>
      </c>
      <c r="L21" s="24">
        <v>2</v>
      </c>
      <c r="M21" s="24">
        <v>0</v>
      </c>
      <c r="N21" s="24">
        <v>0</v>
      </c>
      <c r="O21" s="24">
        <v>0</v>
      </c>
      <c r="P21" s="24">
        <v>0</v>
      </c>
      <c r="Q21" s="24">
        <v>1</v>
      </c>
      <c r="R21" s="24">
        <v>31</v>
      </c>
      <c r="S21" s="24"/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4</v>
      </c>
      <c r="AB21" s="24"/>
      <c r="AC21" s="24">
        <v>11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14</v>
      </c>
    </row>
    <row r="22" spans="1:36" s="8" customFormat="1" ht="15" customHeight="1" x14ac:dyDescent="0.35">
      <c r="A22" s="4" t="s">
        <v>29</v>
      </c>
      <c r="B22" s="24">
        <v>14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8</v>
      </c>
      <c r="J22" s="24"/>
      <c r="K22" s="24">
        <v>7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20</v>
      </c>
      <c r="S22" s="24"/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/>
      <c r="AC22" s="24">
        <v>6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12</v>
      </c>
    </row>
    <row r="23" spans="1:36" s="8" customFormat="1" ht="15" customHeight="1" x14ac:dyDescent="0.35">
      <c r="A23" s="4" t="s">
        <v>30</v>
      </c>
      <c r="B23" s="24">
        <v>7</v>
      </c>
      <c r="C23" s="24">
        <v>1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/>
      <c r="K23" s="24">
        <v>19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3</v>
      </c>
      <c r="S23" s="24"/>
      <c r="T23" s="24">
        <v>3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1</v>
      </c>
      <c r="AB23" s="24"/>
      <c r="AC23" s="24">
        <v>13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10</v>
      </c>
    </row>
    <row r="24" spans="1:36" s="8" customFormat="1" ht="15" customHeight="1" x14ac:dyDescent="0.35">
      <c r="A24" s="4" t="s">
        <v>31</v>
      </c>
      <c r="B24" s="24">
        <v>18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4</v>
      </c>
      <c r="J24" s="24"/>
      <c r="K24" s="24">
        <v>22</v>
      </c>
      <c r="L24" s="24">
        <v>1</v>
      </c>
      <c r="M24" s="24">
        <v>1</v>
      </c>
      <c r="N24" s="24">
        <v>0</v>
      </c>
      <c r="O24" s="24">
        <v>0</v>
      </c>
      <c r="P24" s="24">
        <v>0</v>
      </c>
      <c r="Q24" s="24">
        <v>1</v>
      </c>
      <c r="R24" s="24">
        <v>63</v>
      </c>
      <c r="S24" s="24"/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3</v>
      </c>
      <c r="AB24" s="24"/>
      <c r="AC24" s="24">
        <v>19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41</v>
      </c>
    </row>
    <row r="25" spans="1:36" s="8" customFormat="1" ht="15" customHeight="1" x14ac:dyDescent="0.35">
      <c r="A25" s="4" t="s">
        <v>32</v>
      </c>
      <c r="B25" s="24">
        <v>18</v>
      </c>
      <c r="C25" s="24">
        <v>2</v>
      </c>
      <c r="D25" s="24">
        <v>1</v>
      </c>
      <c r="E25" s="24">
        <v>1</v>
      </c>
      <c r="F25" s="24">
        <v>0</v>
      </c>
      <c r="G25" s="24">
        <v>0</v>
      </c>
      <c r="H25" s="24">
        <v>0</v>
      </c>
      <c r="I25" s="24">
        <v>13</v>
      </c>
      <c r="J25" s="24"/>
      <c r="K25" s="24">
        <v>37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1</v>
      </c>
      <c r="S25" s="24"/>
      <c r="T25" s="24">
        <v>5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1</v>
      </c>
      <c r="AB25" s="24"/>
      <c r="AC25" s="24">
        <v>6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3</v>
      </c>
    </row>
    <row r="26" spans="1:36" s="8" customFormat="1" ht="15" customHeight="1" x14ac:dyDescent="0.35">
      <c r="A26" s="4" t="s">
        <v>33</v>
      </c>
      <c r="B26" s="24">
        <v>42</v>
      </c>
      <c r="C26" s="24">
        <v>1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13</v>
      </c>
      <c r="J26" s="24"/>
      <c r="K26" s="24">
        <v>78</v>
      </c>
      <c r="L26" s="24">
        <v>12</v>
      </c>
      <c r="M26" s="24">
        <v>1</v>
      </c>
      <c r="N26" s="24">
        <v>0</v>
      </c>
      <c r="O26" s="24">
        <v>0</v>
      </c>
      <c r="P26" s="24">
        <v>0</v>
      </c>
      <c r="Q26" s="24">
        <v>0</v>
      </c>
      <c r="R26" s="24">
        <v>8</v>
      </c>
      <c r="S26" s="24"/>
      <c r="T26" s="24">
        <v>2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/>
      <c r="AC26" s="24">
        <v>44</v>
      </c>
      <c r="AD26" s="24">
        <v>2</v>
      </c>
      <c r="AE26" s="24">
        <v>1</v>
      </c>
      <c r="AF26" s="24">
        <v>1</v>
      </c>
      <c r="AG26" s="24">
        <v>1</v>
      </c>
      <c r="AH26" s="24">
        <v>0</v>
      </c>
      <c r="AI26" s="24">
        <v>0</v>
      </c>
      <c r="AJ26" s="24">
        <v>3</v>
      </c>
    </row>
    <row r="27" spans="1:36" s="8" customFormat="1" ht="15" customHeight="1" x14ac:dyDescent="0.35">
      <c r="A27" s="4" t="s">
        <v>34</v>
      </c>
      <c r="B27" s="24">
        <v>21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/>
      <c r="K27" s="24">
        <v>27</v>
      </c>
      <c r="L27" s="24">
        <v>7</v>
      </c>
      <c r="M27" s="24">
        <v>1</v>
      </c>
      <c r="N27" s="24">
        <v>0</v>
      </c>
      <c r="O27" s="24">
        <v>0</v>
      </c>
      <c r="P27" s="24">
        <v>0</v>
      </c>
      <c r="Q27" s="24">
        <v>0</v>
      </c>
      <c r="R27" s="24">
        <v>2</v>
      </c>
      <c r="S27" s="24"/>
      <c r="T27" s="24">
        <v>2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/>
      <c r="AC27" s="24">
        <v>12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2</v>
      </c>
    </row>
    <row r="28" spans="1:36" s="8" customFormat="1" ht="15" customHeight="1" x14ac:dyDescent="0.35">
      <c r="A28" s="4" t="s">
        <v>35</v>
      </c>
      <c r="B28" s="24">
        <v>33</v>
      </c>
      <c r="C28" s="24">
        <v>1</v>
      </c>
      <c r="D28" s="24">
        <v>2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/>
      <c r="K28" s="24">
        <v>34</v>
      </c>
      <c r="L28" s="24">
        <v>1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/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/>
      <c r="AC28" s="24">
        <v>16</v>
      </c>
      <c r="AD28" s="24">
        <v>0</v>
      </c>
      <c r="AE28" s="24">
        <v>2</v>
      </c>
      <c r="AF28" s="24">
        <v>0</v>
      </c>
      <c r="AG28" s="24">
        <v>1</v>
      </c>
      <c r="AH28" s="24">
        <v>0</v>
      </c>
      <c r="AI28" s="24">
        <v>1</v>
      </c>
      <c r="AJ28" s="24">
        <v>0</v>
      </c>
    </row>
    <row r="29" spans="1:36" s="8" customFormat="1" ht="15" customHeight="1" x14ac:dyDescent="0.35">
      <c r="A29" s="4" t="s">
        <v>36</v>
      </c>
      <c r="B29" s="24">
        <v>22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/>
      <c r="K29" s="24">
        <v>41</v>
      </c>
      <c r="L29" s="24">
        <v>5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/>
      <c r="T29" s="24">
        <v>2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/>
      <c r="AC29" s="24">
        <v>26</v>
      </c>
      <c r="AD29" s="24">
        <v>1</v>
      </c>
      <c r="AE29" s="24">
        <v>5</v>
      </c>
      <c r="AF29" s="24">
        <v>2</v>
      </c>
      <c r="AG29" s="24">
        <v>0</v>
      </c>
      <c r="AH29" s="24">
        <v>0</v>
      </c>
      <c r="AI29" s="24">
        <v>0</v>
      </c>
      <c r="AJ29" s="24">
        <v>0</v>
      </c>
    </row>
    <row r="30" spans="1:36" s="8" customFormat="1" ht="15" customHeight="1" x14ac:dyDescent="0.35">
      <c r="A30" s="4" t="s">
        <v>37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/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/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/>
      <c r="AC30" s="24">
        <v>2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</row>
    <row r="31" spans="1:36" s="8" customFormat="1" ht="15" customHeight="1" x14ac:dyDescent="0.35">
      <c r="A31" s="8" t="s">
        <v>38</v>
      </c>
      <c r="B31" s="24">
        <v>4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25</v>
      </c>
      <c r="J31" s="24"/>
      <c r="K31" s="24">
        <v>8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48</v>
      </c>
      <c r="S31" s="24"/>
      <c r="T31" s="24">
        <v>1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7</v>
      </c>
      <c r="AB31" s="24"/>
      <c r="AC31" s="24">
        <v>13</v>
      </c>
      <c r="AD31" s="24">
        <v>0</v>
      </c>
      <c r="AE31" s="24">
        <v>1</v>
      </c>
      <c r="AF31" s="24">
        <v>1</v>
      </c>
      <c r="AG31" s="24">
        <v>0</v>
      </c>
      <c r="AH31" s="24">
        <v>0</v>
      </c>
      <c r="AI31" s="24">
        <v>0</v>
      </c>
      <c r="AJ31" s="24">
        <v>37</v>
      </c>
    </row>
    <row r="32" spans="1:36" s="8" customFormat="1" ht="15" customHeight="1" x14ac:dyDescent="0.35">
      <c r="A32" s="8" t="s">
        <v>39</v>
      </c>
      <c r="B32" s="24">
        <v>52</v>
      </c>
      <c r="C32" s="24">
        <v>0</v>
      </c>
      <c r="D32" s="24">
        <v>2</v>
      </c>
      <c r="E32" s="24">
        <v>2</v>
      </c>
      <c r="F32" s="24">
        <v>0</v>
      </c>
      <c r="G32" s="24">
        <v>0</v>
      </c>
      <c r="H32" s="24">
        <v>0</v>
      </c>
      <c r="I32" s="24">
        <v>0</v>
      </c>
      <c r="J32" s="24"/>
      <c r="K32" s="24">
        <v>47</v>
      </c>
      <c r="L32" s="24">
        <v>0</v>
      </c>
      <c r="M32" s="24">
        <v>1</v>
      </c>
      <c r="N32" s="24">
        <v>0</v>
      </c>
      <c r="O32" s="24">
        <v>0</v>
      </c>
      <c r="P32" s="24">
        <v>0</v>
      </c>
      <c r="Q32" s="24">
        <v>0</v>
      </c>
      <c r="R32" s="24">
        <v>9</v>
      </c>
      <c r="S32" s="24"/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/>
      <c r="AC32" s="24">
        <v>39</v>
      </c>
      <c r="AD32" s="24">
        <v>0</v>
      </c>
      <c r="AE32" s="24">
        <v>1</v>
      </c>
      <c r="AF32" s="24">
        <v>2</v>
      </c>
      <c r="AG32" s="24">
        <v>1</v>
      </c>
      <c r="AH32" s="24">
        <v>0</v>
      </c>
      <c r="AI32" s="24">
        <v>0</v>
      </c>
      <c r="AJ32" s="24">
        <v>2</v>
      </c>
    </row>
    <row r="33" spans="1:36" s="8" customFormat="1" ht="15" customHeight="1" x14ac:dyDescent="0.35">
      <c r="A33" s="4" t="s">
        <v>40</v>
      </c>
      <c r="B33" s="24">
        <v>12</v>
      </c>
      <c r="C33" s="24">
        <v>0</v>
      </c>
      <c r="D33" s="24">
        <v>4</v>
      </c>
      <c r="E33" s="24">
        <v>1</v>
      </c>
      <c r="F33" s="24">
        <v>0</v>
      </c>
      <c r="G33" s="24">
        <v>0</v>
      </c>
      <c r="H33" s="24">
        <v>0</v>
      </c>
      <c r="I33" s="24">
        <v>8</v>
      </c>
      <c r="J33" s="24"/>
      <c r="K33" s="24">
        <v>18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9</v>
      </c>
      <c r="S33" s="24"/>
      <c r="T33" s="24">
        <v>2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/>
      <c r="AC33" s="24">
        <v>6</v>
      </c>
      <c r="AD33" s="24">
        <v>0</v>
      </c>
      <c r="AE33" s="24">
        <v>1</v>
      </c>
      <c r="AF33" s="24">
        <v>1</v>
      </c>
      <c r="AG33" s="24">
        <v>0</v>
      </c>
      <c r="AH33" s="24">
        <v>0</v>
      </c>
      <c r="AI33" s="24">
        <v>0</v>
      </c>
      <c r="AJ33" s="24">
        <v>4</v>
      </c>
    </row>
    <row r="34" spans="1:36" s="8" customFormat="1" ht="15" customHeight="1" x14ac:dyDescent="0.35">
      <c r="A34" s="8" t="s">
        <v>41</v>
      </c>
      <c r="B34" s="24">
        <v>10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/>
      <c r="K34" s="24">
        <v>44</v>
      </c>
      <c r="L34" s="24">
        <v>0</v>
      </c>
      <c r="M34" s="24">
        <v>1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/>
      <c r="T34" s="24">
        <v>2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/>
      <c r="AC34" s="24">
        <v>3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</row>
    <row r="35" spans="1:36" s="8" customFormat="1" ht="15" customHeight="1" x14ac:dyDescent="0.35">
      <c r="A35" s="8" t="s">
        <v>42</v>
      </c>
      <c r="B35" s="24">
        <v>14</v>
      </c>
      <c r="C35" s="24">
        <v>2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3</v>
      </c>
      <c r="J35" s="24"/>
      <c r="K35" s="24">
        <v>43</v>
      </c>
      <c r="L35" s="24">
        <v>1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12</v>
      </c>
      <c r="S35" s="24"/>
      <c r="T35" s="24">
        <v>4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/>
      <c r="AC35" s="24">
        <v>13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3</v>
      </c>
    </row>
    <row r="36" spans="1:36" s="8" customFormat="1" ht="15" customHeight="1" x14ac:dyDescent="0.35">
      <c r="A36" s="4" t="s">
        <v>43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/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/>
      <c r="T36" s="24">
        <v>10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/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</row>
    <row r="37" spans="1:36" s="8" customFormat="1" ht="15" customHeight="1" x14ac:dyDescent="0.35">
      <c r="A37" s="8" t="s">
        <v>44</v>
      </c>
      <c r="B37" s="24">
        <v>4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/>
      <c r="K37" s="24">
        <v>47</v>
      </c>
      <c r="L37" s="24">
        <v>2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4</v>
      </c>
      <c r="S37" s="24"/>
      <c r="T37" s="24">
        <v>3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/>
      <c r="AC37" s="24">
        <v>19</v>
      </c>
      <c r="AD37" s="24">
        <v>0</v>
      </c>
      <c r="AE37" s="24">
        <v>0</v>
      </c>
      <c r="AF37" s="24">
        <v>0</v>
      </c>
      <c r="AG37" s="24">
        <v>1</v>
      </c>
      <c r="AH37" s="24">
        <v>0</v>
      </c>
      <c r="AI37" s="24">
        <v>0</v>
      </c>
      <c r="AJ37" s="24">
        <v>0</v>
      </c>
    </row>
    <row r="38" spans="1:36" s="8" customFormat="1" ht="15" customHeight="1" x14ac:dyDescent="0.35">
      <c r="A38" s="8" t="s">
        <v>45</v>
      </c>
      <c r="B38" s="24">
        <v>1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12</v>
      </c>
      <c r="J38" s="24"/>
      <c r="K38" s="24">
        <v>5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29</v>
      </c>
      <c r="S38" s="24"/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/>
      <c r="AC38" s="24">
        <v>2</v>
      </c>
      <c r="AD38" s="24">
        <v>0</v>
      </c>
      <c r="AE38" s="24">
        <v>0</v>
      </c>
      <c r="AF38" s="24">
        <v>0</v>
      </c>
      <c r="AG38" s="24">
        <v>1</v>
      </c>
      <c r="AH38" s="24">
        <v>0</v>
      </c>
      <c r="AI38" s="24">
        <v>0</v>
      </c>
      <c r="AJ38" s="24">
        <v>7</v>
      </c>
    </row>
    <row r="39" spans="1:36" s="8" customFormat="1" ht="15" customHeight="1" x14ac:dyDescent="0.35">
      <c r="A39" s="8" t="s">
        <v>46</v>
      </c>
      <c r="B39" s="24">
        <v>1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/>
      <c r="K39" s="24">
        <v>18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/>
      <c r="T39" s="24">
        <v>1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/>
      <c r="AC39" s="24">
        <v>1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3</v>
      </c>
    </row>
    <row r="40" spans="1:36" s="8" customFormat="1" ht="15" customHeight="1" x14ac:dyDescent="0.35">
      <c r="A40" s="4" t="s">
        <v>47</v>
      </c>
      <c r="B40" s="24">
        <v>13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/>
      <c r="K40" s="24">
        <v>32</v>
      </c>
      <c r="L40" s="24">
        <v>1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3</v>
      </c>
      <c r="S40" s="24"/>
      <c r="T40" s="24">
        <v>1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/>
      <c r="AC40" s="24">
        <v>10</v>
      </c>
      <c r="AD40" s="24">
        <v>0</v>
      </c>
      <c r="AE40" s="24">
        <v>0</v>
      </c>
      <c r="AF40" s="24">
        <v>0</v>
      </c>
      <c r="AG40" s="24">
        <v>2</v>
      </c>
      <c r="AH40" s="24">
        <v>0</v>
      </c>
      <c r="AI40" s="24">
        <v>0</v>
      </c>
      <c r="AJ40" s="24">
        <v>7</v>
      </c>
    </row>
    <row r="41" spans="1:36" s="8" customFormat="1" ht="15" customHeight="1" x14ac:dyDescent="0.35">
      <c r="A41" s="4" t="s">
        <v>48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/>
      <c r="K41" s="24">
        <v>64</v>
      </c>
      <c r="L41" s="24">
        <v>2</v>
      </c>
      <c r="M41" s="24">
        <v>0</v>
      </c>
      <c r="N41" s="24">
        <v>0</v>
      </c>
      <c r="O41" s="24">
        <v>0</v>
      </c>
      <c r="P41" s="24">
        <v>0</v>
      </c>
      <c r="Q41" s="24">
        <v>1</v>
      </c>
      <c r="R41" s="24">
        <v>7</v>
      </c>
      <c r="S41" s="24"/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/>
      <c r="AC41" s="24">
        <v>4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</row>
    <row r="42" spans="1:36" s="8" customFormat="1" ht="15" customHeight="1" x14ac:dyDescent="0.35">
      <c r="A42" s="4" t="s">
        <v>49</v>
      </c>
      <c r="B42" s="24">
        <v>5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/>
      <c r="K42" s="24">
        <v>11</v>
      </c>
      <c r="L42" s="24">
        <v>12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3</v>
      </c>
      <c r="S42" s="24"/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1</v>
      </c>
      <c r="AB42" s="24"/>
      <c r="AC42" s="24">
        <v>6</v>
      </c>
      <c r="AD42" s="24">
        <v>1</v>
      </c>
      <c r="AE42" s="24">
        <v>0</v>
      </c>
      <c r="AF42" s="24">
        <v>0</v>
      </c>
      <c r="AG42" s="24">
        <v>0</v>
      </c>
      <c r="AH42" s="24">
        <v>1</v>
      </c>
      <c r="AI42" s="24">
        <v>0</v>
      </c>
      <c r="AJ42" s="24">
        <v>1</v>
      </c>
    </row>
    <row r="43" spans="1:36" s="8" customFormat="1" ht="15" customHeight="1" x14ac:dyDescent="0.35">
      <c r="A43" s="4" t="s">
        <v>50</v>
      </c>
      <c r="B43" s="24">
        <v>7</v>
      </c>
      <c r="C43" s="24">
        <v>1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/>
      <c r="K43" s="24">
        <v>16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/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/>
      <c r="AC43" s="24">
        <v>9</v>
      </c>
      <c r="AD43" s="24">
        <v>1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</row>
    <row r="44" spans="1:36" s="8" customFormat="1" ht="15" customHeight="1" x14ac:dyDescent="0.35">
      <c r="A44" s="4" t="s">
        <v>51</v>
      </c>
      <c r="B44" s="24">
        <v>1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1</v>
      </c>
      <c r="J44" s="24"/>
      <c r="K44" s="24">
        <v>2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47</v>
      </c>
      <c r="S44" s="24"/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/>
      <c r="AC44" s="24">
        <v>5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1</v>
      </c>
    </row>
    <row r="45" spans="1:36" s="8" customFormat="1" ht="15" customHeight="1" x14ac:dyDescent="0.35">
      <c r="A45" s="4" t="s">
        <v>52</v>
      </c>
      <c r="B45" s="24">
        <v>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3</v>
      </c>
      <c r="J45" s="24"/>
      <c r="K45" s="24">
        <v>5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4</v>
      </c>
      <c r="S45" s="24"/>
      <c r="T45" s="24">
        <v>1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2</v>
      </c>
      <c r="AB45" s="24"/>
      <c r="AC45" s="24">
        <v>1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</row>
    <row r="46" spans="1:36" s="8" customFormat="1" ht="15" customHeight="1" x14ac:dyDescent="0.35">
      <c r="A46" s="4" t="s">
        <v>53</v>
      </c>
      <c r="B46" s="24">
        <v>7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24</v>
      </c>
      <c r="J46" s="24"/>
      <c r="K46" s="24">
        <v>12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8</v>
      </c>
      <c r="S46" s="24"/>
      <c r="T46" s="24">
        <v>3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/>
      <c r="AC46" s="24">
        <v>12</v>
      </c>
      <c r="AD46" s="24">
        <v>0</v>
      </c>
      <c r="AE46" s="24">
        <v>0</v>
      </c>
      <c r="AF46" s="24">
        <v>1</v>
      </c>
      <c r="AG46" s="24">
        <v>0</v>
      </c>
      <c r="AH46" s="24">
        <v>0</v>
      </c>
      <c r="AI46" s="24">
        <v>0</v>
      </c>
      <c r="AJ46" s="24">
        <v>7</v>
      </c>
    </row>
    <row r="47" spans="1:36" s="8" customFormat="1" ht="15" customHeight="1" x14ac:dyDescent="0.35">
      <c r="A47" s="4" t="s">
        <v>54</v>
      </c>
      <c r="B47" s="24">
        <v>12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12</v>
      </c>
      <c r="J47" s="24"/>
      <c r="K47" s="24">
        <v>37</v>
      </c>
      <c r="L47" s="24">
        <v>0</v>
      </c>
      <c r="M47" s="24">
        <v>1</v>
      </c>
      <c r="N47" s="24">
        <v>0</v>
      </c>
      <c r="O47" s="24">
        <v>0</v>
      </c>
      <c r="P47" s="24">
        <v>0</v>
      </c>
      <c r="Q47" s="24">
        <v>0</v>
      </c>
      <c r="R47" s="24">
        <v>9</v>
      </c>
      <c r="S47" s="24"/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/>
      <c r="AC47" s="24">
        <v>10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</row>
    <row r="48" spans="1:36" s="8" customFormat="1" ht="15" customHeight="1" x14ac:dyDescent="0.35">
      <c r="A48" s="4" t="s">
        <v>55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/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2</v>
      </c>
      <c r="S48" s="24"/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/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</row>
    <row r="49" spans="1:36" s="8" customFormat="1" ht="15" customHeight="1" x14ac:dyDescent="0.35">
      <c r="A49" s="43" t="s">
        <v>56</v>
      </c>
      <c r="B49" s="22">
        <f>SUM(B50:B56)</f>
        <v>317</v>
      </c>
      <c r="C49" s="22">
        <f t="shared" ref="C49:I49" si="44">SUM(C50:C56)</f>
        <v>11</v>
      </c>
      <c r="D49" s="22">
        <f t="shared" si="44"/>
        <v>37</v>
      </c>
      <c r="E49" s="22">
        <f t="shared" si="44"/>
        <v>12</v>
      </c>
      <c r="F49" s="22">
        <f t="shared" si="44"/>
        <v>17</v>
      </c>
      <c r="G49" s="22">
        <f t="shared" si="44"/>
        <v>0</v>
      </c>
      <c r="H49" s="22">
        <f t="shared" si="44"/>
        <v>5</v>
      </c>
      <c r="I49" s="22">
        <f t="shared" si="44"/>
        <v>41</v>
      </c>
      <c r="J49" s="22"/>
      <c r="K49" s="22">
        <f>SUM(K50:K56)</f>
        <v>53</v>
      </c>
      <c r="L49" s="22">
        <f t="shared" ref="L49" si="45">SUM(L50:L56)</f>
        <v>0</v>
      </c>
      <c r="M49" s="22">
        <f t="shared" ref="M49" si="46">SUM(M50:M56)</f>
        <v>1</v>
      </c>
      <c r="N49" s="22">
        <f t="shared" ref="N49" si="47">SUM(N50:N56)</f>
        <v>0</v>
      </c>
      <c r="O49" s="22">
        <f t="shared" ref="O49" si="48">SUM(O50:O56)</f>
        <v>0</v>
      </c>
      <c r="P49" s="22">
        <f t="shared" ref="P49" si="49">SUM(P50:P56)</f>
        <v>0</v>
      </c>
      <c r="Q49" s="22">
        <f t="shared" ref="Q49" si="50">SUM(Q50:Q56)</f>
        <v>0</v>
      </c>
      <c r="R49" s="22">
        <f t="shared" ref="R49" si="51">SUM(R50:R56)</f>
        <v>1</v>
      </c>
      <c r="S49" s="22"/>
      <c r="T49" s="22">
        <f t="shared" ref="T49:AA49" si="52">SUM(T50:T56)</f>
        <v>28</v>
      </c>
      <c r="U49" s="22">
        <f t="shared" si="52"/>
        <v>1</v>
      </c>
      <c r="V49" s="22">
        <f t="shared" si="52"/>
        <v>2</v>
      </c>
      <c r="W49" s="22">
        <f t="shared" si="52"/>
        <v>1</v>
      </c>
      <c r="X49" s="22">
        <f t="shared" si="52"/>
        <v>1</v>
      </c>
      <c r="Y49" s="22">
        <f t="shared" si="52"/>
        <v>0</v>
      </c>
      <c r="Z49" s="22">
        <f t="shared" si="52"/>
        <v>0</v>
      </c>
      <c r="AA49" s="22">
        <f t="shared" si="52"/>
        <v>0</v>
      </c>
      <c r="AB49" s="22"/>
      <c r="AC49" s="22">
        <f t="shared" ref="AC49:AJ49" si="53">SUM(AC50:AC56)</f>
        <v>204</v>
      </c>
      <c r="AD49" s="22">
        <f t="shared" si="53"/>
        <v>6</v>
      </c>
      <c r="AE49" s="22">
        <f t="shared" si="53"/>
        <v>4</v>
      </c>
      <c r="AF49" s="22">
        <f t="shared" si="53"/>
        <v>16</v>
      </c>
      <c r="AG49" s="22">
        <f t="shared" si="53"/>
        <v>20</v>
      </c>
      <c r="AH49" s="22">
        <f t="shared" si="53"/>
        <v>2</v>
      </c>
      <c r="AI49" s="22">
        <f t="shared" si="53"/>
        <v>8</v>
      </c>
      <c r="AJ49" s="22">
        <f t="shared" si="53"/>
        <v>42</v>
      </c>
    </row>
    <row r="50" spans="1:36" s="8" customFormat="1" ht="15" customHeight="1" x14ac:dyDescent="0.35">
      <c r="A50" s="4" t="s">
        <v>57</v>
      </c>
      <c r="B50" s="24">
        <v>15</v>
      </c>
      <c r="C50" s="24">
        <v>1</v>
      </c>
      <c r="D50" s="24">
        <v>7</v>
      </c>
      <c r="E50" s="24">
        <v>2</v>
      </c>
      <c r="F50" s="24">
        <v>1</v>
      </c>
      <c r="G50" s="24">
        <v>0</v>
      </c>
      <c r="H50" s="24">
        <v>1</v>
      </c>
      <c r="I50" s="24">
        <v>28</v>
      </c>
      <c r="J50" s="24"/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/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/>
      <c r="AC50" s="24">
        <v>50</v>
      </c>
      <c r="AD50" s="24">
        <v>1</v>
      </c>
      <c r="AE50" s="24">
        <v>1</v>
      </c>
      <c r="AF50" s="24">
        <v>1</v>
      </c>
      <c r="AG50" s="24">
        <v>2</v>
      </c>
      <c r="AH50" s="24">
        <v>1</v>
      </c>
      <c r="AI50" s="24">
        <v>0</v>
      </c>
      <c r="AJ50" s="24">
        <v>24</v>
      </c>
    </row>
    <row r="51" spans="1:36" s="8" customFormat="1" ht="15" customHeight="1" x14ac:dyDescent="0.35">
      <c r="A51" s="4" t="s">
        <v>58</v>
      </c>
      <c r="B51" s="24">
        <v>26</v>
      </c>
      <c r="C51" s="24">
        <v>0</v>
      </c>
      <c r="D51" s="24">
        <v>5</v>
      </c>
      <c r="E51" s="24">
        <v>0</v>
      </c>
      <c r="F51" s="24">
        <v>0</v>
      </c>
      <c r="G51" s="24">
        <v>0</v>
      </c>
      <c r="H51" s="24">
        <v>0</v>
      </c>
      <c r="I51" s="24">
        <v>1</v>
      </c>
      <c r="J51" s="24"/>
      <c r="K51" s="24">
        <v>14</v>
      </c>
      <c r="L51" s="24">
        <v>0</v>
      </c>
      <c r="M51" s="24">
        <v>1</v>
      </c>
      <c r="N51" s="24">
        <v>0</v>
      </c>
      <c r="O51" s="24">
        <v>0</v>
      </c>
      <c r="P51" s="24">
        <v>0</v>
      </c>
      <c r="Q51" s="24">
        <v>0</v>
      </c>
      <c r="R51" s="24">
        <v>1</v>
      </c>
      <c r="S51" s="24"/>
      <c r="T51" s="24">
        <v>7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/>
      <c r="AC51" s="24">
        <v>16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1</v>
      </c>
    </row>
    <row r="52" spans="1:36" s="8" customFormat="1" ht="15" customHeight="1" x14ac:dyDescent="0.35">
      <c r="A52" s="4" t="s">
        <v>59</v>
      </c>
      <c r="B52" s="24">
        <v>27</v>
      </c>
      <c r="C52" s="24">
        <v>0</v>
      </c>
      <c r="D52" s="24">
        <v>4</v>
      </c>
      <c r="E52" s="24">
        <v>0</v>
      </c>
      <c r="F52" s="24">
        <v>0</v>
      </c>
      <c r="G52" s="24">
        <v>0</v>
      </c>
      <c r="H52" s="24">
        <v>0</v>
      </c>
      <c r="I52" s="24">
        <v>1</v>
      </c>
      <c r="J52" s="24"/>
      <c r="K52" s="24">
        <v>26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/>
      <c r="T52" s="24">
        <v>3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/>
      <c r="AC52" s="24">
        <v>34</v>
      </c>
      <c r="AD52" s="24">
        <v>1</v>
      </c>
      <c r="AE52" s="24">
        <v>0</v>
      </c>
      <c r="AF52" s="24">
        <v>2</v>
      </c>
      <c r="AG52" s="24">
        <v>0</v>
      </c>
      <c r="AH52" s="24">
        <v>0</v>
      </c>
      <c r="AI52" s="24">
        <v>0</v>
      </c>
      <c r="AJ52" s="24">
        <v>0</v>
      </c>
    </row>
    <row r="53" spans="1:36" s="8" customFormat="1" ht="15" customHeight="1" x14ac:dyDescent="0.35">
      <c r="A53" s="2" t="s">
        <v>60</v>
      </c>
      <c r="B53" s="24">
        <v>6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/>
      <c r="K53" s="24">
        <v>6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/>
      <c r="T53" s="24">
        <v>1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/>
      <c r="AC53" s="24">
        <v>20</v>
      </c>
      <c r="AD53" s="24">
        <v>0</v>
      </c>
      <c r="AE53" s="24">
        <v>0</v>
      </c>
      <c r="AF53" s="24">
        <v>1</v>
      </c>
      <c r="AG53" s="24">
        <v>0</v>
      </c>
      <c r="AH53" s="24">
        <v>0</v>
      </c>
      <c r="AI53" s="24">
        <v>0</v>
      </c>
      <c r="AJ53" s="24">
        <v>4</v>
      </c>
    </row>
    <row r="54" spans="1:36" s="8" customFormat="1" ht="15" customHeight="1" x14ac:dyDescent="0.35">
      <c r="A54" s="2" t="s">
        <v>61</v>
      </c>
      <c r="B54" s="24">
        <v>51</v>
      </c>
      <c r="C54" s="24">
        <v>2</v>
      </c>
      <c r="D54" s="24">
        <v>12</v>
      </c>
      <c r="E54" s="24">
        <v>3</v>
      </c>
      <c r="F54" s="24">
        <v>4</v>
      </c>
      <c r="G54" s="24">
        <v>0</v>
      </c>
      <c r="H54" s="24">
        <v>0</v>
      </c>
      <c r="I54" s="24">
        <v>1</v>
      </c>
      <c r="J54" s="24"/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/>
      <c r="T54" s="24">
        <v>1</v>
      </c>
      <c r="U54" s="24">
        <v>1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/>
      <c r="AC54" s="24">
        <v>10</v>
      </c>
      <c r="AD54" s="24">
        <v>0</v>
      </c>
      <c r="AE54" s="24">
        <v>0</v>
      </c>
      <c r="AF54" s="24">
        <v>1</v>
      </c>
      <c r="AG54" s="24">
        <v>0</v>
      </c>
      <c r="AH54" s="24">
        <v>0</v>
      </c>
      <c r="AI54" s="24">
        <v>0</v>
      </c>
      <c r="AJ54" s="24">
        <v>8</v>
      </c>
    </row>
    <row r="55" spans="1:36" s="8" customFormat="1" ht="15" customHeight="1" x14ac:dyDescent="0.35">
      <c r="A55" s="2" t="s">
        <v>62</v>
      </c>
      <c r="B55" s="24">
        <v>28</v>
      </c>
      <c r="C55" s="24">
        <v>1</v>
      </c>
      <c r="D55" s="24">
        <v>0</v>
      </c>
      <c r="E55" s="24">
        <v>0</v>
      </c>
      <c r="F55" s="24">
        <v>1</v>
      </c>
      <c r="G55" s="24">
        <v>0</v>
      </c>
      <c r="H55" s="24">
        <v>0</v>
      </c>
      <c r="I55" s="24">
        <v>6</v>
      </c>
      <c r="J55" s="24"/>
      <c r="K55" s="24">
        <v>7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/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/>
      <c r="AC55" s="24">
        <v>36</v>
      </c>
      <c r="AD55" s="24">
        <v>1</v>
      </c>
      <c r="AE55" s="24">
        <v>1</v>
      </c>
      <c r="AF55" s="24">
        <v>6</v>
      </c>
      <c r="AG55" s="24">
        <v>1</v>
      </c>
      <c r="AH55" s="24">
        <v>0</v>
      </c>
      <c r="AI55" s="24">
        <v>3</v>
      </c>
      <c r="AJ55" s="24">
        <v>2</v>
      </c>
    </row>
    <row r="56" spans="1:36" s="8" customFormat="1" ht="15" customHeight="1" thickBot="1" x14ac:dyDescent="0.4">
      <c r="A56" s="27" t="s">
        <v>63</v>
      </c>
      <c r="B56" s="24">
        <v>164</v>
      </c>
      <c r="C56" s="24">
        <v>7</v>
      </c>
      <c r="D56" s="24">
        <v>9</v>
      </c>
      <c r="E56" s="24">
        <v>7</v>
      </c>
      <c r="F56" s="24">
        <v>11</v>
      </c>
      <c r="G56" s="24">
        <v>0</v>
      </c>
      <c r="H56" s="24">
        <v>4</v>
      </c>
      <c r="I56" s="24">
        <v>4</v>
      </c>
      <c r="J56" s="28"/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8"/>
      <c r="T56" s="24">
        <v>16</v>
      </c>
      <c r="U56" s="24">
        <v>0</v>
      </c>
      <c r="V56" s="24">
        <v>2</v>
      </c>
      <c r="W56" s="24">
        <v>1</v>
      </c>
      <c r="X56" s="24">
        <v>1</v>
      </c>
      <c r="Y56" s="24">
        <v>0</v>
      </c>
      <c r="Z56" s="24">
        <v>0</v>
      </c>
      <c r="AA56" s="24">
        <v>0</v>
      </c>
      <c r="AB56" s="28"/>
      <c r="AC56" s="24">
        <v>38</v>
      </c>
      <c r="AD56" s="24">
        <v>3</v>
      </c>
      <c r="AE56" s="24">
        <v>2</v>
      </c>
      <c r="AF56" s="24">
        <v>5</v>
      </c>
      <c r="AG56" s="24">
        <v>17</v>
      </c>
      <c r="AH56" s="24">
        <v>1</v>
      </c>
      <c r="AI56" s="24">
        <v>5</v>
      </c>
      <c r="AJ56" s="24">
        <v>3</v>
      </c>
    </row>
    <row r="57" spans="1:36" s="8" customFormat="1" ht="15" customHeigh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</sheetData>
  <mergeCells count="5">
    <mergeCell ref="K6:R6"/>
    <mergeCell ref="T6:AA6"/>
    <mergeCell ref="A1:AN1"/>
    <mergeCell ref="B6:I6"/>
    <mergeCell ref="AC6:AJ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70"/>
  <sheetViews>
    <sheetView topLeftCell="AM1" workbookViewId="0">
      <selection activeCell="AU8" sqref="AU8"/>
    </sheetView>
  </sheetViews>
  <sheetFormatPr defaultColWidth="9.1796875" defaultRowHeight="14.5" x14ac:dyDescent="0.35"/>
  <cols>
    <col min="1" max="1" width="50.7265625" style="4" customWidth="1"/>
    <col min="2" max="9" width="8.7265625" style="4" customWidth="1"/>
    <col min="10" max="10" width="2.7265625" style="4" customWidth="1"/>
    <col min="11" max="18" width="8.7265625" style="4" customWidth="1"/>
    <col min="19" max="19" width="2.7265625" style="4" customWidth="1"/>
    <col min="20" max="27" width="8.7265625" style="4" customWidth="1"/>
    <col min="28" max="28" width="2.7265625" style="4" customWidth="1"/>
    <col min="29" max="36" width="8.7265625" style="4" customWidth="1"/>
    <col min="37" max="37" width="2.7265625" style="4" customWidth="1"/>
    <col min="38" max="45" width="8.7265625" style="4" customWidth="1"/>
    <col min="46" max="46" width="2.7265625" style="4" customWidth="1"/>
    <col min="47" max="54" width="8.7265625" style="4" customWidth="1"/>
    <col min="55" max="16384" width="9.1796875" style="4"/>
  </cols>
  <sheetData>
    <row r="1" spans="1:64" s="1" customFormat="1" ht="23.25" customHeight="1" x14ac:dyDescent="0.5">
      <c r="A1" s="83" t="s">
        <v>85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</row>
    <row r="2" spans="1:64" s="3" customFormat="1" x14ac:dyDescent="0.35">
      <c r="A2" s="2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</row>
    <row r="3" spans="1:64" s="3" customFormat="1" x14ac:dyDescent="0.35">
      <c r="A3" s="2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</row>
    <row r="4" spans="1:64" s="3" customFormat="1" x14ac:dyDescent="0.35">
      <c r="A4" s="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</row>
    <row r="5" spans="1:64" s="3" customFormat="1" x14ac:dyDescent="0.35">
      <c r="A5" s="2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</row>
    <row r="6" spans="1:64" s="8" customFormat="1" ht="15.75" customHeight="1" thickBot="1" x14ac:dyDescent="0.4">
      <c r="A6" s="4"/>
      <c r="B6" s="85" t="s">
        <v>1</v>
      </c>
      <c r="C6" s="85"/>
      <c r="D6" s="85"/>
      <c r="E6" s="85"/>
      <c r="F6" s="85"/>
      <c r="G6" s="85"/>
      <c r="H6" s="85"/>
      <c r="I6" s="40"/>
      <c r="J6" s="39"/>
      <c r="K6" s="87" t="s">
        <v>84</v>
      </c>
      <c r="L6" s="87"/>
      <c r="M6" s="87"/>
      <c r="N6" s="87"/>
      <c r="O6" s="87"/>
      <c r="P6" s="87"/>
      <c r="Q6" s="87"/>
      <c r="R6" s="87"/>
      <c r="S6" s="39"/>
      <c r="T6" s="86" t="s">
        <v>2</v>
      </c>
      <c r="U6" s="86"/>
      <c r="V6" s="86"/>
      <c r="W6" s="86"/>
      <c r="X6" s="86"/>
      <c r="Y6" s="86"/>
      <c r="Z6" s="86"/>
      <c r="AA6" s="7"/>
      <c r="AB6" s="39"/>
      <c r="AC6" s="87" t="s">
        <v>3</v>
      </c>
      <c r="AD6" s="87"/>
      <c r="AE6" s="87"/>
      <c r="AF6" s="87"/>
      <c r="AG6" s="87"/>
      <c r="AH6" s="87"/>
      <c r="AI6" s="87"/>
      <c r="AJ6" s="40"/>
      <c r="AK6" s="39"/>
      <c r="AL6" s="87" t="s">
        <v>4</v>
      </c>
      <c r="AM6" s="87"/>
      <c r="AN6" s="87"/>
      <c r="AO6" s="87"/>
      <c r="AP6" s="87"/>
      <c r="AQ6" s="87"/>
      <c r="AR6" s="87"/>
      <c r="AS6" s="40"/>
      <c r="AT6" s="39"/>
      <c r="AU6" s="86" t="s">
        <v>5</v>
      </c>
      <c r="AV6" s="86"/>
      <c r="AW6" s="86"/>
      <c r="AX6" s="86"/>
      <c r="AY6" s="86"/>
      <c r="AZ6" s="86"/>
      <c r="BA6" s="86"/>
      <c r="BB6" s="86"/>
    </row>
    <row r="7" spans="1:64" s="15" customFormat="1" ht="58.5" thickBot="1" x14ac:dyDescent="0.4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45" t="s">
        <v>13</v>
      </c>
      <c r="I7" s="45" t="s">
        <v>14</v>
      </c>
      <c r="J7" s="41"/>
      <c r="K7" s="10" t="s">
        <v>7</v>
      </c>
      <c r="L7" s="10" t="s">
        <v>8</v>
      </c>
      <c r="M7" s="10" t="s">
        <v>9</v>
      </c>
      <c r="N7" s="10" t="s">
        <v>10</v>
      </c>
      <c r="O7" s="10" t="s">
        <v>11</v>
      </c>
      <c r="P7" s="10" t="s">
        <v>12</v>
      </c>
      <c r="Q7" s="45" t="s">
        <v>13</v>
      </c>
      <c r="R7" s="45" t="s">
        <v>14</v>
      </c>
      <c r="S7" s="41"/>
      <c r="T7" s="13" t="s">
        <v>7</v>
      </c>
      <c r="U7" s="13" t="s">
        <v>8</v>
      </c>
      <c r="V7" s="13" t="s">
        <v>9</v>
      </c>
      <c r="W7" s="13" t="s">
        <v>10</v>
      </c>
      <c r="X7" s="13" t="s">
        <v>11</v>
      </c>
      <c r="Y7" s="13" t="s">
        <v>12</v>
      </c>
      <c r="Z7" s="45" t="s">
        <v>13</v>
      </c>
      <c r="AA7" s="45" t="s">
        <v>14</v>
      </c>
      <c r="AB7" s="41"/>
      <c r="AC7" s="10" t="s">
        <v>7</v>
      </c>
      <c r="AD7" s="10" t="s">
        <v>8</v>
      </c>
      <c r="AE7" s="10" t="s">
        <v>9</v>
      </c>
      <c r="AF7" s="10" t="s">
        <v>10</v>
      </c>
      <c r="AG7" s="10" t="s">
        <v>11</v>
      </c>
      <c r="AH7" s="10" t="s">
        <v>12</v>
      </c>
      <c r="AI7" s="45" t="s">
        <v>13</v>
      </c>
      <c r="AJ7" s="45" t="s">
        <v>14</v>
      </c>
      <c r="AK7" s="41"/>
      <c r="AL7" s="10" t="s">
        <v>7</v>
      </c>
      <c r="AM7" s="10" t="s">
        <v>8</v>
      </c>
      <c r="AN7" s="10" t="s">
        <v>9</v>
      </c>
      <c r="AO7" s="10" t="s">
        <v>10</v>
      </c>
      <c r="AP7" s="10" t="s">
        <v>11</v>
      </c>
      <c r="AQ7" s="10" t="s">
        <v>12</v>
      </c>
      <c r="AR7" s="45" t="s">
        <v>13</v>
      </c>
      <c r="AS7" s="45" t="s">
        <v>14</v>
      </c>
      <c r="AT7" s="41"/>
      <c r="AU7" s="13" t="s">
        <v>7</v>
      </c>
      <c r="AV7" s="13" t="s">
        <v>8</v>
      </c>
      <c r="AW7" s="13" t="s">
        <v>9</v>
      </c>
      <c r="AX7" s="13" t="s">
        <v>10</v>
      </c>
      <c r="AY7" s="13" t="s">
        <v>11</v>
      </c>
      <c r="AZ7" s="13" t="s">
        <v>12</v>
      </c>
      <c r="BA7" s="45" t="s">
        <v>13</v>
      </c>
      <c r="BB7" s="45" t="s">
        <v>14</v>
      </c>
    </row>
    <row r="8" spans="1:64" s="8" customFormat="1" ht="15" customHeight="1" x14ac:dyDescent="0.35">
      <c r="A8" s="16" t="s">
        <v>15</v>
      </c>
      <c r="B8" s="22">
        <f>B9+B49</f>
        <v>824</v>
      </c>
      <c r="C8" s="22">
        <f t="shared" ref="C8:G8" si="0">C9+C49</f>
        <v>48</v>
      </c>
      <c r="D8" s="22">
        <f t="shared" si="0"/>
        <v>17</v>
      </c>
      <c r="E8" s="22">
        <f t="shared" si="0"/>
        <v>18</v>
      </c>
      <c r="F8" s="22">
        <f t="shared" si="0"/>
        <v>5</v>
      </c>
      <c r="G8" s="22">
        <f t="shared" si="0"/>
        <v>194</v>
      </c>
      <c r="H8" s="46">
        <f>IF(SUM(B8:F8)=0,"-",(SUM(C8:F8)/SUM(B8:F8)))</f>
        <v>9.6491228070175433E-2</v>
      </c>
      <c r="I8" s="46">
        <f>IF(SUM(B8:G8)=0,"-",(G8/SUM(B8:G8)))</f>
        <v>0.17540687160940324</v>
      </c>
      <c r="J8" s="17"/>
      <c r="K8" s="22">
        <f>K9+K49</f>
        <v>1063</v>
      </c>
      <c r="L8" s="22">
        <f t="shared" ref="L8" si="1">L9+L49</f>
        <v>10</v>
      </c>
      <c r="M8" s="22">
        <f t="shared" ref="M8" si="2">M9+M49</f>
        <v>1</v>
      </c>
      <c r="N8" s="22">
        <f t="shared" ref="N8" si="3">N9+N49</f>
        <v>0</v>
      </c>
      <c r="O8" s="22">
        <f t="shared" ref="O8" si="4">O9+O49</f>
        <v>4</v>
      </c>
      <c r="P8" s="22">
        <f t="shared" ref="P8" si="5">P9+P49</f>
        <v>430</v>
      </c>
      <c r="Q8" s="46">
        <f>IF(SUM(K8:O8)=0,"-",(SUM(L8:O8)/SUM(K8:O8)))</f>
        <v>1.3914656771799629E-2</v>
      </c>
      <c r="R8" s="46">
        <f>IF(SUM(K8:P8)=0,"-",(P8/SUM(K8:P8)))</f>
        <v>0.28514588859416445</v>
      </c>
      <c r="S8" s="17"/>
      <c r="T8" s="17">
        <f>B8+K8</f>
        <v>1887</v>
      </c>
      <c r="U8" s="17">
        <f t="shared" ref="U8:Y8" si="6">C8+L8</f>
        <v>58</v>
      </c>
      <c r="V8" s="17">
        <f t="shared" si="6"/>
        <v>18</v>
      </c>
      <c r="W8" s="17">
        <f t="shared" si="6"/>
        <v>18</v>
      </c>
      <c r="X8" s="17">
        <f t="shared" si="6"/>
        <v>9</v>
      </c>
      <c r="Y8" s="17">
        <f t="shared" si="6"/>
        <v>624</v>
      </c>
      <c r="Z8" s="46">
        <f>IF(SUM(T8:X8)=0,"-",(SUM(U8:X8)/SUM(T8:X8)))</f>
        <v>5.1758793969849247E-2</v>
      </c>
      <c r="AA8" s="46">
        <f>IF(SUM(T8:Y8)=0,"-",(Y8/SUM(T8:Y8)))</f>
        <v>0.23871461361897475</v>
      </c>
      <c r="AB8" s="17"/>
      <c r="AC8" s="22">
        <f>AC9+AC49</f>
        <v>91</v>
      </c>
      <c r="AD8" s="22">
        <f t="shared" ref="AD8" si="7">AD9+AD49</f>
        <v>2</v>
      </c>
      <c r="AE8" s="22">
        <f t="shared" ref="AE8" si="8">AE9+AE49</f>
        <v>1</v>
      </c>
      <c r="AF8" s="22">
        <f t="shared" ref="AF8" si="9">AF9+AF49</f>
        <v>1</v>
      </c>
      <c r="AG8" s="22">
        <f t="shared" ref="AG8" si="10">AG9+AG49</f>
        <v>0</v>
      </c>
      <c r="AH8" s="22">
        <f t="shared" ref="AH8" si="11">AH9+AH49</f>
        <v>29</v>
      </c>
      <c r="AI8" s="46">
        <f>IF(SUM(AC8:AG8)=0,"-",(SUM(AD8:AG8)/SUM(AC8:AG8)))</f>
        <v>4.2105263157894736E-2</v>
      </c>
      <c r="AJ8" s="46">
        <f>IF(SUM(AC8:AH8)=0,"-",(AH8/SUM(AC8:AH8)))</f>
        <v>0.23387096774193547</v>
      </c>
      <c r="AK8" s="17"/>
      <c r="AL8" s="22">
        <f>AL9+AL49</f>
        <v>701</v>
      </c>
      <c r="AM8" s="22">
        <f t="shared" ref="AM8" si="12">AM9+AM49</f>
        <v>18</v>
      </c>
      <c r="AN8" s="22">
        <f t="shared" ref="AN8" si="13">AN9+AN49</f>
        <v>28</v>
      </c>
      <c r="AO8" s="22">
        <f t="shared" ref="AO8" si="14">AO9+AO49</f>
        <v>30</v>
      </c>
      <c r="AP8" s="22">
        <f t="shared" ref="AP8" si="15">AP9+AP49</f>
        <v>15</v>
      </c>
      <c r="AQ8" s="22">
        <f t="shared" ref="AQ8" si="16">AQ9+AQ49</f>
        <v>236</v>
      </c>
      <c r="AR8" s="46">
        <f>IF(SUM(AL8:AP8)=0,"-",(SUM(AM8:AP8)/SUM(AL8:AP8)))</f>
        <v>0.1148989898989899</v>
      </c>
      <c r="AS8" s="46">
        <f>IF(SUM(AL8:AQ8)=0,"-",(AQ8/SUM(AL8:AQ8)))</f>
        <v>0.22957198443579765</v>
      </c>
      <c r="AT8" s="17"/>
      <c r="AU8" s="17">
        <f>AL8+AC8+T8</f>
        <v>2679</v>
      </c>
      <c r="AV8" s="17">
        <f t="shared" ref="AV8:AZ8" si="17">AM8+AD8+U8</f>
        <v>78</v>
      </c>
      <c r="AW8" s="17">
        <f t="shared" si="17"/>
        <v>47</v>
      </c>
      <c r="AX8" s="17">
        <f t="shared" si="17"/>
        <v>49</v>
      </c>
      <c r="AY8" s="17">
        <f t="shared" si="17"/>
        <v>24</v>
      </c>
      <c r="AZ8" s="17">
        <f t="shared" si="17"/>
        <v>889</v>
      </c>
      <c r="BA8" s="46">
        <f>IF(SUM(AU8:AY8)=0,"-",(SUM(AV8:AY8)/SUM(AU8:AY8)))</f>
        <v>6.8821689259645463E-2</v>
      </c>
      <c r="BB8" s="46">
        <f>IF(SUM(AU8:AZ8)=0,"-",(AZ8/SUM(AU8:AZ8)))</f>
        <v>0.23605947955390336</v>
      </c>
      <c r="BC8" s="19"/>
      <c r="BD8" s="20">
        <f>SUM(AU8:AZ8)</f>
        <v>3766</v>
      </c>
      <c r="BE8" s="20">
        <v>3767</v>
      </c>
      <c r="BF8" s="53">
        <f>BD8-BE8</f>
        <v>-1</v>
      </c>
      <c r="BG8" s="19"/>
      <c r="BH8" s="19"/>
      <c r="BI8" s="19"/>
      <c r="BJ8" s="19"/>
      <c r="BK8" s="19"/>
      <c r="BL8" s="20"/>
    </row>
    <row r="9" spans="1:64" s="8" customFormat="1" ht="15" customHeight="1" x14ac:dyDescent="0.35">
      <c r="A9" s="21" t="s">
        <v>16</v>
      </c>
      <c r="B9" s="22">
        <f>SUM(B10:B48)</f>
        <v>496</v>
      </c>
      <c r="C9" s="22">
        <f t="shared" ref="C9:G9" si="18">SUM(C10:C48)</f>
        <v>11</v>
      </c>
      <c r="D9" s="22">
        <f t="shared" si="18"/>
        <v>5</v>
      </c>
      <c r="E9" s="22">
        <f t="shared" si="18"/>
        <v>1</v>
      </c>
      <c r="F9" s="22">
        <f t="shared" si="18"/>
        <v>0</v>
      </c>
      <c r="G9" s="22">
        <f t="shared" si="18"/>
        <v>153</v>
      </c>
      <c r="H9" s="46">
        <f t="shared" ref="H9:H56" si="19">IF(SUM(B9:F9)=0,"-",(SUM(C9:F9)/SUM(B9:F9)))</f>
        <v>3.3138401559454189E-2</v>
      </c>
      <c r="I9" s="46">
        <f t="shared" ref="I9:I56" si="20">IF(SUM(B9:G9)=0,"-",(G9/SUM(B9:G9)))</f>
        <v>0.22972972972972974</v>
      </c>
      <c r="J9" s="22"/>
      <c r="K9" s="22">
        <f>SUM(K10:K48)</f>
        <v>1010</v>
      </c>
      <c r="L9" s="22">
        <f t="shared" ref="L9" si="21">SUM(L10:L48)</f>
        <v>9</v>
      </c>
      <c r="M9" s="22">
        <f t="shared" ref="M9" si="22">SUM(M10:M48)</f>
        <v>1</v>
      </c>
      <c r="N9" s="22">
        <f t="shared" ref="N9" si="23">SUM(N10:N48)</f>
        <v>0</v>
      </c>
      <c r="O9" s="22">
        <f t="shared" ref="O9" si="24">SUM(O10:O48)</f>
        <v>4</v>
      </c>
      <c r="P9" s="22">
        <f t="shared" ref="P9" si="25">SUM(P10:P48)</f>
        <v>429</v>
      </c>
      <c r="Q9" s="46">
        <f t="shared" ref="Q9:Q56" si="26">IF(SUM(K9:O9)=0,"-",(SUM(L9:O9)/SUM(K9:O9)))</f>
        <v>1.3671875E-2</v>
      </c>
      <c r="R9" s="46">
        <f t="shared" ref="R9:R56" si="27">IF(SUM(K9:P9)=0,"-",(P9/SUM(K9:P9)))</f>
        <v>0.29525120440467995</v>
      </c>
      <c r="S9" s="22"/>
      <c r="T9" s="22">
        <f t="shared" ref="T9:T56" si="28">B9+K9</f>
        <v>1506</v>
      </c>
      <c r="U9" s="22">
        <f t="shared" ref="U9:U56" si="29">C9+L9</f>
        <v>20</v>
      </c>
      <c r="V9" s="22">
        <f t="shared" ref="V9:V56" si="30">D9+M9</f>
        <v>6</v>
      </c>
      <c r="W9" s="22">
        <f t="shared" ref="W9:W56" si="31">E9+N9</f>
        <v>1</v>
      </c>
      <c r="X9" s="22">
        <f t="shared" ref="X9:X56" si="32">F9+O9</f>
        <v>4</v>
      </c>
      <c r="Y9" s="22">
        <f t="shared" ref="Y9:Y56" si="33">G9+P9</f>
        <v>582</v>
      </c>
      <c r="Z9" s="46">
        <f t="shared" ref="Z9:Z56" si="34">IF(SUM(T9:X9)=0,"-",(SUM(U9:X9)/SUM(T9:X9)))</f>
        <v>2.0169160702667534E-2</v>
      </c>
      <c r="AA9" s="46">
        <f t="shared" ref="AA9:AA56" si="35">IF(SUM(T9:Y9)=0,"-",(Y9/SUM(T9:Y9)))</f>
        <v>0.27465785747994337</v>
      </c>
      <c r="AB9" s="22"/>
      <c r="AC9" s="22">
        <f>SUM(AC10:AC48)</f>
        <v>62</v>
      </c>
      <c r="AD9" s="22">
        <f t="shared" ref="AD9" si="36">SUM(AD10:AD48)</f>
        <v>0</v>
      </c>
      <c r="AE9" s="22">
        <f t="shared" ref="AE9" si="37">SUM(AE10:AE48)</f>
        <v>0</v>
      </c>
      <c r="AF9" s="22">
        <f t="shared" ref="AF9" si="38">SUM(AF10:AF48)</f>
        <v>0</v>
      </c>
      <c r="AG9" s="22">
        <f t="shared" ref="AG9" si="39">SUM(AG10:AG48)</f>
        <v>0</v>
      </c>
      <c r="AH9" s="22">
        <f t="shared" ref="AH9" si="40">SUM(AH10:AH48)</f>
        <v>29</v>
      </c>
      <c r="AI9" s="46">
        <f t="shared" ref="AI9:AI56" si="41">IF(SUM(AC9:AG9)=0,"-",(SUM(AD9:AG9)/SUM(AC9:AG9)))</f>
        <v>0</v>
      </c>
      <c r="AJ9" s="46">
        <f t="shared" ref="AJ9:AJ56" si="42">IF(SUM(AC9:AH9)=0,"-",(AH9/SUM(AC9:AH9)))</f>
        <v>0.31868131868131866</v>
      </c>
      <c r="AK9" s="22"/>
      <c r="AL9" s="22">
        <f>SUM(AL10:AL48)</f>
        <v>491</v>
      </c>
      <c r="AM9" s="22">
        <f t="shared" ref="AM9" si="43">SUM(AM10:AM48)</f>
        <v>14</v>
      </c>
      <c r="AN9" s="22">
        <f t="shared" ref="AN9" si="44">SUM(AN10:AN48)</f>
        <v>12</v>
      </c>
      <c r="AO9" s="22">
        <f t="shared" ref="AO9" si="45">SUM(AO10:AO48)</f>
        <v>10</v>
      </c>
      <c r="AP9" s="22">
        <f t="shared" ref="AP9" si="46">SUM(AP10:AP48)</f>
        <v>5</v>
      </c>
      <c r="AQ9" s="22">
        <f t="shared" ref="AQ9" si="47">SUM(AQ10:AQ48)</f>
        <v>194</v>
      </c>
      <c r="AR9" s="46">
        <f t="shared" ref="AR9:AR56" si="48">IF(SUM(AL9:AP9)=0,"-",(SUM(AM9:AP9)/SUM(AL9:AP9)))</f>
        <v>7.7067669172932327E-2</v>
      </c>
      <c r="AS9" s="46">
        <f t="shared" ref="AS9:AS56" si="49">IF(SUM(AL9:AQ9)=0,"-",(AQ9/SUM(AL9:AQ9)))</f>
        <v>0.26721763085399447</v>
      </c>
      <c r="AT9" s="22"/>
      <c r="AU9" s="22">
        <f t="shared" ref="AU9:AU56" si="50">AL9+AC9+T9</f>
        <v>2059</v>
      </c>
      <c r="AV9" s="22">
        <f t="shared" ref="AV9:AV56" si="51">AM9+AD9+U9</f>
        <v>34</v>
      </c>
      <c r="AW9" s="22">
        <f t="shared" ref="AW9:AW56" si="52">AN9+AE9+V9</f>
        <v>18</v>
      </c>
      <c r="AX9" s="22">
        <f t="shared" ref="AX9:AX56" si="53">AO9+AF9+W9</f>
        <v>11</v>
      </c>
      <c r="AY9" s="22">
        <f t="shared" ref="AY9:AY56" si="54">AP9+AG9+X9</f>
        <v>9</v>
      </c>
      <c r="AZ9" s="22">
        <f t="shared" ref="AZ9:AZ56" si="55">AQ9+AH9+Y9</f>
        <v>805</v>
      </c>
      <c r="BA9" s="46">
        <f t="shared" ref="BA9:BA56" si="56">IF(SUM(AU9:AY9)=0,"-",(SUM(AV9:AY9)/SUM(AU9:AY9)))</f>
        <v>3.3786954481464099E-2</v>
      </c>
      <c r="BB9" s="46">
        <f t="shared" ref="BB9:BB56" si="57">IF(SUM(AU9:AZ9)=0,"-",(AZ9/SUM(AU9:AZ9)))</f>
        <v>0.27418256130790192</v>
      </c>
      <c r="BC9" s="19"/>
      <c r="BD9" s="20">
        <f t="shared" ref="BD9:BD56" si="58">SUM(AU9:AZ9)</f>
        <v>2936</v>
      </c>
      <c r="BE9" s="20">
        <v>2937</v>
      </c>
      <c r="BF9" s="53">
        <f t="shared" ref="BF9:BF56" si="59">BD9-BE9</f>
        <v>-1</v>
      </c>
      <c r="BG9" s="19"/>
      <c r="BH9" s="19"/>
      <c r="BI9" s="19"/>
      <c r="BJ9" s="19"/>
      <c r="BK9" s="19"/>
    </row>
    <row r="10" spans="1:64" s="8" customFormat="1" ht="15" customHeight="1" x14ac:dyDescent="0.35">
      <c r="A10" s="2" t="s">
        <v>17</v>
      </c>
      <c r="B10" s="24">
        <f>'2017-18_working'!B10+'2017-18_working'!C10</f>
        <v>21</v>
      </c>
      <c r="C10" s="24">
        <f>'2017-18_working'!D10</f>
        <v>1</v>
      </c>
      <c r="D10" s="24">
        <f>'2017-18_working'!E10</f>
        <v>0</v>
      </c>
      <c r="E10" s="24">
        <f>'2017-18_working'!F10</f>
        <v>0</v>
      </c>
      <c r="F10" s="24">
        <f>'2017-18_working'!G10+'2017-18_working'!H10</f>
        <v>0</v>
      </c>
      <c r="G10" s="24">
        <f>'2017-18_working'!I10</f>
        <v>3</v>
      </c>
      <c r="H10" s="46">
        <f t="shared" si="19"/>
        <v>4.5454545454545456E-2</v>
      </c>
      <c r="I10" s="46">
        <f t="shared" si="20"/>
        <v>0.12</v>
      </c>
      <c r="J10" s="24"/>
      <c r="K10" s="24">
        <f>'2017-18_working'!K10+'2017-18_working'!L10</f>
        <v>22</v>
      </c>
      <c r="L10" s="24">
        <f>'2017-18_working'!M10</f>
        <v>0</v>
      </c>
      <c r="M10" s="24">
        <f>'2017-18_working'!N10</f>
        <v>0</v>
      </c>
      <c r="N10" s="24">
        <f>'2017-18_working'!O10</f>
        <v>0</v>
      </c>
      <c r="O10" s="24">
        <f>'2017-18_working'!P10+'2017-18_working'!Q10</f>
        <v>1</v>
      </c>
      <c r="P10" s="24">
        <f>'2017-18_working'!R10</f>
        <v>7</v>
      </c>
      <c r="Q10" s="46">
        <f t="shared" si="26"/>
        <v>4.3478260869565216E-2</v>
      </c>
      <c r="R10" s="46">
        <f t="shared" si="27"/>
        <v>0.23333333333333334</v>
      </c>
      <c r="S10" s="24"/>
      <c r="T10" s="22">
        <f t="shared" si="28"/>
        <v>43</v>
      </c>
      <c r="U10" s="22">
        <f t="shared" si="29"/>
        <v>1</v>
      </c>
      <c r="V10" s="22">
        <f t="shared" si="30"/>
        <v>0</v>
      </c>
      <c r="W10" s="22">
        <f t="shared" si="31"/>
        <v>0</v>
      </c>
      <c r="X10" s="22">
        <f t="shared" si="32"/>
        <v>1</v>
      </c>
      <c r="Y10" s="22">
        <f t="shared" si="33"/>
        <v>10</v>
      </c>
      <c r="Z10" s="46">
        <f t="shared" si="34"/>
        <v>4.4444444444444446E-2</v>
      </c>
      <c r="AA10" s="46">
        <f t="shared" si="35"/>
        <v>0.18181818181818182</v>
      </c>
      <c r="AB10" s="24"/>
      <c r="AC10" s="24">
        <f>'2017-18_working'!T10+'2017-18_working'!U10</f>
        <v>2</v>
      </c>
      <c r="AD10" s="24">
        <f>'2017-18_working'!V10</f>
        <v>0</v>
      </c>
      <c r="AE10" s="24">
        <f>'2017-18_working'!W10</f>
        <v>0</v>
      </c>
      <c r="AF10" s="24">
        <f>'2017-18_working'!X10</f>
        <v>0</v>
      </c>
      <c r="AG10" s="24">
        <f>'2017-18_working'!Y10+'2017-18_working'!Z10</f>
        <v>0</v>
      </c>
      <c r="AH10" s="24">
        <f>'2017-18_working'!AA10</f>
        <v>0</v>
      </c>
      <c r="AI10" s="46">
        <f t="shared" si="41"/>
        <v>0</v>
      </c>
      <c r="AJ10" s="46">
        <f t="shared" si="42"/>
        <v>0</v>
      </c>
      <c r="AK10" s="24"/>
      <c r="AL10" s="24">
        <f>'2017-18_working'!AC10+'2017-18_working'!AD10</f>
        <v>19</v>
      </c>
      <c r="AM10" s="24">
        <f>'2017-18_working'!AE10</f>
        <v>0</v>
      </c>
      <c r="AN10" s="24">
        <f>'2017-18_working'!AF10</f>
        <v>0</v>
      </c>
      <c r="AO10" s="24">
        <f>'2017-18_working'!AG10</f>
        <v>0</v>
      </c>
      <c r="AP10" s="24">
        <f>'2017-18_working'!AH10+'2017-18_working'!AI10</f>
        <v>1</v>
      </c>
      <c r="AQ10" s="24">
        <f>'2017-18_working'!AJ10</f>
        <v>4</v>
      </c>
      <c r="AR10" s="46">
        <f t="shared" si="48"/>
        <v>0.05</v>
      </c>
      <c r="AS10" s="46">
        <f t="shared" si="49"/>
        <v>0.16666666666666666</v>
      </c>
      <c r="AT10" s="24"/>
      <c r="AU10" s="22">
        <f t="shared" si="50"/>
        <v>64</v>
      </c>
      <c r="AV10" s="22">
        <f t="shared" si="51"/>
        <v>1</v>
      </c>
      <c r="AW10" s="22">
        <f t="shared" si="52"/>
        <v>0</v>
      </c>
      <c r="AX10" s="22">
        <f t="shared" si="53"/>
        <v>0</v>
      </c>
      <c r="AY10" s="22">
        <f t="shared" si="54"/>
        <v>2</v>
      </c>
      <c r="AZ10" s="22">
        <f t="shared" si="55"/>
        <v>14</v>
      </c>
      <c r="BA10" s="46">
        <f t="shared" si="56"/>
        <v>4.4776119402985072E-2</v>
      </c>
      <c r="BB10" s="46">
        <f t="shared" si="57"/>
        <v>0.1728395061728395</v>
      </c>
      <c r="BC10" s="19"/>
      <c r="BD10" s="20">
        <f t="shared" si="58"/>
        <v>81</v>
      </c>
      <c r="BE10" s="20">
        <v>81</v>
      </c>
      <c r="BF10" s="53">
        <f t="shared" si="59"/>
        <v>0</v>
      </c>
      <c r="BG10" s="19"/>
      <c r="BH10" s="19"/>
      <c r="BI10" s="19"/>
      <c r="BJ10" s="19"/>
      <c r="BK10" s="19"/>
    </row>
    <row r="11" spans="1:64" s="8" customFormat="1" ht="15" customHeight="1" x14ac:dyDescent="0.35">
      <c r="A11" s="2" t="s">
        <v>18</v>
      </c>
      <c r="B11" s="24">
        <f>'2017-18_working'!B11+'2017-18_working'!C11</f>
        <v>18</v>
      </c>
      <c r="C11" s="24">
        <f>'2017-18_working'!D11</f>
        <v>1</v>
      </c>
      <c r="D11" s="24">
        <f>'2017-18_working'!E11</f>
        <v>0</v>
      </c>
      <c r="E11" s="24">
        <f>'2017-18_working'!F11</f>
        <v>1</v>
      </c>
      <c r="F11" s="24">
        <f>'2017-18_working'!G11+'2017-18_working'!H11</f>
        <v>0</v>
      </c>
      <c r="G11" s="24">
        <f>'2017-18_working'!I11</f>
        <v>5</v>
      </c>
      <c r="H11" s="46">
        <f t="shared" si="19"/>
        <v>0.1</v>
      </c>
      <c r="I11" s="46">
        <f t="shared" si="20"/>
        <v>0.2</v>
      </c>
      <c r="J11" s="24"/>
      <c r="K11" s="24">
        <f>'2017-18_working'!K11+'2017-18_working'!L11</f>
        <v>19</v>
      </c>
      <c r="L11" s="24">
        <f>'2017-18_working'!M11</f>
        <v>1</v>
      </c>
      <c r="M11" s="24">
        <f>'2017-18_working'!N11</f>
        <v>0</v>
      </c>
      <c r="N11" s="24">
        <f>'2017-18_working'!O11</f>
        <v>0</v>
      </c>
      <c r="O11" s="24">
        <f>'2017-18_working'!P11+'2017-18_working'!Q11</f>
        <v>0</v>
      </c>
      <c r="P11" s="24">
        <f>'2017-18_working'!R11</f>
        <v>13</v>
      </c>
      <c r="Q11" s="46">
        <f t="shared" si="26"/>
        <v>0.05</v>
      </c>
      <c r="R11" s="46">
        <f t="shared" si="27"/>
        <v>0.39393939393939392</v>
      </c>
      <c r="S11" s="24"/>
      <c r="T11" s="22">
        <f t="shared" si="28"/>
        <v>37</v>
      </c>
      <c r="U11" s="22">
        <f t="shared" si="29"/>
        <v>2</v>
      </c>
      <c r="V11" s="22">
        <f t="shared" si="30"/>
        <v>0</v>
      </c>
      <c r="W11" s="22">
        <f t="shared" si="31"/>
        <v>1</v>
      </c>
      <c r="X11" s="22">
        <f t="shared" si="32"/>
        <v>0</v>
      </c>
      <c r="Y11" s="22">
        <f t="shared" si="33"/>
        <v>18</v>
      </c>
      <c r="Z11" s="46">
        <f t="shared" si="34"/>
        <v>7.4999999999999997E-2</v>
      </c>
      <c r="AA11" s="46">
        <f t="shared" si="35"/>
        <v>0.31034482758620691</v>
      </c>
      <c r="AB11" s="24"/>
      <c r="AC11" s="24">
        <f>'2017-18_working'!T11+'2017-18_working'!U11</f>
        <v>0</v>
      </c>
      <c r="AD11" s="24">
        <f>'2017-18_working'!V11</f>
        <v>0</v>
      </c>
      <c r="AE11" s="24">
        <f>'2017-18_working'!W11</f>
        <v>0</v>
      </c>
      <c r="AF11" s="24">
        <f>'2017-18_working'!X11</f>
        <v>0</v>
      </c>
      <c r="AG11" s="24">
        <f>'2017-18_working'!Y11+'2017-18_working'!Z11</f>
        <v>0</v>
      </c>
      <c r="AH11" s="24">
        <f>'2017-18_working'!AA11</f>
        <v>0</v>
      </c>
      <c r="AI11" s="46" t="str">
        <f t="shared" si="41"/>
        <v>-</v>
      </c>
      <c r="AJ11" s="46" t="str">
        <f t="shared" si="42"/>
        <v>-</v>
      </c>
      <c r="AK11" s="24"/>
      <c r="AL11" s="24">
        <f>'2017-18_working'!AC11+'2017-18_working'!AD11</f>
        <v>16</v>
      </c>
      <c r="AM11" s="24">
        <f>'2017-18_working'!AE11</f>
        <v>0</v>
      </c>
      <c r="AN11" s="24">
        <f>'2017-18_working'!AF11</f>
        <v>0</v>
      </c>
      <c r="AO11" s="24">
        <f>'2017-18_working'!AG11</f>
        <v>0</v>
      </c>
      <c r="AP11" s="24">
        <f>'2017-18_working'!AH11+'2017-18_working'!AI11</f>
        <v>0</v>
      </c>
      <c r="AQ11" s="24">
        <f>'2017-18_working'!AJ11</f>
        <v>10</v>
      </c>
      <c r="AR11" s="46">
        <f t="shared" si="48"/>
        <v>0</v>
      </c>
      <c r="AS11" s="46">
        <f t="shared" si="49"/>
        <v>0.38461538461538464</v>
      </c>
      <c r="AT11" s="24"/>
      <c r="AU11" s="22">
        <f t="shared" si="50"/>
        <v>53</v>
      </c>
      <c r="AV11" s="22">
        <f t="shared" si="51"/>
        <v>2</v>
      </c>
      <c r="AW11" s="22">
        <f t="shared" si="52"/>
        <v>0</v>
      </c>
      <c r="AX11" s="22">
        <f t="shared" si="53"/>
        <v>1</v>
      </c>
      <c r="AY11" s="22">
        <f t="shared" si="54"/>
        <v>0</v>
      </c>
      <c r="AZ11" s="22">
        <f t="shared" si="55"/>
        <v>28</v>
      </c>
      <c r="BA11" s="46">
        <f t="shared" si="56"/>
        <v>5.3571428571428568E-2</v>
      </c>
      <c r="BB11" s="46">
        <f t="shared" si="57"/>
        <v>0.33333333333333331</v>
      </c>
      <c r="BC11" s="19"/>
      <c r="BD11" s="20">
        <f t="shared" si="58"/>
        <v>84</v>
      </c>
      <c r="BE11" s="20">
        <v>84</v>
      </c>
      <c r="BF11" s="53">
        <f t="shared" si="59"/>
        <v>0</v>
      </c>
      <c r="BG11" s="19"/>
      <c r="BH11" s="19"/>
      <c r="BI11" s="19"/>
      <c r="BJ11" s="19"/>
      <c r="BK11" s="19"/>
    </row>
    <row r="12" spans="1:64" s="8" customFormat="1" ht="15" customHeight="1" x14ac:dyDescent="0.35">
      <c r="A12" s="2" t="s">
        <v>19</v>
      </c>
      <c r="B12" s="24">
        <f>'2017-18_working'!B12+'2017-18_working'!C12</f>
        <v>20</v>
      </c>
      <c r="C12" s="24">
        <f>'2017-18_working'!D12</f>
        <v>0</v>
      </c>
      <c r="D12" s="24">
        <f>'2017-18_working'!E12</f>
        <v>0</v>
      </c>
      <c r="E12" s="24">
        <f>'2017-18_working'!F12</f>
        <v>0</v>
      </c>
      <c r="F12" s="24">
        <f>'2017-18_working'!G12+'2017-18_working'!H12</f>
        <v>0</v>
      </c>
      <c r="G12" s="24">
        <f>'2017-18_working'!I12</f>
        <v>1</v>
      </c>
      <c r="H12" s="46">
        <f t="shared" si="19"/>
        <v>0</v>
      </c>
      <c r="I12" s="46">
        <f t="shared" si="20"/>
        <v>4.7619047619047616E-2</v>
      </c>
      <c r="J12" s="24"/>
      <c r="K12" s="24">
        <f>'2017-18_working'!K12+'2017-18_working'!L12</f>
        <v>19</v>
      </c>
      <c r="L12" s="24">
        <f>'2017-18_working'!M12</f>
        <v>1</v>
      </c>
      <c r="M12" s="24">
        <f>'2017-18_working'!N12</f>
        <v>0</v>
      </c>
      <c r="N12" s="24">
        <f>'2017-18_working'!O12</f>
        <v>0</v>
      </c>
      <c r="O12" s="24">
        <f>'2017-18_working'!P12+'2017-18_working'!Q12</f>
        <v>0</v>
      </c>
      <c r="P12" s="24">
        <f>'2017-18_working'!R12</f>
        <v>0</v>
      </c>
      <c r="Q12" s="46">
        <f t="shared" si="26"/>
        <v>0.05</v>
      </c>
      <c r="R12" s="46">
        <f t="shared" si="27"/>
        <v>0</v>
      </c>
      <c r="S12" s="24"/>
      <c r="T12" s="22">
        <f t="shared" si="28"/>
        <v>39</v>
      </c>
      <c r="U12" s="22">
        <f t="shared" si="29"/>
        <v>1</v>
      </c>
      <c r="V12" s="22">
        <f t="shared" si="30"/>
        <v>0</v>
      </c>
      <c r="W12" s="22">
        <f t="shared" si="31"/>
        <v>0</v>
      </c>
      <c r="X12" s="22">
        <f t="shared" si="32"/>
        <v>0</v>
      </c>
      <c r="Y12" s="22">
        <f t="shared" si="33"/>
        <v>1</v>
      </c>
      <c r="Z12" s="46">
        <f t="shared" si="34"/>
        <v>2.5000000000000001E-2</v>
      </c>
      <c r="AA12" s="46">
        <f t="shared" si="35"/>
        <v>2.4390243902439025E-2</v>
      </c>
      <c r="AB12" s="24"/>
      <c r="AC12" s="24">
        <f>'2017-18_working'!T12+'2017-18_working'!U12</f>
        <v>9</v>
      </c>
      <c r="AD12" s="24">
        <f>'2017-18_working'!V12</f>
        <v>0</v>
      </c>
      <c r="AE12" s="24">
        <f>'2017-18_working'!W12</f>
        <v>0</v>
      </c>
      <c r="AF12" s="24">
        <f>'2017-18_working'!X12</f>
        <v>0</v>
      </c>
      <c r="AG12" s="24">
        <f>'2017-18_working'!Y12+'2017-18_working'!Z12</f>
        <v>0</v>
      </c>
      <c r="AH12" s="24">
        <f>'2017-18_working'!AA12</f>
        <v>0</v>
      </c>
      <c r="AI12" s="46">
        <f t="shared" si="41"/>
        <v>0</v>
      </c>
      <c r="AJ12" s="46">
        <f t="shared" si="42"/>
        <v>0</v>
      </c>
      <c r="AK12" s="24"/>
      <c r="AL12" s="24">
        <f>'2017-18_working'!AC12+'2017-18_working'!AD12</f>
        <v>32</v>
      </c>
      <c r="AM12" s="24">
        <f>'2017-18_working'!AE12</f>
        <v>3</v>
      </c>
      <c r="AN12" s="24">
        <f>'2017-18_working'!AF12</f>
        <v>2</v>
      </c>
      <c r="AO12" s="24">
        <f>'2017-18_working'!AG12</f>
        <v>2</v>
      </c>
      <c r="AP12" s="24">
        <f>'2017-18_working'!AH12+'2017-18_working'!AI12</f>
        <v>1</v>
      </c>
      <c r="AQ12" s="24">
        <f>'2017-18_working'!AJ12</f>
        <v>2</v>
      </c>
      <c r="AR12" s="46">
        <f t="shared" si="48"/>
        <v>0.2</v>
      </c>
      <c r="AS12" s="46">
        <f t="shared" si="49"/>
        <v>4.7619047619047616E-2</v>
      </c>
      <c r="AT12" s="24"/>
      <c r="AU12" s="22">
        <f t="shared" si="50"/>
        <v>80</v>
      </c>
      <c r="AV12" s="22">
        <f t="shared" si="51"/>
        <v>4</v>
      </c>
      <c r="AW12" s="22">
        <f t="shared" si="52"/>
        <v>2</v>
      </c>
      <c r="AX12" s="22">
        <f t="shared" si="53"/>
        <v>2</v>
      </c>
      <c r="AY12" s="22">
        <f t="shared" si="54"/>
        <v>1</v>
      </c>
      <c r="AZ12" s="22">
        <f t="shared" si="55"/>
        <v>3</v>
      </c>
      <c r="BA12" s="46">
        <f t="shared" si="56"/>
        <v>0.10112359550561797</v>
      </c>
      <c r="BB12" s="46">
        <f t="shared" si="57"/>
        <v>3.2608695652173912E-2</v>
      </c>
      <c r="BC12" s="19"/>
      <c r="BD12" s="20">
        <f t="shared" si="58"/>
        <v>92</v>
      </c>
      <c r="BE12" s="20">
        <v>92</v>
      </c>
      <c r="BF12" s="53">
        <f t="shared" si="59"/>
        <v>0</v>
      </c>
      <c r="BG12" s="19"/>
      <c r="BH12" s="19"/>
      <c r="BI12" s="19"/>
      <c r="BJ12" s="19"/>
      <c r="BK12" s="19"/>
    </row>
    <row r="13" spans="1:64" s="8" customFormat="1" ht="15" customHeight="1" x14ac:dyDescent="0.35">
      <c r="A13" s="2" t="s">
        <v>20</v>
      </c>
      <c r="B13" s="24">
        <f>'2017-18_working'!B13+'2017-18_working'!C13</f>
        <v>11</v>
      </c>
      <c r="C13" s="24">
        <f>'2017-18_working'!D13</f>
        <v>0</v>
      </c>
      <c r="D13" s="24">
        <f>'2017-18_working'!E13</f>
        <v>0</v>
      </c>
      <c r="E13" s="24">
        <f>'2017-18_working'!F13</f>
        <v>0</v>
      </c>
      <c r="F13" s="24">
        <f>'2017-18_working'!G13+'2017-18_working'!H13</f>
        <v>0</v>
      </c>
      <c r="G13" s="24">
        <f>'2017-18_working'!I13</f>
        <v>0</v>
      </c>
      <c r="H13" s="46">
        <f t="shared" si="19"/>
        <v>0</v>
      </c>
      <c r="I13" s="46">
        <f t="shared" si="20"/>
        <v>0</v>
      </c>
      <c r="J13" s="24"/>
      <c r="K13" s="24">
        <f>'2017-18_working'!K13+'2017-18_working'!L13</f>
        <v>20</v>
      </c>
      <c r="L13" s="24">
        <f>'2017-18_working'!M13</f>
        <v>0</v>
      </c>
      <c r="M13" s="24">
        <f>'2017-18_working'!N13</f>
        <v>0</v>
      </c>
      <c r="N13" s="24">
        <f>'2017-18_working'!O13</f>
        <v>0</v>
      </c>
      <c r="O13" s="24">
        <f>'2017-18_working'!P13+'2017-18_working'!Q13</f>
        <v>0</v>
      </c>
      <c r="P13" s="24">
        <f>'2017-18_working'!R13</f>
        <v>0</v>
      </c>
      <c r="Q13" s="46">
        <f t="shared" si="26"/>
        <v>0</v>
      </c>
      <c r="R13" s="46">
        <f t="shared" si="27"/>
        <v>0</v>
      </c>
      <c r="S13" s="24"/>
      <c r="T13" s="22">
        <f t="shared" si="28"/>
        <v>31</v>
      </c>
      <c r="U13" s="22">
        <f t="shared" si="29"/>
        <v>0</v>
      </c>
      <c r="V13" s="22">
        <f t="shared" si="30"/>
        <v>0</v>
      </c>
      <c r="W13" s="22">
        <f t="shared" si="31"/>
        <v>0</v>
      </c>
      <c r="X13" s="22">
        <f t="shared" si="32"/>
        <v>0</v>
      </c>
      <c r="Y13" s="22">
        <f t="shared" si="33"/>
        <v>0</v>
      </c>
      <c r="Z13" s="46">
        <f t="shared" si="34"/>
        <v>0</v>
      </c>
      <c r="AA13" s="46">
        <f t="shared" si="35"/>
        <v>0</v>
      </c>
      <c r="AB13" s="24"/>
      <c r="AC13" s="24">
        <f>'2017-18_working'!T13+'2017-18_working'!U13</f>
        <v>0</v>
      </c>
      <c r="AD13" s="24">
        <f>'2017-18_working'!V13</f>
        <v>0</v>
      </c>
      <c r="AE13" s="24">
        <f>'2017-18_working'!W13</f>
        <v>0</v>
      </c>
      <c r="AF13" s="24">
        <f>'2017-18_working'!X13</f>
        <v>0</v>
      </c>
      <c r="AG13" s="24">
        <f>'2017-18_working'!Y13+'2017-18_working'!Z13</f>
        <v>0</v>
      </c>
      <c r="AH13" s="24">
        <f>'2017-18_working'!AA13</f>
        <v>0</v>
      </c>
      <c r="AI13" s="46" t="str">
        <f t="shared" si="41"/>
        <v>-</v>
      </c>
      <c r="AJ13" s="46" t="str">
        <f t="shared" si="42"/>
        <v>-</v>
      </c>
      <c r="AK13" s="24"/>
      <c r="AL13" s="24">
        <f>'2017-18_working'!AC13+'2017-18_working'!AD13</f>
        <v>13</v>
      </c>
      <c r="AM13" s="24">
        <f>'2017-18_working'!AE13</f>
        <v>0</v>
      </c>
      <c r="AN13" s="24">
        <f>'2017-18_working'!AF13</f>
        <v>0</v>
      </c>
      <c r="AO13" s="24">
        <f>'2017-18_working'!AG13</f>
        <v>0</v>
      </c>
      <c r="AP13" s="24">
        <f>'2017-18_working'!AH13+'2017-18_working'!AI13</f>
        <v>0</v>
      </c>
      <c r="AQ13" s="24">
        <f>'2017-18_working'!AJ13</f>
        <v>0</v>
      </c>
      <c r="AR13" s="46">
        <f t="shared" si="48"/>
        <v>0</v>
      </c>
      <c r="AS13" s="46">
        <f t="shared" si="49"/>
        <v>0</v>
      </c>
      <c r="AT13" s="24"/>
      <c r="AU13" s="22">
        <f t="shared" si="50"/>
        <v>44</v>
      </c>
      <c r="AV13" s="22">
        <f t="shared" si="51"/>
        <v>0</v>
      </c>
      <c r="AW13" s="22">
        <f t="shared" si="52"/>
        <v>0</v>
      </c>
      <c r="AX13" s="22">
        <f t="shared" si="53"/>
        <v>0</v>
      </c>
      <c r="AY13" s="22">
        <f t="shared" si="54"/>
        <v>0</v>
      </c>
      <c r="AZ13" s="22">
        <f t="shared" si="55"/>
        <v>0</v>
      </c>
      <c r="BA13" s="46">
        <f t="shared" si="56"/>
        <v>0</v>
      </c>
      <c r="BB13" s="46">
        <f t="shared" si="57"/>
        <v>0</v>
      </c>
      <c r="BC13" s="19"/>
      <c r="BD13" s="20">
        <f t="shared" si="58"/>
        <v>44</v>
      </c>
      <c r="BE13" s="20">
        <v>44</v>
      </c>
      <c r="BF13" s="53">
        <f t="shared" si="59"/>
        <v>0</v>
      </c>
      <c r="BG13" s="19"/>
      <c r="BH13" s="19"/>
      <c r="BI13" s="19"/>
      <c r="BJ13" s="19"/>
      <c r="BK13" s="19"/>
    </row>
    <row r="14" spans="1:64" s="8" customFormat="1" ht="15" customHeight="1" x14ac:dyDescent="0.35">
      <c r="A14" s="2" t="s">
        <v>21</v>
      </c>
      <c r="B14" s="24">
        <f>'2017-18_working'!B14+'2017-18_working'!C14</f>
        <v>7</v>
      </c>
      <c r="C14" s="24">
        <f>'2017-18_working'!D14</f>
        <v>0</v>
      </c>
      <c r="D14" s="24">
        <f>'2017-18_working'!E14</f>
        <v>0</v>
      </c>
      <c r="E14" s="24">
        <f>'2017-18_working'!F14</f>
        <v>0</v>
      </c>
      <c r="F14" s="24">
        <f>'2017-18_working'!G14+'2017-18_working'!H14</f>
        <v>0</v>
      </c>
      <c r="G14" s="24">
        <f>'2017-18_working'!I14</f>
        <v>0</v>
      </c>
      <c r="H14" s="46">
        <f t="shared" si="19"/>
        <v>0</v>
      </c>
      <c r="I14" s="46">
        <f t="shared" si="20"/>
        <v>0</v>
      </c>
      <c r="J14" s="24"/>
      <c r="K14" s="24">
        <f>'2017-18_working'!K14+'2017-18_working'!L14</f>
        <v>30</v>
      </c>
      <c r="L14" s="24">
        <f>'2017-18_working'!M14</f>
        <v>0</v>
      </c>
      <c r="M14" s="24">
        <f>'2017-18_working'!N14</f>
        <v>0</v>
      </c>
      <c r="N14" s="24">
        <f>'2017-18_working'!O14</f>
        <v>0</v>
      </c>
      <c r="O14" s="24">
        <f>'2017-18_working'!P14+'2017-18_working'!Q14</f>
        <v>0</v>
      </c>
      <c r="P14" s="24">
        <f>'2017-18_working'!R14</f>
        <v>0</v>
      </c>
      <c r="Q14" s="46">
        <f t="shared" si="26"/>
        <v>0</v>
      </c>
      <c r="R14" s="46">
        <f t="shared" si="27"/>
        <v>0</v>
      </c>
      <c r="S14" s="24"/>
      <c r="T14" s="22">
        <f t="shared" si="28"/>
        <v>37</v>
      </c>
      <c r="U14" s="22">
        <f t="shared" si="29"/>
        <v>0</v>
      </c>
      <c r="V14" s="22">
        <f t="shared" si="30"/>
        <v>0</v>
      </c>
      <c r="W14" s="22">
        <f t="shared" si="31"/>
        <v>0</v>
      </c>
      <c r="X14" s="22">
        <f t="shared" si="32"/>
        <v>0</v>
      </c>
      <c r="Y14" s="22">
        <f t="shared" si="33"/>
        <v>0</v>
      </c>
      <c r="Z14" s="46">
        <f t="shared" si="34"/>
        <v>0</v>
      </c>
      <c r="AA14" s="46">
        <f t="shared" si="35"/>
        <v>0</v>
      </c>
      <c r="AB14" s="24"/>
      <c r="AC14" s="24">
        <f>'2017-18_working'!T14+'2017-18_working'!U14</f>
        <v>4</v>
      </c>
      <c r="AD14" s="24">
        <f>'2017-18_working'!V14</f>
        <v>0</v>
      </c>
      <c r="AE14" s="24">
        <f>'2017-18_working'!W14</f>
        <v>0</v>
      </c>
      <c r="AF14" s="24">
        <f>'2017-18_working'!X14</f>
        <v>0</v>
      </c>
      <c r="AG14" s="24">
        <f>'2017-18_working'!Y14+'2017-18_working'!Z14</f>
        <v>0</v>
      </c>
      <c r="AH14" s="24">
        <f>'2017-18_working'!AA14</f>
        <v>5</v>
      </c>
      <c r="AI14" s="46">
        <f t="shared" si="41"/>
        <v>0</v>
      </c>
      <c r="AJ14" s="46">
        <f t="shared" si="42"/>
        <v>0.55555555555555558</v>
      </c>
      <c r="AK14" s="24"/>
      <c r="AL14" s="24">
        <f>'2017-18_working'!AC14+'2017-18_working'!AD14</f>
        <v>19</v>
      </c>
      <c r="AM14" s="24">
        <f>'2017-18_working'!AE14</f>
        <v>0</v>
      </c>
      <c r="AN14" s="24">
        <f>'2017-18_working'!AF14</f>
        <v>1</v>
      </c>
      <c r="AO14" s="24">
        <f>'2017-18_working'!AG14</f>
        <v>1</v>
      </c>
      <c r="AP14" s="24">
        <f>'2017-18_working'!AH14+'2017-18_working'!AI14</f>
        <v>1</v>
      </c>
      <c r="AQ14" s="24">
        <f>'2017-18_working'!AJ14</f>
        <v>2</v>
      </c>
      <c r="AR14" s="46">
        <f t="shared" si="48"/>
        <v>0.13636363636363635</v>
      </c>
      <c r="AS14" s="46">
        <f t="shared" si="49"/>
        <v>8.3333333333333329E-2</v>
      </c>
      <c r="AT14" s="24"/>
      <c r="AU14" s="22">
        <f t="shared" si="50"/>
        <v>60</v>
      </c>
      <c r="AV14" s="22">
        <f t="shared" si="51"/>
        <v>0</v>
      </c>
      <c r="AW14" s="22">
        <f t="shared" si="52"/>
        <v>1</v>
      </c>
      <c r="AX14" s="22">
        <f t="shared" si="53"/>
        <v>1</v>
      </c>
      <c r="AY14" s="22">
        <f t="shared" si="54"/>
        <v>1</v>
      </c>
      <c r="AZ14" s="22">
        <f t="shared" si="55"/>
        <v>7</v>
      </c>
      <c r="BA14" s="46">
        <f t="shared" si="56"/>
        <v>4.7619047619047616E-2</v>
      </c>
      <c r="BB14" s="46">
        <f t="shared" si="57"/>
        <v>0.1</v>
      </c>
      <c r="BC14" s="19"/>
      <c r="BD14" s="20">
        <f t="shared" si="58"/>
        <v>70</v>
      </c>
      <c r="BE14" s="20">
        <v>70</v>
      </c>
      <c r="BF14" s="53">
        <f t="shared" si="59"/>
        <v>0</v>
      </c>
      <c r="BG14" s="19"/>
      <c r="BH14" s="19"/>
      <c r="BI14" s="19"/>
      <c r="BJ14" s="19"/>
      <c r="BK14" s="19"/>
    </row>
    <row r="15" spans="1:64" s="8" customFormat="1" ht="15" customHeight="1" x14ac:dyDescent="0.35">
      <c r="A15" s="2" t="s">
        <v>22</v>
      </c>
      <c r="B15" s="24">
        <f>'2017-18_working'!B15+'2017-18_working'!C15</f>
        <v>18</v>
      </c>
      <c r="C15" s="24">
        <f>'2017-18_working'!D15</f>
        <v>0</v>
      </c>
      <c r="D15" s="24">
        <f>'2017-18_working'!E15</f>
        <v>1</v>
      </c>
      <c r="E15" s="24">
        <f>'2017-18_working'!F15</f>
        <v>0</v>
      </c>
      <c r="F15" s="24">
        <f>'2017-18_working'!G15+'2017-18_working'!H15</f>
        <v>0</v>
      </c>
      <c r="G15" s="24">
        <f>'2017-18_working'!I15</f>
        <v>0</v>
      </c>
      <c r="H15" s="46">
        <f t="shared" si="19"/>
        <v>5.2631578947368418E-2</v>
      </c>
      <c r="I15" s="46">
        <f t="shared" si="20"/>
        <v>0</v>
      </c>
      <c r="J15" s="24"/>
      <c r="K15" s="24">
        <f>'2017-18_working'!K15+'2017-18_working'!L15</f>
        <v>21</v>
      </c>
      <c r="L15" s="24">
        <f>'2017-18_working'!M15</f>
        <v>0</v>
      </c>
      <c r="M15" s="24">
        <f>'2017-18_working'!N15</f>
        <v>0</v>
      </c>
      <c r="N15" s="24">
        <f>'2017-18_working'!O15</f>
        <v>0</v>
      </c>
      <c r="O15" s="24">
        <f>'2017-18_working'!P15+'2017-18_working'!Q15</f>
        <v>0</v>
      </c>
      <c r="P15" s="24">
        <f>'2017-18_working'!R15</f>
        <v>0</v>
      </c>
      <c r="Q15" s="46">
        <f t="shared" si="26"/>
        <v>0</v>
      </c>
      <c r="R15" s="46">
        <f t="shared" si="27"/>
        <v>0</v>
      </c>
      <c r="S15" s="24"/>
      <c r="T15" s="22">
        <f t="shared" si="28"/>
        <v>39</v>
      </c>
      <c r="U15" s="22">
        <f t="shared" si="29"/>
        <v>0</v>
      </c>
      <c r="V15" s="22">
        <f t="shared" si="30"/>
        <v>1</v>
      </c>
      <c r="W15" s="22">
        <f t="shared" si="31"/>
        <v>0</v>
      </c>
      <c r="X15" s="22">
        <f t="shared" si="32"/>
        <v>0</v>
      </c>
      <c r="Y15" s="22">
        <f t="shared" si="33"/>
        <v>0</v>
      </c>
      <c r="Z15" s="46">
        <f t="shared" si="34"/>
        <v>2.5000000000000001E-2</v>
      </c>
      <c r="AA15" s="46">
        <f t="shared" si="35"/>
        <v>0</v>
      </c>
      <c r="AB15" s="24"/>
      <c r="AC15" s="24">
        <f>'2017-18_working'!T15+'2017-18_working'!U15</f>
        <v>0</v>
      </c>
      <c r="AD15" s="24">
        <f>'2017-18_working'!V15</f>
        <v>0</v>
      </c>
      <c r="AE15" s="24">
        <f>'2017-18_working'!W15</f>
        <v>0</v>
      </c>
      <c r="AF15" s="24">
        <f>'2017-18_working'!X15</f>
        <v>0</v>
      </c>
      <c r="AG15" s="24">
        <f>'2017-18_working'!Y15+'2017-18_working'!Z15</f>
        <v>0</v>
      </c>
      <c r="AH15" s="24">
        <f>'2017-18_working'!AA15</f>
        <v>0</v>
      </c>
      <c r="AI15" s="46" t="str">
        <f t="shared" si="41"/>
        <v>-</v>
      </c>
      <c r="AJ15" s="46" t="str">
        <f t="shared" si="42"/>
        <v>-</v>
      </c>
      <c r="AK15" s="24"/>
      <c r="AL15" s="24">
        <f>'2017-18_working'!AC15+'2017-18_working'!AD15</f>
        <v>37</v>
      </c>
      <c r="AM15" s="24">
        <f>'2017-18_working'!AE15</f>
        <v>0</v>
      </c>
      <c r="AN15" s="24">
        <f>'2017-18_working'!AF15</f>
        <v>0</v>
      </c>
      <c r="AO15" s="24">
        <f>'2017-18_working'!AG15</f>
        <v>0</v>
      </c>
      <c r="AP15" s="24">
        <f>'2017-18_working'!AH15+'2017-18_working'!AI15</f>
        <v>0</v>
      </c>
      <c r="AQ15" s="24">
        <f>'2017-18_working'!AJ15</f>
        <v>1</v>
      </c>
      <c r="AR15" s="46">
        <f t="shared" si="48"/>
        <v>0</v>
      </c>
      <c r="AS15" s="46">
        <f t="shared" si="49"/>
        <v>2.6315789473684209E-2</v>
      </c>
      <c r="AT15" s="24"/>
      <c r="AU15" s="22">
        <f t="shared" si="50"/>
        <v>76</v>
      </c>
      <c r="AV15" s="22">
        <f t="shared" si="51"/>
        <v>0</v>
      </c>
      <c r="AW15" s="22">
        <f t="shared" si="52"/>
        <v>1</v>
      </c>
      <c r="AX15" s="22">
        <f t="shared" si="53"/>
        <v>0</v>
      </c>
      <c r="AY15" s="22">
        <f t="shared" si="54"/>
        <v>0</v>
      </c>
      <c r="AZ15" s="22">
        <f t="shared" si="55"/>
        <v>1</v>
      </c>
      <c r="BA15" s="46">
        <f t="shared" si="56"/>
        <v>1.2987012987012988E-2</v>
      </c>
      <c r="BB15" s="46">
        <f t="shared" si="57"/>
        <v>1.282051282051282E-2</v>
      </c>
      <c r="BC15" s="19"/>
      <c r="BD15" s="20">
        <f t="shared" si="58"/>
        <v>78</v>
      </c>
      <c r="BE15" s="20">
        <v>78</v>
      </c>
      <c r="BF15" s="53">
        <f t="shared" si="59"/>
        <v>0</v>
      </c>
      <c r="BG15" s="19"/>
      <c r="BH15" s="19"/>
      <c r="BI15" s="19"/>
      <c r="BJ15" s="19"/>
      <c r="BK15" s="19"/>
    </row>
    <row r="16" spans="1:64" s="8" customFormat="1" ht="15" customHeight="1" x14ac:dyDescent="0.35">
      <c r="A16" s="2" t="s">
        <v>23</v>
      </c>
      <c r="B16" s="24">
        <f>'2017-18_working'!B16+'2017-18_working'!C16</f>
        <v>22</v>
      </c>
      <c r="C16" s="24">
        <f>'2017-18_working'!D16</f>
        <v>0</v>
      </c>
      <c r="D16" s="24">
        <f>'2017-18_working'!E16</f>
        <v>0</v>
      </c>
      <c r="E16" s="24">
        <f>'2017-18_working'!F16</f>
        <v>0</v>
      </c>
      <c r="F16" s="24">
        <f>'2017-18_working'!G16+'2017-18_working'!H16</f>
        <v>0</v>
      </c>
      <c r="G16" s="24">
        <f>'2017-18_working'!I16</f>
        <v>0</v>
      </c>
      <c r="H16" s="46">
        <f t="shared" si="19"/>
        <v>0</v>
      </c>
      <c r="I16" s="46">
        <f t="shared" si="20"/>
        <v>0</v>
      </c>
      <c r="J16" s="24"/>
      <c r="K16" s="24">
        <f>'2017-18_working'!K16+'2017-18_working'!L16</f>
        <v>11</v>
      </c>
      <c r="L16" s="24">
        <f>'2017-18_working'!M16</f>
        <v>0</v>
      </c>
      <c r="M16" s="24">
        <f>'2017-18_working'!N16</f>
        <v>0</v>
      </c>
      <c r="N16" s="24">
        <f>'2017-18_working'!O16</f>
        <v>0</v>
      </c>
      <c r="O16" s="24">
        <f>'2017-18_working'!P16+'2017-18_working'!Q16</f>
        <v>0</v>
      </c>
      <c r="P16" s="24">
        <f>'2017-18_working'!R16</f>
        <v>0</v>
      </c>
      <c r="Q16" s="46">
        <f t="shared" si="26"/>
        <v>0</v>
      </c>
      <c r="R16" s="46">
        <f t="shared" si="27"/>
        <v>0</v>
      </c>
      <c r="S16" s="24"/>
      <c r="T16" s="22">
        <f t="shared" si="28"/>
        <v>33</v>
      </c>
      <c r="U16" s="22">
        <f t="shared" si="29"/>
        <v>0</v>
      </c>
      <c r="V16" s="22">
        <f t="shared" si="30"/>
        <v>0</v>
      </c>
      <c r="W16" s="22">
        <f t="shared" si="31"/>
        <v>0</v>
      </c>
      <c r="X16" s="22">
        <f t="shared" si="32"/>
        <v>0</v>
      </c>
      <c r="Y16" s="22">
        <f t="shared" si="33"/>
        <v>0</v>
      </c>
      <c r="Z16" s="46">
        <f t="shared" si="34"/>
        <v>0</v>
      </c>
      <c r="AA16" s="46">
        <f t="shared" si="35"/>
        <v>0</v>
      </c>
      <c r="AB16" s="24"/>
      <c r="AC16" s="24">
        <f>'2017-18_working'!T16+'2017-18_working'!U16</f>
        <v>1</v>
      </c>
      <c r="AD16" s="24">
        <f>'2017-18_working'!V16</f>
        <v>0</v>
      </c>
      <c r="AE16" s="24">
        <f>'2017-18_working'!W16</f>
        <v>0</v>
      </c>
      <c r="AF16" s="24">
        <f>'2017-18_working'!X16</f>
        <v>0</v>
      </c>
      <c r="AG16" s="24">
        <f>'2017-18_working'!Y16+'2017-18_working'!Z16</f>
        <v>0</v>
      </c>
      <c r="AH16" s="24">
        <f>'2017-18_working'!AA16</f>
        <v>0</v>
      </c>
      <c r="AI16" s="46">
        <f t="shared" si="41"/>
        <v>0</v>
      </c>
      <c r="AJ16" s="46">
        <f t="shared" si="42"/>
        <v>0</v>
      </c>
      <c r="AK16" s="24"/>
      <c r="AL16" s="24">
        <f>'2017-18_working'!AC16+'2017-18_working'!AD16</f>
        <v>13</v>
      </c>
      <c r="AM16" s="24">
        <f>'2017-18_working'!AE16</f>
        <v>0</v>
      </c>
      <c r="AN16" s="24">
        <f>'2017-18_working'!AF16</f>
        <v>0</v>
      </c>
      <c r="AO16" s="24">
        <f>'2017-18_working'!AG16</f>
        <v>0</v>
      </c>
      <c r="AP16" s="24">
        <f>'2017-18_working'!AH16+'2017-18_working'!AI16</f>
        <v>0</v>
      </c>
      <c r="AQ16" s="24">
        <f>'2017-18_working'!AJ16</f>
        <v>0</v>
      </c>
      <c r="AR16" s="46">
        <f t="shared" si="48"/>
        <v>0</v>
      </c>
      <c r="AS16" s="46">
        <f t="shared" si="49"/>
        <v>0</v>
      </c>
      <c r="AT16" s="24"/>
      <c r="AU16" s="22">
        <f t="shared" si="50"/>
        <v>47</v>
      </c>
      <c r="AV16" s="22">
        <f t="shared" si="51"/>
        <v>0</v>
      </c>
      <c r="AW16" s="22">
        <f t="shared" si="52"/>
        <v>0</v>
      </c>
      <c r="AX16" s="22">
        <f t="shared" si="53"/>
        <v>0</v>
      </c>
      <c r="AY16" s="22">
        <f t="shared" si="54"/>
        <v>0</v>
      </c>
      <c r="AZ16" s="22">
        <f t="shared" si="55"/>
        <v>0</v>
      </c>
      <c r="BA16" s="46">
        <f t="shared" si="56"/>
        <v>0</v>
      </c>
      <c r="BB16" s="46">
        <f t="shared" si="57"/>
        <v>0</v>
      </c>
      <c r="BC16" s="19"/>
      <c r="BD16" s="20">
        <f t="shared" si="58"/>
        <v>47</v>
      </c>
      <c r="BE16" s="20">
        <v>47</v>
      </c>
      <c r="BF16" s="53">
        <f t="shared" si="59"/>
        <v>0</v>
      </c>
      <c r="BG16" s="19"/>
      <c r="BH16" s="19"/>
      <c r="BI16" s="19"/>
      <c r="BJ16" s="19"/>
      <c r="BK16" s="19"/>
    </row>
    <row r="17" spans="1:63" s="8" customFormat="1" ht="15" customHeight="1" x14ac:dyDescent="0.35">
      <c r="A17" s="2" t="s">
        <v>24</v>
      </c>
      <c r="B17" s="24">
        <f>'2017-18_working'!B17+'2017-18_working'!C17</f>
        <v>0</v>
      </c>
      <c r="C17" s="24">
        <f>'2017-18_working'!D17</f>
        <v>0</v>
      </c>
      <c r="D17" s="24">
        <f>'2017-18_working'!E17</f>
        <v>0</v>
      </c>
      <c r="E17" s="24">
        <f>'2017-18_working'!F17</f>
        <v>0</v>
      </c>
      <c r="F17" s="24">
        <f>'2017-18_working'!G17+'2017-18_working'!H17</f>
        <v>0</v>
      </c>
      <c r="G17" s="24">
        <f>'2017-18_working'!I17</f>
        <v>5</v>
      </c>
      <c r="H17" s="46" t="str">
        <f t="shared" si="19"/>
        <v>-</v>
      </c>
      <c r="I17" s="46">
        <f t="shared" si="20"/>
        <v>1</v>
      </c>
      <c r="J17" s="24"/>
      <c r="K17" s="24">
        <f>'2017-18_working'!K17+'2017-18_working'!L17</f>
        <v>8</v>
      </c>
      <c r="L17" s="24">
        <f>'2017-18_working'!M17</f>
        <v>0</v>
      </c>
      <c r="M17" s="24">
        <f>'2017-18_working'!N17</f>
        <v>0</v>
      </c>
      <c r="N17" s="24">
        <f>'2017-18_working'!O17</f>
        <v>0</v>
      </c>
      <c r="O17" s="24">
        <f>'2017-18_working'!P17+'2017-18_working'!Q17</f>
        <v>0</v>
      </c>
      <c r="P17" s="24">
        <f>'2017-18_working'!R17</f>
        <v>15</v>
      </c>
      <c r="Q17" s="46">
        <f t="shared" si="26"/>
        <v>0</v>
      </c>
      <c r="R17" s="46">
        <f t="shared" si="27"/>
        <v>0.65217391304347827</v>
      </c>
      <c r="S17" s="24"/>
      <c r="T17" s="22">
        <f t="shared" si="28"/>
        <v>8</v>
      </c>
      <c r="U17" s="22">
        <f t="shared" si="29"/>
        <v>0</v>
      </c>
      <c r="V17" s="22">
        <f t="shared" si="30"/>
        <v>0</v>
      </c>
      <c r="W17" s="22">
        <f t="shared" si="31"/>
        <v>0</v>
      </c>
      <c r="X17" s="22">
        <f t="shared" si="32"/>
        <v>0</v>
      </c>
      <c r="Y17" s="22">
        <f t="shared" si="33"/>
        <v>20</v>
      </c>
      <c r="Z17" s="46">
        <f t="shared" si="34"/>
        <v>0</v>
      </c>
      <c r="AA17" s="46">
        <f t="shared" si="35"/>
        <v>0.7142857142857143</v>
      </c>
      <c r="AB17" s="24"/>
      <c r="AC17" s="24">
        <f>'2017-18_working'!T17+'2017-18_working'!U17</f>
        <v>0</v>
      </c>
      <c r="AD17" s="24">
        <f>'2017-18_working'!V17</f>
        <v>0</v>
      </c>
      <c r="AE17" s="24">
        <f>'2017-18_working'!W17</f>
        <v>0</v>
      </c>
      <c r="AF17" s="24">
        <f>'2017-18_working'!X17</f>
        <v>0</v>
      </c>
      <c r="AG17" s="24">
        <f>'2017-18_working'!Y17+'2017-18_working'!Z17</f>
        <v>0</v>
      </c>
      <c r="AH17" s="24">
        <f>'2017-18_working'!AA17</f>
        <v>3</v>
      </c>
      <c r="AI17" s="46" t="str">
        <f t="shared" si="41"/>
        <v>-</v>
      </c>
      <c r="AJ17" s="46">
        <f t="shared" si="42"/>
        <v>1</v>
      </c>
      <c r="AK17" s="24"/>
      <c r="AL17" s="24">
        <f>'2017-18_working'!AC17+'2017-18_working'!AD17</f>
        <v>1</v>
      </c>
      <c r="AM17" s="24">
        <f>'2017-18_working'!AE17</f>
        <v>0</v>
      </c>
      <c r="AN17" s="24">
        <f>'2017-18_working'!AF17</f>
        <v>0</v>
      </c>
      <c r="AO17" s="24">
        <f>'2017-18_working'!AG17</f>
        <v>0</v>
      </c>
      <c r="AP17" s="24">
        <f>'2017-18_working'!AH17+'2017-18_working'!AI17</f>
        <v>0</v>
      </c>
      <c r="AQ17" s="24">
        <f>'2017-18_working'!AJ17</f>
        <v>6</v>
      </c>
      <c r="AR17" s="46">
        <f t="shared" si="48"/>
        <v>0</v>
      </c>
      <c r="AS17" s="46">
        <f t="shared" si="49"/>
        <v>0.8571428571428571</v>
      </c>
      <c r="AT17" s="24"/>
      <c r="AU17" s="22">
        <f t="shared" si="50"/>
        <v>9</v>
      </c>
      <c r="AV17" s="22">
        <f t="shared" si="51"/>
        <v>0</v>
      </c>
      <c r="AW17" s="22">
        <f t="shared" si="52"/>
        <v>0</v>
      </c>
      <c r="AX17" s="22">
        <f t="shared" si="53"/>
        <v>0</v>
      </c>
      <c r="AY17" s="22">
        <f t="shared" si="54"/>
        <v>0</v>
      </c>
      <c r="AZ17" s="22">
        <f t="shared" si="55"/>
        <v>29</v>
      </c>
      <c r="BA17" s="46">
        <f t="shared" si="56"/>
        <v>0</v>
      </c>
      <c r="BB17" s="46">
        <f t="shared" si="57"/>
        <v>0.76315789473684215</v>
      </c>
      <c r="BC17" s="19"/>
      <c r="BD17" s="20">
        <f t="shared" si="58"/>
        <v>38</v>
      </c>
      <c r="BE17" s="20">
        <v>38</v>
      </c>
      <c r="BF17" s="53">
        <f t="shared" si="59"/>
        <v>0</v>
      </c>
      <c r="BG17" s="19"/>
      <c r="BH17" s="19"/>
      <c r="BI17" s="19"/>
      <c r="BJ17" s="19"/>
      <c r="BK17" s="19"/>
    </row>
    <row r="18" spans="1:63" s="8" customFormat="1" ht="15" customHeight="1" x14ac:dyDescent="0.35">
      <c r="A18" s="2" t="s">
        <v>25</v>
      </c>
      <c r="B18" s="24">
        <f>'2017-18_working'!B18+'2017-18_working'!C18</f>
        <v>1</v>
      </c>
      <c r="C18" s="24">
        <f>'2017-18_working'!D18</f>
        <v>0</v>
      </c>
      <c r="D18" s="24">
        <f>'2017-18_working'!E18</f>
        <v>0</v>
      </c>
      <c r="E18" s="24">
        <f>'2017-18_working'!F18</f>
        <v>0</v>
      </c>
      <c r="F18" s="24">
        <f>'2017-18_working'!G18+'2017-18_working'!H18</f>
        <v>0</v>
      </c>
      <c r="G18" s="24">
        <f>'2017-18_working'!I18</f>
        <v>0</v>
      </c>
      <c r="H18" s="46">
        <f t="shared" si="19"/>
        <v>0</v>
      </c>
      <c r="I18" s="46">
        <f t="shared" si="20"/>
        <v>0</v>
      </c>
      <c r="J18" s="24"/>
      <c r="K18" s="24">
        <f>'2017-18_working'!K18+'2017-18_working'!L18</f>
        <v>6</v>
      </c>
      <c r="L18" s="24">
        <f>'2017-18_working'!M18</f>
        <v>0</v>
      </c>
      <c r="M18" s="24">
        <f>'2017-18_working'!N18</f>
        <v>1</v>
      </c>
      <c r="N18" s="24">
        <f>'2017-18_working'!O18</f>
        <v>0</v>
      </c>
      <c r="O18" s="24">
        <f>'2017-18_working'!P18+'2017-18_working'!Q18</f>
        <v>0</v>
      </c>
      <c r="P18" s="24">
        <f>'2017-18_working'!R18</f>
        <v>27</v>
      </c>
      <c r="Q18" s="46">
        <f t="shared" si="26"/>
        <v>0.14285714285714285</v>
      </c>
      <c r="R18" s="46">
        <f t="shared" si="27"/>
        <v>0.79411764705882348</v>
      </c>
      <c r="S18" s="24"/>
      <c r="T18" s="22">
        <f t="shared" si="28"/>
        <v>7</v>
      </c>
      <c r="U18" s="22">
        <f t="shared" si="29"/>
        <v>0</v>
      </c>
      <c r="V18" s="22">
        <f t="shared" si="30"/>
        <v>1</v>
      </c>
      <c r="W18" s="22">
        <f t="shared" si="31"/>
        <v>0</v>
      </c>
      <c r="X18" s="22">
        <f t="shared" si="32"/>
        <v>0</v>
      </c>
      <c r="Y18" s="22">
        <f t="shared" si="33"/>
        <v>27</v>
      </c>
      <c r="Z18" s="46">
        <f t="shared" si="34"/>
        <v>0.125</v>
      </c>
      <c r="AA18" s="46">
        <f t="shared" si="35"/>
        <v>0.77142857142857146</v>
      </c>
      <c r="AB18" s="24"/>
      <c r="AC18" s="24">
        <f>'2017-18_working'!T18+'2017-18_working'!U18</f>
        <v>0</v>
      </c>
      <c r="AD18" s="24">
        <f>'2017-18_working'!V18</f>
        <v>0</v>
      </c>
      <c r="AE18" s="24">
        <f>'2017-18_working'!W18</f>
        <v>0</v>
      </c>
      <c r="AF18" s="24">
        <f>'2017-18_working'!X18</f>
        <v>0</v>
      </c>
      <c r="AG18" s="24">
        <f>'2017-18_working'!Y18+'2017-18_working'!Z18</f>
        <v>0</v>
      </c>
      <c r="AH18" s="24">
        <f>'2017-18_working'!AA18</f>
        <v>0</v>
      </c>
      <c r="AI18" s="46" t="str">
        <f t="shared" si="41"/>
        <v>-</v>
      </c>
      <c r="AJ18" s="46" t="str">
        <f t="shared" si="42"/>
        <v>-</v>
      </c>
      <c r="AK18" s="24"/>
      <c r="AL18" s="24">
        <f>'2017-18_working'!AC18+'2017-18_working'!AD18</f>
        <v>1</v>
      </c>
      <c r="AM18" s="24">
        <f>'2017-18_working'!AE18</f>
        <v>0</v>
      </c>
      <c r="AN18" s="24">
        <f>'2017-18_working'!AF18</f>
        <v>0</v>
      </c>
      <c r="AO18" s="24">
        <f>'2017-18_working'!AG18</f>
        <v>0</v>
      </c>
      <c r="AP18" s="24">
        <f>'2017-18_working'!AH18+'2017-18_working'!AI18</f>
        <v>0</v>
      </c>
      <c r="AQ18" s="24">
        <f>'2017-18_working'!AJ18</f>
        <v>0</v>
      </c>
      <c r="AR18" s="46">
        <f t="shared" si="48"/>
        <v>0</v>
      </c>
      <c r="AS18" s="46">
        <f t="shared" si="49"/>
        <v>0</v>
      </c>
      <c r="AT18" s="24"/>
      <c r="AU18" s="22">
        <f t="shared" si="50"/>
        <v>8</v>
      </c>
      <c r="AV18" s="22">
        <f t="shared" si="51"/>
        <v>0</v>
      </c>
      <c r="AW18" s="22">
        <f t="shared" si="52"/>
        <v>1</v>
      </c>
      <c r="AX18" s="22">
        <f t="shared" si="53"/>
        <v>0</v>
      </c>
      <c r="AY18" s="22">
        <f t="shared" si="54"/>
        <v>0</v>
      </c>
      <c r="AZ18" s="22">
        <f t="shared" si="55"/>
        <v>27</v>
      </c>
      <c r="BA18" s="46">
        <f t="shared" si="56"/>
        <v>0.1111111111111111</v>
      </c>
      <c r="BB18" s="46">
        <f t="shared" si="57"/>
        <v>0.75</v>
      </c>
      <c r="BC18" s="19"/>
      <c r="BD18" s="20">
        <f t="shared" si="58"/>
        <v>36</v>
      </c>
      <c r="BE18" s="20">
        <v>36</v>
      </c>
      <c r="BF18" s="53">
        <f t="shared" si="59"/>
        <v>0</v>
      </c>
      <c r="BG18" s="19"/>
      <c r="BH18" s="19"/>
      <c r="BI18" s="19"/>
      <c r="BJ18" s="19"/>
      <c r="BK18" s="19"/>
    </row>
    <row r="19" spans="1:63" s="8" customFormat="1" ht="15" customHeight="1" x14ac:dyDescent="0.35">
      <c r="A19" s="26" t="s">
        <v>26</v>
      </c>
      <c r="B19" s="24">
        <f>'2017-18_working'!B19+'2017-18_working'!C19</f>
        <v>2</v>
      </c>
      <c r="C19" s="24">
        <f>'2017-18_working'!D19</f>
        <v>0</v>
      </c>
      <c r="D19" s="24">
        <f>'2017-18_working'!E19</f>
        <v>0</v>
      </c>
      <c r="E19" s="24">
        <f>'2017-18_working'!F19</f>
        <v>0</v>
      </c>
      <c r="F19" s="24">
        <f>'2017-18_working'!G19+'2017-18_working'!H19</f>
        <v>0</v>
      </c>
      <c r="G19" s="24">
        <f>'2017-18_working'!I19</f>
        <v>1</v>
      </c>
      <c r="H19" s="46">
        <f t="shared" si="19"/>
        <v>0</v>
      </c>
      <c r="I19" s="46">
        <f t="shared" si="20"/>
        <v>0.33333333333333331</v>
      </c>
      <c r="J19" s="24"/>
      <c r="K19" s="24">
        <f>'2017-18_working'!K19+'2017-18_working'!L19</f>
        <v>17</v>
      </c>
      <c r="L19" s="24">
        <f>'2017-18_working'!M19</f>
        <v>0</v>
      </c>
      <c r="M19" s="24">
        <f>'2017-18_working'!N19</f>
        <v>0</v>
      </c>
      <c r="N19" s="24">
        <f>'2017-18_working'!O19</f>
        <v>0</v>
      </c>
      <c r="O19" s="24">
        <f>'2017-18_working'!P19+'2017-18_working'!Q19</f>
        <v>0</v>
      </c>
      <c r="P19" s="24">
        <f>'2017-18_working'!R19</f>
        <v>11</v>
      </c>
      <c r="Q19" s="46">
        <f t="shared" si="26"/>
        <v>0</v>
      </c>
      <c r="R19" s="46">
        <f t="shared" si="27"/>
        <v>0.39285714285714285</v>
      </c>
      <c r="S19" s="24"/>
      <c r="T19" s="22">
        <f t="shared" si="28"/>
        <v>19</v>
      </c>
      <c r="U19" s="22">
        <f t="shared" si="29"/>
        <v>0</v>
      </c>
      <c r="V19" s="22">
        <f t="shared" si="30"/>
        <v>0</v>
      </c>
      <c r="W19" s="22">
        <f t="shared" si="31"/>
        <v>0</v>
      </c>
      <c r="X19" s="22">
        <f t="shared" si="32"/>
        <v>0</v>
      </c>
      <c r="Y19" s="22">
        <f t="shared" si="33"/>
        <v>12</v>
      </c>
      <c r="Z19" s="46">
        <f t="shared" si="34"/>
        <v>0</v>
      </c>
      <c r="AA19" s="46">
        <f t="shared" si="35"/>
        <v>0.38709677419354838</v>
      </c>
      <c r="AB19" s="24"/>
      <c r="AC19" s="24">
        <f>'2017-18_working'!T19+'2017-18_working'!U19</f>
        <v>2</v>
      </c>
      <c r="AD19" s="24">
        <f>'2017-18_working'!V19</f>
        <v>0</v>
      </c>
      <c r="AE19" s="24">
        <f>'2017-18_working'!W19</f>
        <v>0</v>
      </c>
      <c r="AF19" s="24">
        <f>'2017-18_working'!X19</f>
        <v>0</v>
      </c>
      <c r="AG19" s="24">
        <f>'2017-18_working'!Y19+'2017-18_working'!Z19</f>
        <v>0</v>
      </c>
      <c r="AH19" s="24">
        <f>'2017-18_working'!AA19</f>
        <v>2</v>
      </c>
      <c r="AI19" s="46">
        <f t="shared" si="41"/>
        <v>0</v>
      </c>
      <c r="AJ19" s="46">
        <f t="shared" si="42"/>
        <v>0.5</v>
      </c>
      <c r="AK19" s="24"/>
      <c r="AL19" s="24">
        <f>'2017-18_working'!AC19+'2017-18_working'!AD19</f>
        <v>8</v>
      </c>
      <c r="AM19" s="24">
        <f>'2017-18_working'!AE19</f>
        <v>0</v>
      </c>
      <c r="AN19" s="24">
        <f>'2017-18_working'!AF19</f>
        <v>1</v>
      </c>
      <c r="AO19" s="24">
        <f>'2017-18_working'!AG19</f>
        <v>0</v>
      </c>
      <c r="AP19" s="24">
        <f>'2017-18_working'!AH19+'2017-18_working'!AI19</f>
        <v>0</v>
      </c>
      <c r="AQ19" s="24">
        <f>'2017-18_working'!AJ19</f>
        <v>5</v>
      </c>
      <c r="AR19" s="46">
        <f t="shared" si="48"/>
        <v>0.1111111111111111</v>
      </c>
      <c r="AS19" s="46">
        <f t="shared" si="49"/>
        <v>0.35714285714285715</v>
      </c>
      <c r="AT19" s="24"/>
      <c r="AU19" s="22">
        <f t="shared" si="50"/>
        <v>29</v>
      </c>
      <c r="AV19" s="22">
        <f t="shared" si="51"/>
        <v>0</v>
      </c>
      <c r="AW19" s="22">
        <f t="shared" si="52"/>
        <v>1</v>
      </c>
      <c r="AX19" s="22">
        <f t="shared" si="53"/>
        <v>0</v>
      </c>
      <c r="AY19" s="22">
        <f t="shared" si="54"/>
        <v>0</v>
      </c>
      <c r="AZ19" s="22">
        <f t="shared" si="55"/>
        <v>19</v>
      </c>
      <c r="BA19" s="46">
        <f t="shared" si="56"/>
        <v>3.3333333333333333E-2</v>
      </c>
      <c r="BB19" s="46">
        <f t="shared" si="57"/>
        <v>0.38775510204081631</v>
      </c>
      <c r="BC19" s="19"/>
      <c r="BD19" s="20">
        <f t="shared" si="58"/>
        <v>49</v>
      </c>
      <c r="BE19" s="20">
        <v>49</v>
      </c>
      <c r="BF19" s="53">
        <f t="shared" si="59"/>
        <v>0</v>
      </c>
      <c r="BG19" s="19"/>
      <c r="BH19" s="19"/>
      <c r="BI19" s="19"/>
      <c r="BJ19" s="19"/>
      <c r="BK19" s="19"/>
    </row>
    <row r="20" spans="1:63" s="8" customFormat="1" ht="15" customHeight="1" x14ac:dyDescent="0.35">
      <c r="A20" s="26" t="s">
        <v>27</v>
      </c>
      <c r="B20" s="24">
        <f>'2017-18_working'!B20+'2017-18_working'!C20</f>
        <v>34</v>
      </c>
      <c r="C20" s="24">
        <f>'2017-18_working'!D20</f>
        <v>0</v>
      </c>
      <c r="D20" s="24">
        <f>'2017-18_working'!E20</f>
        <v>0</v>
      </c>
      <c r="E20" s="24">
        <f>'2017-18_working'!F20</f>
        <v>0</v>
      </c>
      <c r="F20" s="24">
        <f>'2017-18_working'!G20+'2017-18_working'!H20</f>
        <v>0</v>
      </c>
      <c r="G20" s="24">
        <f>'2017-18_working'!I20</f>
        <v>1</v>
      </c>
      <c r="H20" s="46">
        <f t="shared" si="19"/>
        <v>0</v>
      </c>
      <c r="I20" s="46">
        <f t="shared" si="20"/>
        <v>2.8571428571428571E-2</v>
      </c>
      <c r="J20" s="24"/>
      <c r="K20" s="24">
        <f>'2017-18_working'!K20+'2017-18_working'!L20</f>
        <v>73</v>
      </c>
      <c r="L20" s="24">
        <f>'2017-18_working'!M20</f>
        <v>1</v>
      </c>
      <c r="M20" s="24">
        <f>'2017-18_working'!N20</f>
        <v>0</v>
      </c>
      <c r="N20" s="24">
        <f>'2017-18_working'!O20</f>
        <v>0</v>
      </c>
      <c r="O20" s="24">
        <f>'2017-18_working'!P20+'2017-18_working'!Q20</f>
        <v>0</v>
      </c>
      <c r="P20" s="24">
        <f>'2017-18_working'!R20</f>
        <v>34</v>
      </c>
      <c r="Q20" s="46">
        <f t="shared" si="26"/>
        <v>1.3513513513513514E-2</v>
      </c>
      <c r="R20" s="46">
        <f t="shared" si="27"/>
        <v>0.31481481481481483</v>
      </c>
      <c r="S20" s="24"/>
      <c r="T20" s="22">
        <f t="shared" si="28"/>
        <v>107</v>
      </c>
      <c r="U20" s="22">
        <f t="shared" si="29"/>
        <v>1</v>
      </c>
      <c r="V20" s="22">
        <f t="shared" si="30"/>
        <v>0</v>
      </c>
      <c r="W20" s="22">
        <f t="shared" si="31"/>
        <v>0</v>
      </c>
      <c r="X20" s="22">
        <f t="shared" si="32"/>
        <v>0</v>
      </c>
      <c r="Y20" s="22">
        <f t="shared" si="33"/>
        <v>35</v>
      </c>
      <c r="Z20" s="46">
        <f t="shared" si="34"/>
        <v>9.2592592592592587E-3</v>
      </c>
      <c r="AA20" s="46">
        <f t="shared" si="35"/>
        <v>0.24475524475524477</v>
      </c>
      <c r="AB20" s="24"/>
      <c r="AC20" s="24">
        <f>'2017-18_working'!T20+'2017-18_working'!U20</f>
        <v>2</v>
      </c>
      <c r="AD20" s="24">
        <f>'2017-18_working'!V20</f>
        <v>0</v>
      </c>
      <c r="AE20" s="24">
        <f>'2017-18_working'!W20</f>
        <v>0</v>
      </c>
      <c r="AF20" s="24">
        <f>'2017-18_working'!X20</f>
        <v>0</v>
      </c>
      <c r="AG20" s="24">
        <f>'2017-18_working'!Y20+'2017-18_working'!Z20</f>
        <v>0</v>
      </c>
      <c r="AH20" s="24">
        <f>'2017-18_working'!AA20</f>
        <v>0</v>
      </c>
      <c r="AI20" s="46">
        <f t="shared" si="41"/>
        <v>0</v>
      </c>
      <c r="AJ20" s="46">
        <f t="shared" si="42"/>
        <v>0</v>
      </c>
      <c r="AK20" s="24"/>
      <c r="AL20" s="24">
        <f>'2017-18_working'!AC20+'2017-18_working'!AD20</f>
        <v>19</v>
      </c>
      <c r="AM20" s="24">
        <f>'2017-18_working'!AE20</f>
        <v>0</v>
      </c>
      <c r="AN20" s="24">
        <f>'2017-18_working'!AF20</f>
        <v>0</v>
      </c>
      <c r="AO20" s="24">
        <f>'2017-18_working'!AG20</f>
        <v>0</v>
      </c>
      <c r="AP20" s="24">
        <f>'2017-18_working'!AH20+'2017-18_working'!AI20</f>
        <v>0</v>
      </c>
      <c r="AQ20" s="24">
        <f>'2017-18_working'!AJ20</f>
        <v>7</v>
      </c>
      <c r="AR20" s="46">
        <f t="shared" si="48"/>
        <v>0</v>
      </c>
      <c r="AS20" s="46">
        <f t="shared" si="49"/>
        <v>0.26923076923076922</v>
      </c>
      <c r="AT20" s="24"/>
      <c r="AU20" s="22">
        <f t="shared" si="50"/>
        <v>128</v>
      </c>
      <c r="AV20" s="22">
        <f t="shared" si="51"/>
        <v>1</v>
      </c>
      <c r="AW20" s="22">
        <f t="shared" si="52"/>
        <v>0</v>
      </c>
      <c r="AX20" s="22">
        <f t="shared" si="53"/>
        <v>0</v>
      </c>
      <c r="AY20" s="22">
        <f t="shared" si="54"/>
        <v>0</v>
      </c>
      <c r="AZ20" s="22">
        <f t="shared" si="55"/>
        <v>42</v>
      </c>
      <c r="BA20" s="46">
        <f t="shared" si="56"/>
        <v>7.7519379844961239E-3</v>
      </c>
      <c r="BB20" s="46">
        <f t="shared" si="57"/>
        <v>0.24561403508771928</v>
      </c>
      <c r="BC20" s="19"/>
      <c r="BD20" s="20">
        <f t="shared" si="58"/>
        <v>171</v>
      </c>
      <c r="BE20" s="20">
        <v>171</v>
      </c>
      <c r="BF20" s="53">
        <f t="shared" si="59"/>
        <v>0</v>
      </c>
      <c r="BG20" s="19"/>
      <c r="BH20" s="19"/>
      <c r="BI20" s="19"/>
      <c r="BJ20" s="19"/>
      <c r="BK20" s="19"/>
    </row>
    <row r="21" spans="1:63" s="8" customFormat="1" ht="15" customHeight="1" x14ac:dyDescent="0.35">
      <c r="A21" s="2" t="s">
        <v>28</v>
      </c>
      <c r="B21" s="24">
        <f>'2017-18_working'!B21+'2017-18_working'!C21</f>
        <v>11</v>
      </c>
      <c r="C21" s="24">
        <f>'2017-18_working'!D21</f>
        <v>0</v>
      </c>
      <c r="D21" s="24">
        <f>'2017-18_working'!E21</f>
        <v>0</v>
      </c>
      <c r="E21" s="24">
        <f>'2017-18_working'!F21</f>
        <v>0</v>
      </c>
      <c r="F21" s="24">
        <f>'2017-18_working'!G21+'2017-18_working'!H21</f>
        <v>0</v>
      </c>
      <c r="G21" s="24">
        <f>'2017-18_working'!I21</f>
        <v>10</v>
      </c>
      <c r="H21" s="46">
        <f t="shared" si="19"/>
        <v>0</v>
      </c>
      <c r="I21" s="46">
        <f t="shared" si="20"/>
        <v>0.47619047619047616</v>
      </c>
      <c r="J21" s="24"/>
      <c r="K21" s="24">
        <f>'2017-18_working'!K21+'2017-18_working'!L21</f>
        <v>46</v>
      </c>
      <c r="L21" s="24">
        <f>'2017-18_working'!M21</f>
        <v>0</v>
      </c>
      <c r="M21" s="24">
        <f>'2017-18_working'!N21</f>
        <v>0</v>
      </c>
      <c r="N21" s="24">
        <f>'2017-18_working'!O21</f>
        <v>0</v>
      </c>
      <c r="O21" s="24">
        <f>'2017-18_working'!P21+'2017-18_working'!Q21</f>
        <v>1</v>
      </c>
      <c r="P21" s="24">
        <f>'2017-18_working'!R21</f>
        <v>31</v>
      </c>
      <c r="Q21" s="46">
        <f t="shared" si="26"/>
        <v>2.1276595744680851E-2</v>
      </c>
      <c r="R21" s="46">
        <f t="shared" si="27"/>
        <v>0.39743589743589741</v>
      </c>
      <c r="S21" s="24"/>
      <c r="T21" s="22">
        <f t="shared" si="28"/>
        <v>57</v>
      </c>
      <c r="U21" s="22">
        <f t="shared" si="29"/>
        <v>0</v>
      </c>
      <c r="V21" s="22">
        <f t="shared" si="30"/>
        <v>0</v>
      </c>
      <c r="W21" s="22">
        <f t="shared" si="31"/>
        <v>0</v>
      </c>
      <c r="X21" s="22">
        <f t="shared" si="32"/>
        <v>1</v>
      </c>
      <c r="Y21" s="22">
        <f t="shared" si="33"/>
        <v>41</v>
      </c>
      <c r="Z21" s="46">
        <f t="shared" si="34"/>
        <v>1.7241379310344827E-2</v>
      </c>
      <c r="AA21" s="46">
        <f t="shared" si="35"/>
        <v>0.41414141414141414</v>
      </c>
      <c r="AB21" s="24"/>
      <c r="AC21" s="24">
        <f>'2017-18_working'!T21+'2017-18_working'!U21</f>
        <v>0</v>
      </c>
      <c r="AD21" s="24">
        <f>'2017-18_working'!V21</f>
        <v>0</v>
      </c>
      <c r="AE21" s="24">
        <f>'2017-18_working'!W21</f>
        <v>0</v>
      </c>
      <c r="AF21" s="24">
        <f>'2017-18_working'!X21</f>
        <v>0</v>
      </c>
      <c r="AG21" s="24">
        <f>'2017-18_working'!Y21+'2017-18_working'!Z21</f>
        <v>0</v>
      </c>
      <c r="AH21" s="24">
        <f>'2017-18_working'!AA21</f>
        <v>4</v>
      </c>
      <c r="AI21" s="46" t="str">
        <f t="shared" si="41"/>
        <v>-</v>
      </c>
      <c r="AJ21" s="46">
        <f t="shared" si="42"/>
        <v>1</v>
      </c>
      <c r="AK21" s="24"/>
      <c r="AL21" s="24">
        <f>'2017-18_working'!AC21+'2017-18_working'!AD21</f>
        <v>11</v>
      </c>
      <c r="AM21" s="24">
        <f>'2017-18_working'!AE21</f>
        <v>0</v>
      </c>
      <c r="AN21" s="24">
        <f>'2017-18_working'!AF21</f>
        <v>0</v>
      </c>
      <c r="AO21" s="24">
        <f>'2017-18_working'!AG21</f>
        <v>0</v>
      </c>
      <c r="AP21" s="24">
        <f>'2017-18_working'!AH21+'2017-18_working'!AI21</f>
        <v>0</v>
      </c>
      <c r="AQ21" s="24">
        <f>'2017-18_working'!AJ21</f>
        <v>14</v>
      </c>
      <c r="AR21" s="46">
        <f t="shared" si="48"/>
        <v>0</v>
      </c>
      <c r="AS21" s="46">
        <f t="shared" si="49"/>
        <v>0.56000000000000005</v>
      </c>
      <c r="AT21" s="24"/>
      <c r="AU21" s="22">
        <f t="shared" si="50"/>
        <v>68</v>
      </c>
      <c r="AV21" s="22">
        <f t="shared" si="51"/>
        <v>0</v>
      </c>
      <c r="AW21" s="22">
        <f t="shared" si="52"/>
        <v>0</v>
      </c>
      <c r="AX21" s="22">
        <f t="shared" si="53"/>
        <v>0</v>
      </c>
      <c r="AY21" s="22">
        <f t="shared" si="54"/>
        <v>1</v>
      </c>
      <c r="AZ21" s="22">
        <f t="shared" si="55"/>
        <v>59</v>
      </c>
      <c r="BA21" s="46">
        <f t="shared" si="56"/>
        <v>1.4492753623188406E-2</v>
      </c>
      <c r="BB21" s="46">
        <f t="shared" si="57"/>
        <v>0.4609375</v>
      </c>
      <c r="BC21" s="19"/>
      <c r="BD21" s="20">
        <f t="shared" si="58"/>
        <v>128</v>
      </c>
      <c r="BE21" s="20">
        <v>128</v>
      </c>
      <c r="BF21" s="53">
        <f t="shared" si="59"/>
        <v>0</v>
      </c>
      <c r="BG21" s="19"/>
      <c r="BH21" s="19"/>
      <c r="BI21" s="19"/>
      <c r="BJ21" s="19"/>
      <c r="BK21" s="19"/>
    </row>
    <row r="22" spans="1:63" s="8" customFormat="1" ht="15" customHeight="1" x14ac:dyDescent="0.35">
      <c r="A22" s="2" t="s">
        <v>29</v>
      </c>
      <c r="B22" s="24">
        <f>'2017-18_working'!B22+'2017-18_working'!C22</f>
        <v>14</v>
      </c>
      <c r="C22" s="24">
        <f>'2017-18_working'!D22</f>
        <v>0</v>
      </c>
      <c r="D22" s="24">
        <f>'2017-18_working'!E22</f>
        <v>0</v>
      </c>
      <c r="E22" s="24">
        <f>'2017-18_working'!F22</f>
        <v>0</v>
      </c>
      <c r="F22" s="24">
        <f>'2017-18_working'!G22+'2017-18_working'!H22</f>
        <v>0</v>
      </c>
      <c r="G22" s="24">
        <f>'2017-18_working'!I22</f>
        <v>8</v>
      </c>
      <c r="H22" s="46">
        <f t="shared" si="19"/>
        <v>0</v>
      </c>
      <c r="I22" s="46">
        <f t="shared" si="20"/>
        <v>0.36363636363636365</v>
      </c>
      <c r="J22" s="24"/>
      <c r="K22" s="24">
        <f>'2017-18_working'!K22+'2017-18_working'!L22</f>
        <v>7</v>
      </c>
      <c r="L22" s="24">
        <f>'2017-18_working'!M22</f>
        <v>0</v>
      </c>
      <c r="M22" s="24">
        <f>'2017-18_working'!N22</f>
        <v>0</v>
      </c>
      <c r="N22" s="24">
        <f>'2017-18_working'!O22</f>
        <v>0</v>
      </c>
      <c r="O22" s="24">
        <f>'2017-18_working'!P22+'2017-18_working'!Q22</f>
        <v>0</v>
      </c>
      <c r="P22" s="24">
        <f>'2017-18_working'!R22</f>
        <v>20</v>
      </c>
      <c r="Q22" s="46">
        <f t="shared" si="26"/>
        <v>0</v>
      </c>
      <c r="R22" s="46">
        <f t="shared" si="27"/>
        <v>0.7407407407407407</v>
      </c>
      <c r="S22" s="24"/>
      <c r="T22" s="22">
        <f t="shared" si="28"/>
        <v>21</v>
      </c>
      <c r="U22" s="22">
        <f t="shared" si="29"/>
        <v>0</v>
      </c>
      <c r="V22" s="22">
        <f t="shared" si="30"/>
        <v>0</v>
      </c>
      <c r="W22" s="22">
        <f t="shared" si="31"/>
        <v>0</v>
      </c>
      <c r="X22" s="22">
        <f t="shared" si="32"/>
        <v>0</v>
      </c>
      <c r="Y22" s="22">
        <f t="shared" si="33"/>
        <v>28</v>
      </c>
      <c r="Z22" s="46">
        <f t="shared" si="34"/>
        <v>0</v>
      </c>
      <c r="AA22" s="46">
        <f t="shared" si="35"/>
        <v>0.5714285714285714</v>
      </c>
      <c r="AB22" s="24"/>
      <c r="AC22" s="24">
        <f>'2017-18_working'!T22+'2017-18_working'!U22</f>
        <v>0</v>
      </c>
      <c r="AD22" s="24">
        <f>'2017-18_working'!V22</f>
        <v>0</v>
      </c>
      <c r="AE22" s="24">
        <f>'2017-18_working'!W22</f>
        <v>0</v>
      </c>
      <c r="AF22" s="24">
        <f>'2017-18_working'!X22</f>
        <v>0</v>
      </c>
      <c r="AG22" s="24">
        <f>'2017-18_working'!Y22+'2017-18_working'!Z22</f>
        <v>0</v>
      </c>
      <c r="AH22" s="24">
        <f>'2017-18_working'!AA22</f>
        <v>0</v>
      </c>
      <c r="AI22" s="46" t="str">
        <f t="shared" si="41"/>
        <v>-</v>
      </c>
      <c r="AJ22" s="46" t="str">
        <f t="shared" si="42"/>
        <v>-</v>
      </c>
      <c r="AK22" s="24"/>
      <c r="AL22" s="24">
        <f>'2017-18_working'!AC22+'2017-18_working'!AD22</f>
        <v>6</v>
      </c>
      <c r="AM22" s="24">
        <f>'2017-18_working'!AE22</f>
        <v>0</v>
      </c>
      <c r="AN22" s="24">
        <f>'2017-18_working'!AF22</f>
        <v>0</v>
      </c>
      <c r="AO22" s="24">
        <f>'2017-18_working'!AG22</f>
        <v>0</v>
      </c>
      <c r="AP22" s="24">
        <f>'2017-18_working'!AH22+'2017-18_working'!AI22</f>
        <v>0</v>
      </c>
      <c r="AQ22" s="24">
        <f>'2017-18_working'!AJ22</f>
        <v>12</v>
      </c>
      <c r="AR22" s="46">
        <f t="shared" si="48"/>
        <v>0</v>
      </c>
      <c r="AS22" s="46">
        <f t="shared" si="49"/>
        <v>0.66666666666666663</v>
      </c>
      <c r="AT22" s="24"/>
      <c r="AU22" s="22">
        <f t="shared" si="50"/>
        <v>27</v>
      </c>
      <c r="AV22" s="22">
        <f t="shared" si="51"/>
        <v>0</v>
      </c>
      <c r="AW22" s="22">
        <f t="shared" si="52"/>
        <v>0</v>
      </c>
      <c r="AX22" s="22">
        <f t="shared" si="53"/>
        <v>0</v>
      </c>
      <c r="AY22" s="22">
        <f t="shared" si="54"/>
        <v>0</v>
      </c>
      <c r="AZ22" s="22">
        <f t="shared" si="55"/>
        <v>40</v>
      </c>
      <c r="BA22" s="46">
        <f t="shared" si="56"/>
        <v>0</v>
      </c>
      <c r="BB22" s="46">
        <f t="shared" si="57"/>
        <v>0.59701492537313428</v>
      </c>
      <c r="BC22" s="19"/>
      <c r="BD22" s="20">
        <f t="shared" si="58"/>
        <v>67</v>
      </c>
      <c r="BE22" s="20">
        <v>67</v>
      </c>
      <c r="BF22" s="53">
        <f t="shared" si="59"/>
        <v>0</v>
      </c>
      <c r="BG22" s="19"/>
      <c r="BH22" s="19"/>
      <c r="BI22" s="19"/>
      <c r="BJ22" s="19"/>
      <c r="BK22" s="19"/>
    </row>
    <row r="23" spans="1:63" s="8" customFormat="1" ht="15" customHeight="1" x14ac:dyDescent="0.35">
      <c r="A23" s="2" t="s">
        <v>30</v>
      </c>
      <c r="B23" s="24">
        <f>'2017-18_working'!B23+'2017-18_working'!C23</f>
        <v>8</v>
      </c>
      <c r="C23" s="24">
        <f>'2017-18_working'!D23</f>
        <v>0</v>
      </c>
      <c r="D23" s="24">
        <f>'2017-18_working'!E23</f>
        <v>0</v>
      </c>
      <c r="E23" s="24">
        <f>'2017-18_working'!F23</f>
        <v>0</v>
      </c>
      <c r="F23" s="24">
        <f>'2017-18_working'!G23+'2017-18_working'!H23</f>
        <v>0</v>
      </c>
      <c r="G23" s="24">
        <f>'2017-18_working'!I23</f>
        <v>0</v>
      </c>
      <c r="H23" s="46">
        <f t="shared" si="19"/>
        <v>0</v>
      </c>
      <c r="I23" s="46">
        <f t="shared" si="20"/>
        <v>0</v>
      </c>
      <c r="J23" s="24"/>
      <c r="K23" s="24">
        <f>'2017-18_working'!K23+'2017-18_working'!L23</f>
        <v>19</v>
      </c>
      <c r="L23" s="24">
        <f>'2017-18_working'!M23</f>
        <v>0</v>
      </c>
      <c r="M23" s="24">
        <f>'2017-18_working'!N23</f>
        <v>0</v>
      </c>
      <c r="N23" s="24">
        <f>'2017-18_working'!O23</f>
        <v>0</v>
      </c>
      <c r="O23" s="24">
        <f>'2017-18_working'!P23+'2017-18_working'!Q23</f>
        <v>0</v>
      </c>
      <c r="P23" s="24">
        <f>'2017-18_working'!R23</f>
        <v>3</v>
      </c>
      <c r="Q23" s="46">
        <f t="shared" si="26"/>
        <v>0</v>
      </c>
      <c r="R23" s="46">
        <f t="shared" si="27"/>
        <v>0.13636363636363635</v>
      </c>
      <c r="S23" s="24"/>
      <c r="T23" s="22">
        <f t="shared" si="28"/>
        <v>27</v>
      </c>
      <c r="U23" s="22">
        <f t="shared" si="29"/>
        <v>0</v>
      </c>
      <c r="V23" s="22">
        <f t="shared" si="30"/>
        <v>0</v>
      </c>
      <c r="W23" s="22">
        <f t="shared" si="31"/>
        <v>0</v>
      </c>
      <c r="X23" s="22">
        <f t="shared" si="32"/>
        <v>0</v>
      </c>
      <c r="Y23" s="22">
        <f t="shared" si="33"/>
        <v>3</v>
      </c>
      <c r="Z23" s="46">
        <f t="shared" si="34"/>
        <v>0</v>
      </c>
      <c r="AA23" s="46">
        <f t="shared" si="35"/>
        <v>0.1</v>
      </c>
      <c r="AB23" s="24"/>
      <c r="AC23" s="24">
        <f>'2017-18_working'!T23+'2017-18_working'!U23</f>
        <v>3</v>
      </c>
      <c r="AD23" s="24">
        <f>'2017-18_working'!V23</f>
        <v>0</v>
      </c>
      <c r="AE23" s="24">
        <f>'2017-18_working'!W23</f>
        <v>0</v>
      </c>
      <c r="AF23" s="24">
        <f>'2017-18_working'!X23</f>
        <v>0</v>
      </c>
      <c r="AG23" s="24">
        <f>'2017-18_working'!Y23+'2017-18_working'!Z23</f>
        <v>0</v>
      </c>
      <c r="AH23" s="24">
        <f>'2017-18_working'!AA23</f>
        <v>1</v>
      </c>
      <c r="AI23" s="46">
        <f t="shared" si="41"/>
        <v>0</v>
      </c>
      <c r="AJ23" s="46">
        <f t="shared" si="42"/>
        <v>0.25</v>
      </c>
      <c r="AK23" s="24"/>
      <c r="AL23" s="24">
        <f>'2017-18_working'!AC23+'2017-18_working'!AD23</f>
        <v>13</v>
      </c>
      <c r="AM23" s="24">
        <f>'2017-18_working'!AE23</f>
        <v>0</v>
      </c>
      <c r="AN23" s="24">
        <f>'2017-18_working'!AF23</f>
        <v>0</v>
      </c>
      <c r="AO23" s="24">
        <f>'2017-18_working'!AG23</f>
        <v>0</v>
      </c>
      <c r="AP23" s="24">
        <f>'2017-18_working'!AH23+'2017-18_working'!AI23</f>
        <v>0</v>
      </c>
      <c r="AQ23" s="24">
        <f>'2017-18_working'!AJ23</f>
        <v>10</v>
      </c>
      <c r="AR23" s="46">
        <f t="shared" si="48"/>
        <v>0</v>
      </c>
      <c r="AS23" s="46">
        <f t="shared" si="49"/>
        <v>0.43478260869565216</v>
      </c>
      <c r="AT23" s="24"/>
      <c r="AU23" s="22">
        <f t="shared" si="50"/>
        <v>43</v>
      </c>
      <c r="AV23" s="22">
        <f t="shared" si="51"/>
        <v>0</v>
      </c>
      <c r="AW23" s="22">
        <f t="shared" si="52"/>
        <v>0</v>
      </c>
      <c r="AX23" s="22">
        <f t="shared" si="53"/>
        <v>0</v>
      </c>
      <c r="AY23" s="22">
        <f t="shared" si="54"/>
        <v>0</v>
      </c>
      <c r="AZ23" s="22">
        <f t="shared" si="55"/>
        <v>14</v>
      </c>
      <c r="BA23" s="46">
        <f t="shared" si="56"/>
        <v>0</v>
      </c>
      <c r="BB23" s="46">
        <f t="shared" si="57"/>
        <v>0.24561403508771928</v>
      </c>
      <c r="BC23" s="19"/>
      <c r="BD23" s="20">
        <f t="shared" si="58"/>
        <v>57</v>
      </c>
      <c r="BE23" s="20">
        <v>57</v>
      </c>
      <c r="BF23" s="53">
        <f t="shared" si="59"/>
        <v>0</v>
      </c>
      <c r="BG23" s="19"/>
      <c r="BH23" s="19"/>
      <c r="BI23" s="19"/>
      <c r="BJ23" s="19"/>
      <c r="BK23" s="19"/>
    </row>
    <row r="24" spans="1:63" s="8" customFormat="1" ht="15" customHeight="1" x14ac:dyDescent="0.35">
      <c r="A24" s="2" t="s">
        <v>31</v>
      </c>
      <c r="B24" s="24">
        <f>'2017-18_working'!B24+'2017-18_working'!C24</f>
        <v>18</v>
      </c>
      <c r="C24" s="24">
        <f>'2017-18_working'!D24</f>
        <v>0</v>
      </c>
      <c r="D24" s="24">
        <f>'2017-18_working'!E24</f>
        <v>0</v>
      </c>
      <c r="E24" s="24">
        <f>'2017-18_working'!F24</f>
        <v>0</v>
      </c>
      <c r="F24" s="24">
        <f>'2017-18_working'!G24+'2017-18_working'!H24</f>
        <v>0</v>
      </c>
      <c r="G24" s="24">
        <f>'2017-18_working'!I24</f>
        <v>4</v>
      </c>
      <c r="H24" s="46">
        <f t="shared" si="19"/>
        <v>0</v>
      </c>
      <c r="I24" s="46">
        <f t="shared" si="20"/>
        <v>0.18181818181818182</v>
      </c>
      <c r="J24" s="24"/>
      <c r="K24" s="24">
        <f>'2017-18_working'!K24+'2017-18_working'!L24</f>
        <v>23</v>
      </c>
      <c r="L24" s="24">
        <f>'2017-18_working'!M24</f>
        <v>1</v>
      </c>
      <c r="M24" s="24">
        <f>'2017-18_working'!N24</f>
        <v>0</v>
      </c>
      <c r="N24" s="24">
        <f>'2017-18_working'!O24</f>
        <v>0</v>
      </c>
      <c r="O24" s="24">
        <f>'2017-18_working'!P24+'2017-18_working'!Q24</f>
        <v>1</v>
      </c>
      <c r="P24" s="24">
        <f>'2017-18_working'!R24</f>
        <v>63</v>
      </c>
      <c r="Q24" s="46">
        <f t="shared" si="26"/>
        <v>0.08</v>
      </c>
      <c r="R24" s="46">
        <f t="shared" si="27"/>
        <v>0.71590909090909094</v>
      </c>
      <c r="S24" s="24"/>
      <c r="T24" s="22">
        <f t="shared" si="28"/>
        <v>41</v>
      </c>
      <c r="U24" s="22">
        <f t="shared" si="29"/>
        <v>1</v>
      </c>
      <c r="V24" s="22">
        <f t="shared" si="30"/>
        <v>0</v>
      </c>
      <c r="W24" s="22">
        <f t="shared" si="31"/>
        <v>0</v>
      </c>
      <c r="X24" s="22">
        <f t="shared" si="32"/>
        <v>1</v>
      </c>
      <c r="Y24" s="22">
        <f t="shared" si="33"/>
        <v>67</v>
      </c>
      <c r="Z24" s="46">
        <f t="shared" si="34"/>
        <v>4.6511627906976744E-2</v>
      </c>
      <c r="AA24" s="46">
        <f t="shared" si="35"/>
        <v>0.60909090909090913</v>
      </c>
      <c r="AB24" s="24"/>
      <c r="AC24" s="24">
        <f>'2017-18_working'!T24+'2017-18_working'!U24</f>
        <v>0</v>
      </c>
      <c r="AD24" s="24">
        <f>'2017-18_working'!V24</f>
        <v>0</v>
      </c>
      <c r="AE24" s="24">
        <f>'2017-18_working'!W24</f>
        <v>0</v>
      </c>
      <c r="AF24" s="24">
        <f>'2017-18_working'!X24</f>
        <v>0</v>
      </c>
      <c r="AG24" s="24">
        <f>'2017-18_working'!Y24+'2017-18_working'!Z24</f>
        <v>0</v>
      </c>
      <c r="AH24" s="24">
        <f>'2017-18_working'!AA24</f>
        <v>3</v>
      </c>
      <c r="AI24" s="46" t="str">
        <f t="shared" si="41"/>
        <v>-</v>
      </c>
      <c r="AJ24" s="46">
        <f t="shared" si="42"/>
        <v>1</v>
      </c>
      <c r="AK24" s="24"/>
      <c r="AL24" s="24">
        <f>'2017-18_working'!AC24+'2017-18_working'!AD24</f>
        <v>19</v>
      </c>
      <c r="AM24" s="24">
        <f>'2017-18_working'!AE24</f>
        <v>0</v>
      </c>
      <c r="AN24" s="24">
        <f>'2017-18_working'!AF24</f>
        <v>0</v>
      </c>
      <c r="AO24" s="24">
        <f>'2017-18_working'!AG24</f>
        <v>0</v>
      </c>
      <c r="AP24" s="24">
        <f>'2017-18_working'!AH24+'2017-18_working'!AI24</f>
        <v>0</v>
      </c>
      <c r="AQ24" s="24">
        <f>'2017-18_working'!AJ24</f>
        <v>41</v>
      </c>
      <c r="AR24" s="46">
        <f t="shared" si="48"/>
        <v>0</v>
      </c>
      <c r="AS24" s="46">
        <f t="shared" si="49"/>
        <v>0.68333333333333335</v>
      </c>
      <c r="AT24" s="24"/>
      <c r="AU24" s="22">
        <f t="shared" si="50"/>
        <v>60</v>
      </c>
      <c r="AV24" s="22">
        <f t="shared" si="51"/>
        <v>1</v>
      </c>
      <c r="AW24" s="22">
        <f t="shared" si="52"/>
        <v>0</v>
      </c>
      <c r="AX24" s="22">
        <f t="shared" si="53"/>
        <v>0</v>
      </c>
      <c r="AY24" s="22">
        <f t="shared" si="54"/>
        <v>1</v>
      </c>
      <c r="AZ24" s="22">
        <f t="shared" si="55"/>
        <v>111</v>
      </c>
      <c r="BA24" s="46">
        <f t="shared" si="56"/>
        <v>3.2258064516129031E-2</v>
      </c>
      <c r="BB24" s="46">
        <f t="shared" si="57"/>
        <v>0.64161849710982655</v>
      </c>
      <c r="BC24" s="19"/>
      <c r="BD24" s="20">
        <f t="shared" si="58"/>
        <v>173</v>
      </c>
      <c r="BE24" s="20">
        <v>174</v>
      </c>
      <c r="BF24" s="53">
        <f t="shared" si="59"/>
        <v>-1</v>
      </c>
      <c r="BG24" s="19"/>
      <c r="BH24" s="19"/>
      <c r="BI24" s="19"/>
      <c r="BJ24" s="19"/>
      <c r="BK24" s="19"/>
    </row>
    <row r="25" spans="1:63" s="8" customFormat="1" ht="15" customHeight="1" x14ac:dyDescent="0.35">
      <c r="A25" s="2" t="s">
        <v>32</v>
      </c>
      <c r="B25" s="24">
        <f>'2017-18_working'!B25+'2017-18_working'!C25</f>
        <v>20</v>
      </c>
      <c r="C25" s="24">
        <f>'2017-18_working'!D25</f>
        <v>1</v>
      </c>
      <c r="D25" s="24">
        <f>'2017-18_working'!E25</f>
        <v>1</v>
      </c>
      <c r="E25" s="24">
        <f>'2017-18_working'!F25</f>
        <v>0</v>
      </c>
      <c r="F25" s="24">
        <f>'2017-18_working'!G25+'2017-18_working'!H25</f>
        <v>0</v>
      </c>
      <c r="G25" s="24">
        <f>'2017-18_working'!I25</f>
        <v>13</v>
      </c>
      <c r="H25" s="46">
        <f t="shared" si="19"/>
        <v>9.0909090909090912E-2</v>
      </c>
      <c r="I25" s="46">
        <f t="shared" si="20"/>
        <v>0.37142857142857144</v>
      </c>
      <c r="J25" s="24"/>
      <c r="K25" s="24">
        <f>'2017-18_working'!K25+'2017-18_working'!L25</f>
        <v>37</v>
      </c>
      <c r="L25" s="24">
        <f>'2017-18_working'!M25</f>
        <v>0</v>
      </c>
      <c r="M25" s="24">
        <f>'2017-18_working'!N25</f>
        <v>0</v>
      </c>
      <c r="N25" s="24">
        <f>'2017-18_working'!O25</f>
        <v>0</v>
      </c>
      <c r="O25" s="24">
        <f>'2017-18_working'!P25+'2017-18_working'!Q25</f>
        <v>0</v>
      </c>
      <c r="P25" s="24">
        <f>'2017-18_working'!R25</f>
        <v>1</v>
      </c>
      <c r="Q25" s="46">
        <f t="shared" si="26"/>
        <v>0</v>
      </c>
      <c r="R25" s="46">
        <f t="shared" si="27"/>
        <v>2.6315789473684209E-2</v>
      </c>
      <c r="S25" s="24"/>
      <c r="T25" s="22">
        <f t="shared" si="28"/>
        <v>57</v>
      </c>
      <c r="U25" s="22">
        <f t="shared" si="29"/>
        <v>1</v>
      </c>
      <c r="V25" s="22">
        <f t="shared" si="30"/>
        <v>1</v>
      </c>
      <c r="W25" s="22">
        <f t="shared" si="31"/>
        <v>0</v>
      </c>
      <c r="X25" s="22">
        <f t="shared" si="32"/>
        <v>0</v>
      </c>
      <c r="Y25" s="22">
        <f t="shared" si="33"/>
        <v>14</v>
      </c>
      <c r="Z25" s="46">
        <f t="shared" si="34"/>
        <v>3.3898305084745763E-2</v>
      </c>
      <c r="AA25" s="46">
        <f t="shared" si="35"/>
        <v>0.19178082191780821</v>
      </c>
      <c r="AB25" s="24"/>
      <c r="AC25" s="24">
        <f>'2017-18_working'!T25+'2017-18_working'!U25</f>
        <v>5</v>
      </c>
      <c r="AD25" s="24">
        <f>'2017-18_working'!V25</f>
        <v>0</v>
      </c>
      <c r="AE25" s="24">
        <f>'2017-18_working'!W25</f>
        <v>0</v>
      </c>
      <c r="AF25" s="24">
        <f>'2017-18_working'!X25</f>
        <v>0</v>
      </c>
      <c r="AG25" s="24">
        <f>'2017-18_working'!Y25+'2017-18_working'!Z25</f>
        <v>0</v>
      </c>
      <c r="AH25" s="24">
        <f>'2017-18_working'!AA25</f>
        <v>1</v>
      </c>
      <c r="AI25" s="46">
        <f t="shared" si="41"/>
        <v>0</v>
      </c>
      <c r="AJ25" s="46">
        <f t="shared" si="42"/>
        <v>0.16666666666666666</v>
      </c>
      <c r="AK25" s="24"/>
      <c r="AL25" s="24">
        <f>'2017-18_working'!AC25+'2017-18_working'!AD25</f>
        <v>6</v>
      </c>
      <c r="AM25" s="24">
        <f>'2017-18_working'!AE25</f>
        <v>0</v>
      </c>
      <c r="AN25" s="24">
        <f>'2017-18_working'!AF25</f>
        <v>0</v>
      </c>
      <c r="AO25" s="24">
        <f>'2017-18_working'!AG25</f>
        <v>0</v>
      </c>
      <c r="AP25" s="24">
        <f>'2017-18_working'!AH25+'2017-18_working'!AI25</f>
        <v>0</v>
      </c>
      <c r="AQ25" s="24">
        <f>'2017-18_working'!AJ25</f>
        <v>3</v>
      </c>
      <c r="AR25" s="46">
        <f t="shared" si="48"/>
        <v>0</v>
      </c>
      <c r="AS25" s="46">
        <f t="shared" si="49"/>
        <v>0.33333333333333331</v>
      </c>
      <c r="AT25" s="24"/>
      <c r="AU25" s="22">
        <f t="shared" si="50"/>
        <v>68</v>
      </c>
      <c r="AV25" s="22">
        <f t="shared" si="51"/>
        <v>1</v>
      </c>
      <c r="AW25" s="22">
        <f t="shared" si="52"/>
        <v>1</v>
      </c>
      <c r="AX25" s="22">
        <f t="shared" si="53"/>
        <v>0</v>
      </c>
      <c r="AY25" s="22">
        <f t="shared" si="54"/>
        <v>0</v>
      </c>
      <c r="AZ25" s="22">
        <f t="shared" si="55"/>
        <v>18</v>
      </c>
      <c r="BA25" s="46">
        <f t="shared" si="56"/>
        <v>2.8571428571428571E-2</v>
      </c>
      <c r="BB25" s="46">
        <f t="shared" si="57"/>
        <v>0.20454545454545456</v>
      </c>
      <c r="BC25" s="19"/>
      <c r="BD25" s="20">
        <f t="shared" si="58"/>
        <v>88</v>
      </c>
      <c r="BE25" s="20">
        <v>88</v>
      </c>
      <c r="BF25" s="53">
        <f t="shared" si="59"/>
        <v>0</v>
      </c>
      <c r="BG25" s="19"/>
      <c r="BH25" s="19"/>
      <c r="BI25" s="19"/>
      <c r="BJ25" s="19"/>
      <c r="BK25" s="19"/>
    </row>
    <row r="26" spans="1:63" s="8" customFormat="1" ht="15" customHeight="1" x14ac:dyDescent="0.35">
      <c r="A26" s="2" t="s">
        <v>33</v>
      </c>
      <c r="B26" s="24">
        <f>'2017-18_working'!B26+'2017-18_working'!C26</f>
        <v>43</v>
      </c>
      <c r="C26" s="24">
        <f>'2017-18_working'!D26</f>
        <v>0</v>
      </c>
      <c r="D26" s="24">
        <f>'2017-18_working'!E26</f>
        <v>0</v>
      </c>
      <c r="E26" s="24">
        <f>'2017-18_working'!F26</f>
        <v>0</v>
      </c>
      <c r="F26" s="24">
        <f>'2017-18_working'!G26+'2017-18_working'!H26</f>
        <v>0</v>
      </c>
      <c r="G26" s="24">
        <f>'2017-18_working'!I26</f>
        <v>13</v>
      </c>
      <c r="H26" s="46">
        <f t="shared" si="19"/>
        <v>0</v>
      </c>
      <c r="I26" s="46">
        <f t="shared" si="20"/>
        <v>0.23214285714285715</v>
      </c>
      <c r="J26" s="24"/>
      <c r="K26" s="24">
        <f>'2017-18_working'!K26+'2017-18_working'!L26</f>
        <v>90</v>
      </c>
      <c r="L26" s="24">
        <f>'2017-18_working'!M26</f>
        <v>1</v>
      </c>
      <c r="M26" s="24">
        <f>'2017-18_working'!N26</f>
        <v>0</v>
      </c>
      <c r="N26" s="24">
        <f>'2017-18_working'!O26</f>
        <v>0</v>
      </c>
      <c r="O26" s="24">
        <f>'2017-18_working'!P26+'2017-18_working'!Q26</f>
        <v>0</v>
      </c>
      <c r="P26" s="24">
        <f>'2017-18_working'!R26</f>
        <v>8</v>
      </c>
      <c r="Q26" s="46">
        <f t="shared" si="26"/>
        <v>1.098901098901099E-2</v>
      </c>
      <c r="R26" s="46">
        <f t="shared" si="27"/>
        <v>8.0808080808080815E-2</v>
      </c>
      <c r="S26" s="24"/>
      <c r="T26" s="22">
        <f t="shared" si="28"/>
        <v>133</v>
      </c>
      <c r="U26" s="22">
        <f t="shared" si="29"/>
        <v>1</v>
      </c>
      <c r="V26" s="22">
        <f t="shared" si="30"/>
        <v>0</v>
      </c>
      <c r="W26" s="22">
        <f t="shared" si="31"/>
        <v>0</v>
      </c>
      <c r="X26" s="22">
        <f t="shared" si="32"/>
        <v>0</v>
      </c>
      <c r="Y26" s="22">
        <f t="shared" si="33"/>
        <v>21</v>
      </c>
      <c r="Z26" s="46">
        <f t="shared" si="34"/>
        <v>7.462686567164179E-3</v>
      </c>
      <c r="AA26" s="46">
        <f t="shared" si="35"/>
        <v>0.13548387096774195</v>
      </c>
      <c r="AB26" s="24"/>
      <c r="AC26" s="24">
        <f>'2017-18_working'!T26+'2017-18_working'!U26</f>
        <v>2</v>
      </c>
      <c r="AD26" s="24">
        <f>'2017-18_working'!V26</f>
        <v>0</v>
      </c>
      <c r="AE26" s="24">
        <f>'2017-18_working'!W26</f>
        <v>0</v>
      </c>
      <c r="AF26" s="24">
        <f>'2017-18_working'!X26</f>
        <v>0</v>
      </c>
      <c r="AG26" s="24">
        <f>'2017-18_working'!Y26+'2017-18_working'!Z26</f>
        <v>0</v>
      </c>
      <c r="AH26" s="24">
        <f>'2017-18_working'!AA26</f>
        <v>0</v>
      </c>
      <c r="AI26" s="46">
        <f t="shared" si="41"/>
        <v>0</v>
      </c>
      <c r="AJ26" s="46">
        <f t="shared" si="42"/>
        <v>0</v>
      </c>
      <c r="AK26" s="24"/>
      <c r="AL26" s="24">
        <f>'2017-18_working'!AC26+'2017-18_working'!AD26</f>
        <v>46</v>
      </c>
      <c r="AM26" s="24">
        <f>'2017-18_working'!AE26</f>
        <v>1</v>
      </c>
      <c r="AN26" s="24">
        <f>'2017-18_working'!AF26</f>
        <v>1</v>
      </c>
      <c r="AO26" s="24">
        <f>'2017-18_working'!AG26</f>
        <v>1</v>
      </c>
      <c r="AP26" s="24">
        <f>'2017-18_working'!AH26+'2017-18_working'!AI26</f>
        <v>0</v>
      </c>
      <c r="AQ26" s="24">
        <f>'2017-18_working'!AJ26</f>
        <v>3</v>
      </c>
      <c r="AR26" s="46">
        <f t="shared" si="48"/>
        <v>6.1224489795918366E-2</v>
      </c>
      <c r="AS26" s="46">
        <f t="shared" si="49"/>
        <v>5.7692307692307696E-2</v>
      </c>
      <c r="AT26" s="24"/>
      <c r="AU26" s="22">
        <f t="shared" si="50"/>
        <v>181</v>
      </c>
      <c r="AV26" s="22">
        <f t="shared" si="51"/>
        <v>2</v>
      </c>
      <c r="AW26" s="22">
        <f t="shared" si="52"/>
        <v>1</v>
      </c>
      <c r="AX26" s="22">
        <f t="shared" si="53"/>
        <v>1</v>
      </c>
      <c r="AY26" s="22">
        <f t="shared" si="54"/>
        <v>0</v>
      </c>
      <c r="AZ26" s="22">
        <f t="shared" si="55"/>
        <v>24</v>
      </c>
      <c r="BA26" s="46">
        <f t="shared" si="56"/>
        <v>2.1621621621621623E-2</v>
      </c>
      <c r="BB26" s="46">
        <f t="shared" si="57"/>
        <v>0.11483253588516747</v>
      </c>
      <c r="BC26" s="19"/>
      <c r="BD26" s="20">
        <f t="shared" si="58"/>
        <v>209</v>
      </c>
      <c r="BE26" s="20">
        <v>209</v>
      </c>
      <c r="BF26" s="53">
        <f t="shared" si="59"/>
        <v>0</v>
      </c>
      <c r="BG26" s="19"/>
      <c r="BH26" s="19"/>
      <c r="BI26" s="19"/>
      <c r="BJ26" s="19"/>
      <c r="BK26" s="19"/>
    </row>
    <row r="27" spans="1:63" s="8" customFormat="1" ht="15" customHeight="1" x14ac:dyDescent="0.35">
      <c r="A27" s="2" t="s">
        <v>34</v>
      </c>
      <c r="B27" s="24">
        <f>'2017-18_working'!B27+'2017-18_working'!C27</f>
        <v>21</v>
      </c>
      <c r="C27" s="24">
        <f>'2017-18_working'!D27</f>
        <v>0</v>
      </c>
      <c r="D27" s="24">
        <f>'2017-18_working'!E27</f>
        <v>0</v>
      </c>
      <c r="E27" s="24">
        <f>'2017-18_working'!F27</f>
        <v>0</v>
      </c>
      <c r="F27" s="24">
        <f>'2017-18_working'!G27+'2017-18_working'!H27</f>
        <v>0</v>
      </c>
      <c r="G27" s="24">
        <f>'2017-18_working'!I27</f>
        <v>0</v>
      </c>
      <c r="H27" s="46">
        <f t="shared" si="19"/>
        <v>0</v>
      </c>
      <c r="I27" s="46">
        <f t="shared" si="20"/>
        <v>0</v>
      </c>
      <c r="J27" s="24"/>
      <c r="K27" s="24">
        <f>'2017-18_working'!K27+'2017-18_working'!L27</f>
        <v>34</v>
      </c>
      <c r="L27" s="24">
        <f>'2017-18_working'!M27</f>
        <v>1</v>
      </c>
      <c r="M27" s="24">
        <f>'2017-18_working'!N27</f>
        <v>0</v>
      </c>
      <c r="N27" s="24">
        <f>'2017-18_working'!O27</f>
        <v>0</v>
      </c>
      <c r="O27" s="24">
        <f>'2017-18_working'!P27+'2017-18_working'!Q27</f>
        <v>0</v>
      </c>
      <c r="P27" s="24">
        <f>'2017-18_working'!R27</f>
        <v>2</v>
      </c>
      <c r="Q27" s="46">
        <f t="shared" si="26"/>
        <v>2.8571428571428571E-2</v>
      </c>
      <c r="R27" s="46">
        <f t="shared" si="27"/>
        <v>5.4054054054054057E-2</v>
      </c>
      <c r="S27" s="24"/>
      <c r="T27" s="22">
        <f t="shared" si="28"/>
        <v>55</v>
      </c>
      <c r="U27" s="22">
        <f t="shared" si="29"/>
        <v>1</v>
      </c>
      <c r="V27" s="22">
        <f t="shared" si="30"/>
        <v>0</v>
      </c>
      <c r="W27" s="22">
        <f t="shared" si="31"/>
        <v>0</v>
      </c>
      <c r="X27" s="22">
        <f t="shared" si="32"/>
        <v>0</v>
      </c>
      <c r="Y27" s="22">
        <f t="shared" si="33"/>
        <v>2</v>
      </c>
      <c r="Z27" s="46">
        <f t="shared" si="34"/>
        <v>1.7857142857142856E-2</v>
      </c>
      <c r="AA27" s="46">
        <f t="shared" si="35"/>
        <v>3.4482758620689655E-2</v>
      </c>
      <c r="AB27" s="24"/>
      <c r="AC27" s="24">
        <f>'2017-18_working'!T27+'2017-18_working'!U27</f>
        <v>2</v>
      </c>
      <c r="AD27" s="24">
        <f>'2017-18_working'!V27</f>
        <v>0</v>
      </c>
      <c r="AE27" s="24">
        <f>'2017-18_working'!W27</f>
        <v>0</v>
      </c>
      <c r="AF27" s="24">
        <f>'2017-18_working'!X27</f>
        <v>0</v>
      </c>
      <c r="AG27" s="24">
        <f>'2017-18_working'!Y27+'2017-18_working'!Z27</f>
        <v>0</v>
      </c>
      <c r="AH27" s="24">
        <f>'2017-18_working'!AA27</f>
        <v>0</v>
      </c>
      <c r="AI27" s="46">
        <f t="shared" si="41"/>
        <v>0</v>
      </c>
      <c r="AJ27" s="46">
        <f t="shared" si="42"/>
        <v>0</v>
      </c>
      <c r="AK27" s="24"/>
      <c r="AL27" s="24">
        <f>'2017-18_working'!AC27+'2017-18_working'!AD27</f>
        <v>12</v>
      </c>
      <c r="AM27" s="24">
        <f>'2017-18_working'!AE27</f>
        <v>0</v>
      </c>
      <c r="AN27" s="24">
        <f>'2017-18_working'!AF27</f>
        <v>0</v>
      </c>
      <c r="AO27" s="24">
        <f>'2017-18_working'!AG27</f>
        <v>0</v>
      </c>
      <c r="AP27" s="24">
        <f>'2017-18_working'!AH27+'2017-18_working'!AI27</f>
        <v>0</v>
      </c>
      <c r="AQ27" s="24">
        <f>'2017-18_working'!AJ27</f>
        <v>2</v>
      </c>
      <c r="AR27" s="46">
        <f t="shared" si="48"/>
        <v>0</v>
      </c>
      <c r="AS27" s="46">
        <f t="shared" si="49"/>
        <v>0.14285714285714285</v>
      </c>
      <c r="AT27" s="24"/>
      <c r="AU27" s="22">
        <f t="shared" si="50"/>
        <v>69</v>
      </c>
      <c r="AV27" s="22">
        <f t="shared" si="51"/>
        <v>1</v>
      </c>
      <c r="AW27" s="22">
        <f t="shared" si="52"/>
        <v>0</v>
      </c>
      <c r="AX27" s="22">
        <f t="shared" si="53"/>
        <v>0</v>
      </c>
      <c r="AY27" s="22">
        <f t="shared" si="54"/>
        <v>0</v>
      </c>
      <c r="AZ27" s="22">
        <f t="shared" si="55"/>
        <v>4</v>
      </c>
      <c r="BA27" s="46">
        <f t="shared" si="56"/>
        <v>1.4285714285714285E-2</v>
      </c>
      <c r="BB27" s="46">
        <f t="shared" si="57"/>
        <v>5.4054054054054057E-2</v>
      </c>
      <c r="BC27" s="19"/>
      <c r="BD27" s="20">
        <f t="shared" si="58"/>
        <v>74</v>
      </c>
      <c r="BE27" s="20">
        <v>74</v>
      </c>
      <c r="BF27" s="53">
        <f t="shared" si="59"/>
        <v>0</v>
      </c>
      <c r="BG27" s="19"/>
      <c r="BH27" s="19"/>
      <c r="BI27" s="19"/>
      <c r="BJ27" s="19"/>
      <c r="BK27" s="19"/>
    </row>
    <row r="28" spans="1:63" s="8" customFormat="1" ht="15" customHeight="1" x14ac:dyDescent="0.35">
      <c r="A28" s="2" t="s">
        <v>35</v>
      </c>
      <c r="B28" s="24">
        <f>'2017-18_working'!B28+'2017-18_working'!C28</f>
        <v>34</v>
      </c>
      <c r="C28" s="24">
        <f>'2017-18_working'!D28</f>
        <v>2</v>
      </c>
      <c r="D28" s="24">
        <f>'2017-18_working'!E28</f>
        <v>0</v>
      </c>
      <c r="E28" s="24">
        <f>'2017-18_working'!F28</f>
        <v>0</v>
      </c>
      <c r="F28" s="24">
        <f>'2017-18_working'!G28+'2017-18_working'!H28</f>
        <v>0</v>
      </c>
      <c r="G28" s="24">
        <f>'2017-18_working'!I28</f>
        <v>1</v>
      </c>
      <c r="H28" s="46">
        <f t="shared" si="19"/>
        <v>5.5555555555555552E-2</v>
      </c>
      <c r="I28" s="46">
        <f t="shared" si="20"/>
        <v>2.7027027027027029E-2</v>
      </c>
      <c r="J28" s="24"/>
      <c r="K28" s="24">
        <f>'2017-18_working'!K28+'2017-18_working'!L28</f>
        <v>35</v>
      </c>
      <c r="L28" s="24">
        <f>'2017-18_working'!M28</f>
        <v>0</v>
      </c>
      <c r="M28" s="24">
        <f>'2017-18_working'!N28</f>
        <v>0</v>
      </c>
      <c r="N28" s="24">
        <f>'2017-18_working'!O28</f>
        <v>0</v>
      </c>
      <c r="O28" s="24">
        <f>'2017-18_working'!P28+'2017-18_working'!Q28</f>
        <v>0</v>
      </c>
      <c r="P28" s="24">
        <f>'2017-18_working'!R28</f>
        <v>0</v>
      </c>
      <c r="Q28" s="46">
        <f t="shared" si="26"/>
        <v>0</v>
      </c>
      <c r="R28" s="46">
        <f t="shared" si="27"/>
        <v>0</v>
      </c>
      <c r="S28" s="24"/>
      <c r="T28" s="22">
        <f t="shared" si="28"/>
        <v>69</v>
      </c>
      <c r="U28" s="22">
        <f t="shared" si="29"/>
        <v>2</v>
      </c>
      <c r="V28" s="22">
        <f t="shared" si="30"/>
        <v>0</v>
      </c>
      <c r="W28" s="22">
        <f t="shared" si="31"/>
        <v>0</v>
      </c>
      <c r="X28" s="22">
        <f t="shared" si="32"/>
        <v>0</v>
      </c>
      <c r="Y28" s="22">
        <f t="shared" si="33"/>
        <v>1</v>
      </c>
      <c r="Z28" s="46">
        <f t="shared" si="34"/>
        <v>2.8169014084507043E-2</v>
      </c>
      <c r="AA28" s="46">
        <f t="shared" si="35"/>
        <v>1.3888888888888888E-2</v>
      </c>
      <c r="AB28" s="24"/>
      <c r="AC28" s="24">
        <f>'2017-18_working'!T28+'2017-18_working'!U28</f>
        <v>0</v>
      </c>
      <c r="AD28" s="24">
        <f>'2017-18_working'!V28</f>
        <v>0</v>
      </c>
      <c r="AE28" s="24">
        <f>'2017-18_working'!W28</f>
        <v>0</v>
      </c>
      <c r="AF28" s="24">
        <f>'2017-18_working'!X28</f>
        <v>0</v>
      </c>
      <c r="AG28" s="24">
        <f>'2017-18_working'!Y28+'2017-18_working'!Z28</f>
        <v>0</v>
      </c>
      <c r="AH28" s="24">
        <f>'2017-18_working'!AA28</f>
        <v>0</v>
      </c>
      <c r="AI28" s="46" t="str">
        <f t="shared" si="41"/>
        <v>-</v>
      </c>
      <c r="AJ28" s="46" t="str">
        <f t="shared" si="42"/>
        <v>-</v>
      </c>
      <c r="AK28" s="24"/>
      <c r="AL28" s="24">
        <f>'2017-18_working'!AC28+'2017-18_working'!AD28</f>
        <v>16</v>
      </c>
      <c r="AM28" s="24">
        <f>'2017-18_working'!AE28</f>
        <v>2</v>
      </c>
      <c r="AN28" s="24">
        <f>'2017-18_working'!AF28</f>
        <v>0</v>
      </c>
      <c r="AO28" s="24">
        <f>'2017-18_working'!AG28</f>
        <v>1</v>
      </c>
      <c r="AP28" s="24">
        <f>'2017-18_working'!AH28+'2017-18_working'!AI28</f>
        <v>1</v>
      </c>
      <c r="AQ28" s="24">
        <f>'2017-18_working'!AJ28</f>
        <v>0</v>
      </c>
      <c r="AR28" s="46">
        <f t="shared" si="48"/>
        <v>0.2</v>
      </c>
      <c r="AS28" s="46">
        <f t="shared" si="49"/>
        <v>0</v>
      </c>
      <c r="AT28" s="24"/>
      <c r="AU28" s="22">
        <f t="shared" si="50"/>
        <v>85</v>
      </c>
      <c r="AV28" s="22">
        <f t="shared" si="51"/>
        <v>4</v>
      </c>
      <c r="AW28" s="22">
        <f t="shared" si="52"/>
        <v>0</v>
      </c>
      <c r="AX28" s="22">
        <f t="shared" si="53"/>
        <v>1</v>
      </c>
      <c r="AY28" s="22">
        <f t="shared" si="54"/>
        <v>1</v>
      </c>
      <c r="AZ28" s="22">
        <f t="shared" si="55"/>
        <v>1</v>
      </c>
      <c r="BA28" s="46">
        <f t="shared" si="56"/>
        <v>6.5934065934065936E-2</v>
      </c>
      <c r="BB28" s="46">
        <f t="shared" si="57"/>
        <v>1.0869565217391304E-2</v>
      </c>
      <c r="BC28" s="19"/>
      <c r="BD28" s="20">
        <f t="shared" si="58"/>
        <v>92</v>
      </c>
      <c r="BE28" s="20">
        <v>92</v>
      </c>
      <c r="BF28" s="53">
        <f t="shared" si="59"/>
        <v>0</v>
      </c>
      <c r="BG28" s="19"/>
      <c r="BH28" s="19"/>
      <c r="BI28" s="19"/>
      <c r="BJ28" s="19"/>
      <c r="BK28" s="19"/>
    </row>
    <row r="29" spans="1:63" s="8" customFormat="1" ht="15" customHeight="1" x14ac:dyDescent="0.35">
      <c r="A29" s="2" t="s">
        <v>36</v>
      </c>
      <c r="B29" s="24">
        <f>'2017-18_working'!B29+'2017-18_working'!C29</f>
        <v>22</v>
      </c>
      <c r="C29" s="24">
        <f>'2017-18_working'!D29</f>
        <v>0</v>
      </c>
      <c r="D29" s="24">
        <f>'2017-18_working'!E29</f>
        <v>0</v>
      </c>
      <c r="E29" s="24">
        <f>'2017-18_working'!F29</f>
        <v>0</v>
      </c>
      <c r="F29" s="24">
        <f>'2017-18_working'!G29+'2017-18_working'!H29</f>
        <v>0</v>
      </c>
      <c r="G29" s="24">
        <f>'2017-18_working'!I29</f>
        <v>0</v>
      </c>
      <c r="H29" s="46">
        <f t="shared" si="19"/>
        <v>0</v>
      </c>
      <c r="I29" s="46">
        <f t="shared" si="20"/>
        <v>0</v>
      </c>
      <c r="J29" s="24"/>
      <c r="K29" s="24">
        <f>'2017-18_working'!K29+'2017-18_working'!L29</f>
        <v>46</v>
      </c>
      <c r="L29" s="24">
        <f>'2017-18_working'!M29</f>
        <v>0</v>
      </c>
      <c r="M29" s="24">
        <f>'2017-18_working'!N29</f>
        <v>0</v>
      </c>
      <c r="N29" s="24">
        <f>'2017-18_working'!O29</f>
        <v>0</v>
      </c>
      <c r="O29" s="24">
        <f>'2017-18_working'!P29+'2017-18_working'!Q29</f>
        <v>0</v>
      </c>
      <c r="P29" s="24">
        <f>'2017-18_working'!R29</f>
        <v>0</v>
      </c>
      <c r="Q29" s="46">
        <f t="shared" si="26"/>
        <v>0</v>
      </c>
      <c r="R29" s="46">
        <f t="shared" si="27"/>
        <v>0</v>
      </c>
      <c r="S29" s="24"/>
      <c r="T29" s="22">
        <f t="shared" si="28"/>
        <v>68</v>
      </c>
      <c r="U29" s="22">
        <f t="shared" si="29"/>
        <v>0</v>
      </c>
      <c r="V29" s="22">
        <f t="shared" si="30"/>
        <v>0</v>
      </c>
      <c r="W29" s="22">
        <f t="shared" si="31"/>
        <v>0</v>
      </c>
      <c r="X29" s="22">
        <f t="shared" si="32"/>
        <v>0</v>
      </c>
      <c r="Y29" s="22">
        <f t="shared" si="33"/>
        <v>0</v>
      </c>
      <c r="Z29" s="46">
        <f t="shared" si="34"/>
        <v>0</v>
      </c>
      <c r="AA29" s="46">
        <f t="shared" si="35"/>
        <v>0</v>
      </c>
      <c r="AB29" s="24"/>
      <c r="AC29" s="24">
        <f>'2017-18_working'!T29+'2017-18_working'!U29</f>
        <v>2</v>
      </c>
      <c r="AD29" s="24">
        <f>'2017-18_working'!V29</f>
        <v>0</v>
      </c>
      <c r="AE29" s="24">
        <f>'2017-18_working'!W29</f>
        <v>0</v>
      </c>
      <c r="AF29" s="24">
        <f>'2017-18_working'!X29</f>
        <v>0</v>
      </c>
      <c r="AG29" s="24">
        <f>'2017-18_working'!Y29+'2017-18_working'!Z29</f>
        <v>0</v>
      </c>
      <c r="AH29" s="24">
        <f>'2017-18_working'!AA29</f>
        <v>0</v>
      </c>
      <c r="AI29" s="46">
        <f t="shared" si="41"/>
        <v>0</v>
      </c>
      <c r="AJ29" s="46">
        <f t="shared" si="42"/>
        <v>0</v>
      </c>
      <c r="AK29" s="24"/>
      <c r="AL29" s="24">
        <f>'2017-18_working'!AC29+'2017-18_working'!AD29</f>
        <v>27</v>
      </c>
      <c r="AM29" s="24">
        <f>'2017-18_working'!AE29</f>
        <v>5</v>
      </c>
      <c r="AN29" s="24">
        <f>'2017-18_working'!AF29</f>
        <v>2</v>
      </c>
      <c r="AO29" s="24">
        <f>'2017-18_working'!AG29</f>
        <v>0</v>
      </c>
      <c r="AP29" s="24">
        <f>'2017-18_working'!AH29+'2017-18_working'!AI29</f>
        <v>0</v>
      </c>
      <c r="AQ29" s="24">
        <f>'2017-18_working'!AJ29</f>
        <v>0</v>
      </c>
      <c r="AR29" s="46">
        <f t="shared" si="48"/>
        <v>0.20588235294117646</v>
      </c>
      <c r="AS29" s="46">
        <f t="shared" si="49"/>
        <v>0</v>
      </c>
      <c r="AT29" s="24"/>
      <c r="AU29" s="22">
        <f t="shared" si="50"/>
        <v>97</v>
      </c>
      <c r="AV29" s="22">
        <f t="shared" si="51"/>
        <v>5</v>
      </c>
      <c r="AW29" s="22">
        <f t="shared" si="52"/>
        <v>2</v>
      </c>
      <c r="AX29" s="22">
        <f t="shared" si="53"/>
        <v>0</v>
      </c>
      <c r="AY29" s="22">
        <f t="shared" si="54"/>
        <v>0</v>
      </c>
      <c r="AZ29" s="22">
        <f t="shared" si="55"/>
        <v>0</v>
      </c>
      <c r="BA29" s="46">
        <f t="shared" si="56"/>
        <v>6.7307692307692304E-2</v>
      </c>
      <c r="BB29" s="46">
        <f t="shared" si="57"/>
        <v>0</v>
      </c>
      <c r="BC29" s="19"/>
      <c r="BD29" s="20">
        <f t="shared" si="58"/>
        <v>104</v>
      </c>
      <c r="BE29" s="20">
        <v>104</v>
      </c>
      <c r="BF29" s="53">
        <f t="shared" si="59"/>
        <v>0</v>
      </c>
      <c r="BG29" s="19"/>
      <c r="BH29" s="19"/>
      <c r="BI29" s="19"/>
      <c r="BJ29" s="19"/>
      <c r="BK29" s="19"/>
    </row>
    <row r="30" spans="1:63" s="8" customFormat="1" ht="15" customHeight="1" x14ac:dyDescent="0.35">
      <c r="A30" s="2" t="s">
        <v>37</v>
      </c>
      <c r="B30" s="24">
        <f>'2017-18_working'!B30+'2017-18_working'!C30</f>
        <v>0</v>
      </c>
      <c r="C30" s="24">
        <f>'2017-18_working'!D30</f>
        <v>0</v>
      </c>
      <c r="D30" s="24">
        <f>'2017-18_working'!E30</f>
        <v>0</v>
      </c>
      <c r="E30" s="24">
        <f>'2017-18_working'!F30</f>
        <v>0</v>
      </c>
      <c r="F30" s="24">
        <f>'2017-18_working'!G30+'2017-18_working'!H30</f>
        <v>0</v>
      </c>
      <c r="G30" s="24">
        <f>'2017-18_working'!I30</f>
        <v>0</v>
      </c>
      <c r="H30" s="46" t="str">
        <f t="shared" si="19"/>
        <v>-</v>
      </c>
      <c r="I30" s="46" t="str">
        <f t="shared" si="20"/>
        <v>-</v>
      </c>
      <c r="J30" s="24"/>
      <c r="K30" s="24">
        <f>'2017-18_working'!K30+'2017-18_working'!L30</f>
        <v>0</v>
      </c>
      <c r="L30" s="24">
        <f>'2017-18_working'!M30</f>
        <v>0</v>
      </c>
      <c r="M30" s="24">
        <f>'2017-18_working'!N30</f>
        <v>0</v>
      </c>
      <c r="N30" s="24">
        <f>'2017-18_working'!O30</f>
        <v>0</v>
      </c>
      <c r="O30" s="24">
        <f>'2017-18_working'!P30+'2017-18_working'!Q30</f>
        <v>0</v>
      </c>
      <c r="P30" s="24">
        <f>'2017-18_working'!R30</f>
        <v>0</v>
      </c>
      <c r="Q30" s="46" t="str">
        <f t="shared" si="26"/>
        <v>-</v>
      </c>
      <c r="R30" s="46" t="str">
        <f t="shared" si="27"/>
        <v>-</v>
      </c>
      <c r="S30" s="24"/>
      <c r="T30" s="22">
        <f t="shared" si="28"/>
        <v>0</v>
      </c>
      <c r="U30" s="22">
        <f t="shared" si="29"/>
        <v>0</v>
      </c>
      <c r="V30" s="22">
        <f t="shared" si="30"/>
        <v>0</v>
      </c>
      <c r="W30" s="22">
        <f t="shared" si="31"/>
        <v>0</v>
      </c>
      <c r="X30" s="22">
        <f t="shared" si="32"/>
        <v>0</v>
      </c>
      <c r="Y30" s="22">
        <f t="shared" si="33"/>
        <v>0</v>
      </c>
      <c r="Z30" s="46" t="str">
        <f t="shared" si="34"/>
        <v>-</v>
      </c>
      <c r="AA30" s="46" t="str">
        <f t="shared" si="35"/>
        <v>-</v>
      </c>
      <c r="AB30" s="24"/>
      <c r="AC30" s="24">
        <f>'2017-18_working'!T30+'2017-18_working'!U30</f>
        <v>0</v>
      </c>
      <c r="AD30" s="24">
        <f>'2017-18_working'!V30</f>
        <v>0</v>
      </c>
      <c r="AE30" s="24">
        <f>'2017-18_working'!W30</f>
        <v>0</v>
      </c>
      <c r="AF30" s="24">
        <f>'2017-18_working'!X30</f>
        <v>0</v>
      </c>
      <c r="AG30" s="24">
        <f>'2017-18_working'!Y30+'2017-18_working'!Z30</f>
        <v>0</v>
      </c>
      <c r="AH30" s="24">
        <f>'2017-18_working'!AA30</f>
        <v>0</v>
      </c>
      <c r="AI30" s="46" t="str">
        <f t="shared" si="41"/>
        <v>-</v>
      </c>
      <c r="AJ30" s="46" t="str">
        <f t="shared" si="42"/>
        <v>-</v>
      </c>
      <c r="AK30" s="24"/>
      <c r="AL30" s="24">
        <f>'2017-18_working'!AC30+'2017-18_working'!AD30</f>
        <v>2</v>
      </c>
      <c r="AM30" s="24">
        <f>'2017-18_working'!AE30</f>
        <v>0</v>
      </c>
      <c r="AN30" s="24">
        <f>'2017-18_working'!AF30</f>
        <v>0</v>
      </c>
      <c r="AO30" s="24">
        <f>'2017-18_working'!AG30</f>
        <v>0</v>
      </c>
      <c r="AP30" s="24">
        <f>'2017-18_working'!AH30+'2017-18_working'!AI30</f>
        <v>0</v>
      </c>
      <c r="AQ30" s="24">
        <f>'2017-18_working'!AJ30</f>
        <v>0</v>
      </c>
      <c r="AR30" s="46">
        <f t="shared" si="48"/>
        <v>0</v>
      </c>
      <c r="AS30" s="46">
        <f t="shared" si="49"/>
        <v>0</v>
      </c>
      <c r="AT30" s="24"/>
      <c r="AU30" s="22">
        <f t="shared" si="50"/>
        <v>2</v>
      </c>
      <c r="AV30" s="22">
        <f t="shared" si="51"/>
        <v>0</v>
      </c>
      <c r="AW30" s="22">
        <f t="shared" si="52"/>
        <v>0</v>
      </c>
      <c r="AX30" s="22">
        <f t="shared" si="53"/>
        <v>0</v>
      </c>
      <c r="AY30" s="22">
        <f t="shared" si="54"/>
        <v>0</v>
      </c>
      <c r="AZ30" s="22">
        <f t="shared" si="55"/>
        <v>0</v>
      </c>
      <c r="BA30" s="46">
        <f t="shared" si="56"/>
        <v>0</v>
      </c>
      <c r="BB30" s="46">
        <f t="shared" si="57"/>
        <v>0</v>
      </c>
      <c r="BC30" s="19"/>
      <c r="BD30" s="20">
        <f t="shared" si="58"/>
        <v>2</v>
      </c>
      <c r="BE30" s="20">
        <v>2</v>
      </c>
      <c r="BF30" s="53">
        <f t="shared" si="59"/>
        <v>0</v>
      </c>
      <c r="BG30" s="19"/>
      <c r="BH30" s="19"/>
      <c r="BI30" s="19"/>
      <c r="BJ30" s="19"/>
      <c r="BK30" s="19"/>
    </row>
    <row r="31" spans="1:63" s="8" customFormat="1" ht="15" customHeight="1" x14ac:dyDescent="0.35">
      <c r="A31" s="3" t="s">
        <v>38</v>
      </c>
      <c r="B31" s="24">
        <f>'2017-18_working'!B31+'2017-18_working'!C31</f>
        <v>4</v>
      </c>
      <c r="C31" s="24">
        <f>'2017-18_working'!D31</f>
        <v>0</v>
      </c>
      <c r="D31" s="24">
        <f>'2017-18_working'!E31</f>
        <v>0</v>
      </c>
      <c r="E31" s="24">
        <f>'2017-18_working'!F31</f>
        <v>0</v>
      </c>
      <c r="F31" s="24">
        <f>'2017-18_working'!G31+'2017-18_working'!H31</f>
        <v>0</v>
      </c>
      <c r="G31" s="24">
        <f>'2017-18_working'!I31</f>
        <v>25</v>
      </c>
      <c r="H31" s="46">
        <f t="shared" si="19"/>
        <v>0</v>
      </c>
      <c r="I31" s="46">
        <f t="shared" si="20"/>
        <v>0.86206896551724133</v>
      </c>
      <c r="J31" s="24"/>
      <c r="K31" s="24">
        <f>'2017-18_working'!K31+'2017-18_working'!L31</f>
        <v>8</v>
      </c>
      <c r="L31" s="24">
        <f>'2017-18_working'!M31</f>
        <v>0</v>
      </c>
      <c r="M31" s="24">
        <f>'2017-18_working'!N31</f>
        <v>0</v>
      </c>
      <c r="N31" s="24">
        <f>'2017-18_working'!O31</f>
        <v>0</v>
      </c>
      <c r="O31" s="24">
        <f>'2017-18_working'!P31+'2017-18_working'!Q31</f>
        <v>0</v>
      </c>
      <c r="P31" s="24">
        <f>'2017-18_working'!R31</f>
        <v>48</v>
      </c>
      <c r="Q31" s="46">
        <f t="shared" si="26"/>
        <v>0</v>
      </c>
      <c r="R31" s="46">
        <f t="shared" si="27"/>
        <v>0.8571428571428571</v>
      </c>
      <c r="S31" s="24"/>
      <c r="T31" s="22">
        <f t="shared" si="28"/>
        <v>12</v>
      </c>
      <c r="U31" s="22">
        <f t="shared" si="29"/>
        <v>0</v>
      </c>
      <c r="V31" s="22">
        <f t="shared" si="30"/>
        <v>0</v>
      </c>
      <c r="W31" s="22">
        <f t="shared" si="31"/>
        <v>0</v>
      </c>
      <c r="X31" s="22">
        <f t="shared" si="32"/>
        <v>0</v>
      </c>
      <c r="Y31" s="22">
        <f t="shared" si="33"/>
        <v>73</v>
      </c>
      <c r="Z31" s="46">
        <f t="shared" si="34"/>
        <v>0</v>
      </c>
      <c r="AA31" s="46">
        <f t="shared" si="35"/>
        <v>0.85882352941176465</v>
      </c>
      <c r="AB31" s="24"/>
      <c r="AC31" s="24">
        <f>'2017-18_working'!T31+'2017-18_working'!U31</f>
        <v>1</v>
      </c>
      <c r="AD31" s="24">
        <f>'2017-18_working'!V31</f>
        <v>0</v>
      </c>
      <c r="AE31" s="24">
        <f>'2017-18_working'!W31</f>
        <v>0</v>
      </c>
      <c r="AF31" s="24">
        <f>'2017-18_working'!X31</f>
        <v>0</v>
      </c>
      <c r="AG31" s="24">
        <f>'2017-18_working'!Y31+'2017-18_working'!Z31</f>
        <v>0</v>
      </c>
      <c r="AH31" s="24">
        <f>'2017-18_working'!AA31</f>
        <v>7</v>
      </c>
      <c r="AI31" s="46">
        <f t="shared" si="41"/>
        <v>0</v>
      </c>
      <c r="AJ31" s="46">
        <f t="shared" si="42"/>
        <v>0.875</v>
      </c>
      <c r="AK31" s="24"/>
      <c r="AL31" s="24">
        <f>'2017-18_working'!AC31+'2017-18_working'!AD31</f>
        <v>13</v>
      </c>
      <c r="AM31" s="24">
        <f>'2017-18_working'!AE31</f>
        <v>1</v>
      </c>
      <c r="AN31" s="24">
        <f>'2017-18_working'!AF31</f>
        <v>1</v>
      </c>
      <c r="AO31" s="24">
        <f>'2017-18_working'!AG31</f>
        <v>0</v>
      </c>
      <c r="AP31" s="24">
        <f>'2017-18_working'!AH31+'2017-18_working'!AI31</f>
        <v>0</v>
      </c>
      <c r="AQ31" s="24">
        <f>'2017-18_working'!AJ31</f>
        <v>37</v>
      </c>
      <c r="AR31" s="46">
        <f t="shared" si="48"/>
        <v>0.13333333333333333</v>
      </c>
      <c r="AS31" s="46">
        <f t="shared" si="49"/>
        <v>0.71153846153846156</v>
      </c>
      <c r="AT31" s="24"/>
      <c r="AU31" s="22">
        <f t="shared" si="50"/>
        <v>26</v>
      </c>
      <c r="AV31" s="22">
        <f t="shared" si="51"/>
        <v>1</v>
      </c>
      <c r="AW31" s="22">
        <f t="shared" si="52"/>
        <v>1</v>
      </c>
      <c r="AX31" s="22">
        <f t="shared" si="53"/>
        <v>0</v>
      </c>
      <c r="AY31" s="22">
        <f t="shared" si="54"/>
        <v>0</v>
      </c>
      <c r="AZ31" s="22">
        <f t="shared" si="55"/>
        <v>117</v>
      </c>
      <c r="BA31" s="46">
        <f t="shared" si="56"/>
        <v>7.1428571428571425E-2</v>
      </c>
      <c r="BB31" s="46">
        <f t="shared" si="57"/>
        <v>0.80689655172413788</v>
      </c>
      <c r="BC31" s="19"/>
      <c r="BD31" s="20">
        <f t="shared" si="58"/>
        <v>145</v>
      </c>
      <c r="BE31" s="20">
        <v>145</v>
      </c>
      <c r="BF31" s="53">
        <f t="shared" si="59"/>
        <v>0</v>
      </c>
      <c r="BG31" s="19"/>
      <c r="BH31" s="19"/>
      <c r="BI31" s="19"/>
      <c r="BJ31" s="19"/>
      <c r="BK31" s="19"/>
    </row>
    <row r="32" spans="1:63" s="8" customFormat="1" ht="15" customHeight="1" x14ac:dyDescent="0.35">
      <c r="A32" s="3" t="s">
        <v>39</v>
      </c>
      <c r="B32" s="24">
        <f>'2017-18_working'!B32+'2017-18_working'!C32</f>
        <v>52</v>
      </c>
      <c r="C32" s="24">
        <f>'2017-18_working'!D32</f>
        <v>2</v>
      </c>
      <c r="D32" s="24">
        <f>'2017-18_working'!E32</f>
        <v>2</v>
      </c>
      <c r="E32" s="24">
        <f>'2017-18_working'!F32</f>
        <v>0</v>
      </c>
      <c r="F32" s="24">
        <f>'2017-18_working'!G32+'2017-18_working'!H32</f>
        <v>0</v>
      </c>
      <c r="G32" s="24">
        <f>'2017-18_working'!I32</f>
        <v>0</v>
      </c>
      <c r="H32" s="46">
        <f t="shared" si="19"/>
        <v>7.1428571428571425E-2</v>
      </c>
      <c r="I32" s="46">
        <f t="shared" si="20"/>
        <v>0</v>
      </c>
      <c r="J32" s="24"/>
      <c r="K32" s="24">
        <f>'2017-18_working'!K32+'2017-18_working'!L32</f>
        <v>47</v>
      </c>
      <c r="L32" s="24">
        <f>'2017-18_working'!M32</f>
        <v>1</v>
      </c>
      <c r="M32" s="24">
        <f>'2017-18_working'!N32</f>
        <v>0</v>
      </c>
      <c r="N32" s="24">
        <f>'2017-18_working'!O32</f>
        <v>0</v>
      </c>
      <c r="O32" s="24">
        <f>'2017-18_working'!P32+'2017-18_working'!Q32</f>
        <v>0</v>
      </c>
      <c r="P32" s="24">
        <f>'2017-18_working'!R32</f>
        <v>9</v>
      </c>
      <c r="Q32" s="46">
        <f t="shared" si="26"/>
        <v>2.0833333333333332E-2</v>
      </c>
      <c r="R32" s="46">
        <f t="shared" si="27"/>
        <v>0.15789473684210525</v>
      </c>
      <c r="S32" s="24"/>
      <c r="T32" s="22">
        <f t="shared" si="28"/>
        <v>99</v>
      </c>
      <c r="U32" s="22">
        <f t="shared" si="29"/>
        <v>3</v>
      </c>
      <c r="V32" s="22">
        <f t="shared" si="30"/>
        <v>2</v>
      </c>
      <c r="W32" s="22">
        <f t="shared" si="31"/>
        <v>0</v>
      </c>
      <c r="X32" s="22">
        <f t="shared" si="32"/>
        <v>0</v>
      </c>
      <c r="Y32" s="22">
        <f t="shared" si="33"/>
        <v>9</v>
      </c>
      <c r="Z32" s="46">
        <f t="shared" si="34"/>
        <v>4.807692307692308E-2</v>
      </c>
      <c r="AA32" s="46">
        <f t="shared" si="35"/>
        <v>7.9646017699115043E-2</v>
      </c>
      <c r="AB32" s="24"/>
      <c r="AC32" s="24">
        <f>'2017-18_working'!T32+'2017-18_working'!U32</f>
        <v>0</v>
      </c>
      <c r="AD32" s="24">
        <f>'2017-18_working'!V32</f>
        <v>0</v>
      </c>
      <c r="AE32" s="24">
        <f>'2017-18_working'!W32</f>
        <v>0</v>
      </c>
      <c r="AF32" s="24">
        <f>'2017-18_working'!X32</f>
        <v>0</v>
      </c>
      <c r="AG32" s="24">
        <f>'2017-18_working'!Y32+'2017-18_working'!Z32</f>
        <v>0</v>
      </c>
      <c r="AH32" s="24">
        <f>'2017-18_working'!AA32</f>
        <v>0</v>
      </c>
      <c r="AI32" s="46" t="str">
        <f t="shared" si="41"/>
        <v>-</v>
      </c>
      <c r="AJ32" s="46" t="str">
        <f t="shared" si="42"/>
        <v>-</v>
      </c>
      <c r="AK32" s="24"/>
      <c r="AL32" s="24">
        <f>'2017-18_working'!AC32+'2017-18_working'!AD32</f>
        <v>39</v>
      </c>
      <c r="AM32" s="24">
        <f>'2017-18_working'!AE32</f>
        <v>1</v>
      </c>
      <c r="AN32" s="24">
        <f>'2017-18_working'!AF32</f>
        <v>2</v>
      </c>
      <c r="AO32" s="24">
        <f>'2017-18_working'!AG32</f>
        <v>1</v>
      </c>
      <c r="AP32" s="24">
        <f>'2017-18_working'!AH32+'2017-18_working'!AI32</f>
        <v>0</v>
      </c>
      <c r="AQ32" s="24">
        <f>'2017-18_working'!AJ32</f>
        <v>2</v>
      </c>
      <c r="AR32" s="46">
        <f t="shared" si="48"/>
        <v>9.3023255813953487E-2</v>
      </c>
      <c r="AS32" s="46">
        <f t="shared" si="49"/>
        <v>4.4444444444444446E-2</v>
      </c>
      <c r="AT32" s="24"/>
      <c r="AU32" s="22">
        <f t="shared" si="50"/>
        <v>138</v>
      </c>
      <c r="AV32" s="22">
        <f t="shared" si="51"/>
        <v>4</v>
      </c>
      <c r="AW32" s="22">
        <f t="shared" si="52"/>
        <v>4</v>
      </c>
      <c r="AX32" s="22">
        <f t="shared" si="53"/>
        <v>1</v>
      </c>
      <c r="AY32" s="22">
        <f t="shared" si="54"/>
        <v>0</v>
      </c>
      <c r="AZ32" s="22">
        <f t="shared" si="55"/>
        <v>11</v>
      </c>
      <c r="BA32" s="46">
        <f t="shared" si="56"/>
        <v>6.1224489795918366E-2</v>
      </c>
      <c r="BB32" s="46">
        <f t="shared" si="57"/>
        <v>6.9620253164556958E-2</v>
      </c>
      <c r="BC32" s="19"/>
      <c r="BD32" s="20">
        <f t="shared" si="58"/>
        <v>158</v>
      </c>
      <c r="BE32" s="20">
        <v>158</v>
      </c>
      <c r="BF32" s="53">
        <f t="shared" si="59"/>
        <v>0</v>
      </c>
      <c r="BG32" s="19"/>
      <c r="BH32" s="19"/>
      <c r="BI32" s="19"/>
      <c r="BJ32" s="19"/>
      <c r="BK32" s="19"/>
    </row>
    <row r="33" spans="1:63" s="8" customFormat="1" ht="15" customHeight="1" x14ac:dyDescent="0.35">
      <c r="A33" s="2" t="s">
        <v>40</v>
      </c>
      <c r="B33" s="24">
        <f>'2017-18_working'!B33+'2017-18_working'!C33</f>
        <v>12</v>
      </c>
      <c r="C33" s="24">
        <f>'2017-18_working'!D33</f>
        <v>4</v>
      </c>
      <c r="D33" s="24">
        <f>'2017-18_working'!E33</f>
        <v>1</v>
      </c>
      <c r="E33" s="24">
        <f>'2017-18_working'!F33</f>
        <v>0</v>
      </c>
      <c r="F33" s="24">
        <f>'2017-18_working'!G33+'2017-18_working'!H33</f>
        <v>0</v>
      </c>
      <c r="G33" s="24">
        <f>'2017-18_working'!I33</f>
        <v>8</v>
      </c>
      <c r="H33" s="46">
        <f t="shared" si="19"/>
        <v>0.29411764705882354</v>
      </c>
      <c r="I33" s="46">
        <f t="shared" si="20"/>
        <v>0.32</v>
      </c>
      <c r="J33" s="24"/>
      <c r="K33" s="24">
        <f>'2017-18_working'!K33+'2017-18_working'!L33</f>
        <v>18</v>
      </c>
      <c r="L33" s="24">
        <f>'2017-18_working'!M33</f>
        <v>0</v>
      </c>
      <c r="M33" s="24">
        <f>'2017-18_working'!N33</f>
        <v>0</v>
      </c>
      <c r="N33" s="24">
        <f>'2017-18_working'!O33</f>
        <v>0</v>
      </c>
      <c r="O33" s="24">
        <f>'2017-18_working'!P33+'2017-18_working'!Q33</f>
        <v>0</v>
      </c>
      <c r="P33" s="24">
        <f>'2017-18_working'!R33</f>
        <v>9</v>
      </c>
      <c r="Q33" s="46">
        <f t="shared" si="26"/>
        <v>0</v>
      </c>
      <c r="R33" s="46">
        <f t="shared" si="27"/>
        <v>0.33333333333333331</v>
      </c>
      <c r="S33" s="24"/>
      <c r="T33" s="22">
        <f t="shared" si="28"/>
        <v>30</v>
      </c>
      <c r="U33" s="22">
        <f t="shared" si="29"/>
        <v>4</v>
      </c>
      <c r="V33" s="22">
        <f t="shared" si="30"/>
        <v>1</v>
      </c>
      <c r="W33" s="22">
        <f t="shared" si="31"/>
        <v>0</v>
      </c>
      <c r="X33" s="22">
        <f t="shared" si="32"/>
        <v>0</v>
      </c>
      <c r="Y33" s="22">
        <f t="shared" si="33"/>
        <v>17</v>
      </c>
      <c r="Z33" s="46">
        <f t="shared" si="34"/>
        <v>0.14285714285714285</v>
      </c>
      <c r="AA33" s="46">
        <f t="shared" si="35"/>
        <v>0.32692307692307693</v>
      </c>
      <c r="AB33" s="24"/>
      <c r="AC33" s="24">
        <f>'2017-18_working'!T33+'2017-18_working'!U33</f>
        <v>2</v>
      </c>
      <c r="AD33" s="24">
        <f>'2017-18_working'!V33</f>
        <v>0</v>
      </c>
      <c r="AE33" s="24">
        <f>'2017-18_working'!W33</f>
        <v>0</v>
      </c>
      <c r="AF33" s="24">
        <f>'2017-18_working'!X33</f>
        <v>0</v>
      </c>
      <c r="AG33" s="24">
        <f>'2017-18_working'!Y33+'2017-18_working'!Z33</f>
        <v>0</v>
      </c>
      <c r="AH33" s="24">
        <f>'2017-18_working'!AA33</f>
        <v>0</v>
      </c>
      <c r="AI33" s="46">
        <f t="shared" si="41"/>
        <v>0</v>
      </c>
      <c r="AJ33" s="46">
        <f t="shared" si="42"/>
        <v>0</v>
      </c>
      <c r="AK33" s="24"/>
      <c r="AL33" s="24">
        <f>'2017-18_working'!AC33+'2017-18_working'!AD33</f>
        <v>6</v>
      </c>
      <c r="AM33" s="24">
        <f>'2017-18_working'!AE33</f>
        <v>1</v>
      </c>
      <c r="AN33" s="24">
        <f>'2017-18_working'!AF33</f>
        <v>1</v>
      </c>
      <c r="AO33" s="24">
        <f>'2017-18_working'!AG33</f>
        <v>0</v>
      </c>
      <c r="AP33" s="24">
        <f>'2017-18_working'!AH33+'2017-18_working'!AI33</f>
        <v>0</v>
      </c>
      <c r="AQ33" s="24">
        <f>'2017-18_working'!AJ33</f>
        <v>4</v>
      </c>
      <c r="AR33" s="46">
        <f t="shared" si="48"/>
        <v>0.25</v>
      </c>
      <c r="AS33" s="46">
        <f t="shared" si="49"/>
        <v>0.33333333333333331</v>
      </c>
      <c r="AT33" s="24"/>
      <c r="AU33" s="22">
        <f t="shared" si="50"/>
        <v>38</v>
      </c>
      <c r="AV33" s="22">
        <f t="shared" si="51"/>
        <v>5</v>
      </c>
      <c r="AW33" s="22">
        <f t="shared" si="52"/>
        <v>2</v>
      </c>
      <c r="AX33" s="22">
        <f t="shared" si="53"/>
        <v>0</v>
      </c>
      <c r="AY33" s="22">
        <f t="shared" si="54"/>
        <v>0</v>
      </c>
      <c r="AZ33" s="22">
        <f t="shared" si="55"/>
        <v>21</v>
      </c>
      <c r="BA33" s="46">
        <f t="shared" si="56"/>
        <v>0.15555555555555556</v>
      </c>
      <c r="BB33" s="46">
        <f t="shared" si="57"/>
        <v>0.31818181818181818</v>
      </c>
      <c r="BC33" s="19"/>
      <c r="BD33" s="20">
        <f t="shared" si="58"/>
        <v>66</v>
      </c>
      <c r="BE33" s="20">
        <v>66</v>
      </c>
      <c r="BF33" s="53">
        <f t="shared" si="59"/>
        <v>0</v>
      </c>
      <c r="BG33" s="19"/>
      <c r="BH33" s="19"/>
      <c r="BI33" s="19"/>
      <c r="BJ33" s="19"/>
      <c r="BK33" s="19"/>
    </row>
    <row r="34" spans="1:63" s="8" customFormat="1" ht="15" customHeight="1" x14ac:dyDescent="0.35">
      <c r="A34" s="3" t="s">
        <v>41</v>
      </c>
      <c r="B34" s="24">
        <f>'2017-18_working'!B34+'2017-18_working'!C34</f>
        <v>10</v>
      </c>
      <c r="C34" s="24">
        <f>'2017-18_working'!D34</f>
        <v>0</v>
      </c>
      <c r="D34" s="24">
        <f>'2017-18_working'!E34</f>
        <v>0</v>
      </c>
      <c r="E34" s="24">
        <f>'2017-18_working'!F34</f>
        <v>0</v>
      </c>
      <c r="F34" s="24">
        <f>'2017-18_working'!G34+'2017-18_working'!H34</f>
        <v>0</v>
      </c>
      <c r="G34" s="24">
        <f>'2017-18_working'!I34</f>
        <v>0</v>
      </c>
      <c r="H34" s="46">
        <f t="shared" si="19"/>
        <v>0</v>
      </c>
      <c r="I34" s="46">
        <f t="shared" si="20"/>
        <v>0</v>
      </c>
      <c r="J34" s="24"/>
      <c r="K34" s="24">
        <f>'2017-18_working'!K34+'2017-18_working'!L34</f>
        <v>44</v>
      </c>
      <c r="L34" s="24">
        <f>'2017-18_working'!M34</f>
        <v>1</v>
      </c>
      <c r="M34" s="24">
        <f>'2017-18_working'!N34</f>
        <v>0</v>
      </c>
      <c r="N34" s="24">
        <f>'2017-18_working'!O34</f>
        <v>0</v>
      </c>
      <c r="O34" s="24">
        <f>'2017-18_working'!P34+'2017-18_working'!Q34</f>
        <v>0</v>
      </c>
      <c r="P34" s="24">
        <f>'2017-18_working'!R34</f>
        <v>0</v>
      </c>
      <c r="Q34" s="46">
        <f t="shared" si="26"/>
        <v>2.2222222222222223E-2</v>
      </c>
      <c r="R34" s="46">
        <f t="shared" si="27"/>
        <v>0</v>
      </c>
      <c r="S34" s="24"/>
      <c r="T34" s="22">
        <f t="shared" si="28"/>
        <v>54</v>
      </c>
      <c r="U34" s="22">
        <f t="shared" si="29"/>
        <v>1</v>
      </c>
      <c r="V34" s="22">
        <f t="shared" si="30"/>
        <v>0</v>
      </c>
      <c r="W34" s="22">
        <f t="shared" si="31"/>
        <v>0</v>
      </c>
      <c r="X34" s="22">
        <f t="shared" si="32"/>
        <v>0</v>
      </c>
      <c r="Y34" s="22">
        <f t="shared" si="33"/>
        <v>0</v>
      </c>
      <c r="Z34" s="46">
        <f t="shared" si="34"/>
        <v>1.8181818181818181E-2</v>
      </c>
      <c r="AA34" s="46">
        <f t="shared" si="35"/>
        <v>0</v>
      </c>
      <c r="AB34" s="24"/>
      <c r="AC34" s="24">
        <f>'2017-18_working'!T34+'2017-18_working'!U34</f>
        <v>2</v>
      </c>
      <c r="AD34" s="24">
        <f>'2017-18_working'!V34</f>
        <v>0</v>
      </c>
      <c r="AE34" s="24">
        <f>'2017-18_working'!W34</f>
        <v>0</v>
      </c>
      <c r="AF34" s="24">
        <f>'2017-18_working'!X34</f>
        <v>0</v>
      </c>
      <c r="AG34" s="24">
        <f>'2017-18_working'!Y34+'2017-18_working'!Z34</f>
        <v>0</v>
      </c>
      <c r="AH34" s="24">
        <f>'2017-18_working'!AA34</f>
        <v>0</v>
      </c>
      <c r="AI34" s="46">
        <f t="shared" si="41"/>
        <v>0</v>
      </c>
      <c r="AJ34" s="46">
        <f t="shared" si="42"/>
        <v>0</v>
      </c>
      <c r="AK34" s="24"/>
      <c r="AL34" s="24">
        <f>'2017-18_working'!AC34+'2017-18_working'!AD34</f>
        <v>3</v>
      </c>
      <c r="AM34" s="24">
        <f>'2017-18_working'!AE34</f>
        <v>0</v>
      </c>
      <c r="AN34" s="24">
        <f>'2017-18_working'!AF34</f>
        <v>0</v>
      </c>
      <c r="AO34" s="24">
        <f>'2017-18_working'!AG34</f>
        <v>0</v>
      </c>
      <c r="AP34" s="24">
        <f>'2017-18_working'!AH34+'2017-18_working'!AI34</f>
        <v>0</v>
      </c>
      <c r="AQ34" s="24">
        <f>'2017-18_working'!AJ34</f>
        <v>0</v>
      </c>
      <c r="AR34" s="46">
        <f t="shared" si="48"/>
        <v>0</v>
      </c>
      <c r="AS34" s="46">
        <f t="shared" si="49"/>
        <v>0</v>
      </c>
      <c r="AT34" s="24"/>
      <c r="AU34" s="22">
        <f t="shared" si="50"/>
        <v>59</v>
      </c>
      <c r="AV34" s="22">
        <f t="shared" si="51"/>
        <v>1</v>
      </c>
      <c r="AW34" s="22">
        <f t="shared" si="52"/>
        <v>0</v>
      </c>
      <c r="AX34" s="22">
        <f t="shared" si="53"/>
        <v>0</v>
      </c>
      <c r="AY34" s="22">
        <f t="shared" si="54"/>
        <v>0</v>
      </c>
      <c r="AZ34" s="22">
        <f t="shared" si="55"/>
        <v>0</v>
      </c>
      <c r="BA34" s="46">
        <f t="shared" si="56"/>
        <v>1.6666666666666666E-2</v>
      </c>
      <c r="BB34" s="46">
        <f t="shared" si="57"/>
        <v>0</v>
      </c>
      <c r="BC34" s="19"/>
      <c r="BD34" s="20">
        <f t="shared" si="58"/>
        <v>60</v>
      </c>
      <c r="BE34" s="20">
        <v>60</v>
      </c>
      <c r="BF34" s="53">
        <f t="shared" si="59"/>
        <v>0</v>
      </c>
      <c r="BG34" s="19"/>
      <c r="BH34" s="19"/>
      <c r="BI34" s="19"/>
      <c r="BJ34" s="19"/>
      <c r="BK34" s="19"/>
    </row>
    <row r="35" spans="1:63" s="8" customFormat="1" ht="15" customHeight="1" x14ac:dyDescent="0.35">
      <c r="A35" s="3" t="s">
        <v>42</v>
      </c>
      <c r="B35" s="24">
        <f>'2017-18_working'!B35+'2017-18_working'!C35</f>
        <v>16</v>
      </c>
      <c r="C35" s="24">
        <f>'2017-18_working'!D35</f>
        <v>0</v>
      </c>
      <c r="D35" s="24">
        <f>'2017-18_working'!E35</f>
        <v>0</v>
      </c>
      <c r="E35" s="24">
        <f>'2017-18_working'!F35</f>
        <v>0</v>
      </c>
      <c r="F35" s="24">
        <f>'2017-18_working'!G35+'2017-18_working'!H35</f>
        <v>0</v>
      </c>
      <c r="G35" s="24">
        <f>'2017-18_working'!I35</f>
        <v>3</v>
      </c>
      <c r="H35" s="46">
        <f t="shared" si="19"/>
        <v>0</v>
      </c>
      <c r="I35" s="46">
        <f t="shared" si="20"/>
        <v>0.15789473684210525</v>
      </c>
      <c r="J35" s="24"/>
      <c r="K35" s="24">
        <f>'2017-18_working'!K35+'2017-18_working'!L35</f>
        <v>44</v>
      </c>
      <c r="L35" s="24">
        <f>'2017-18_working'!M35</f>
        <v>0</v>
      </c>
      <c r="M35" s="24">
        <f>'2017-18_working'!N35</f>
        <v>0</v>
      </c>
      <c r="N35" s="24">
        <f>'2017-18_working'!O35</f>
        <v>0</v>
      </c>
      <c r="O35" s="24">
        <f>'2017-18_working'!P35+'2017-18_working'!Q35</f>
        <v>0</v>
      </c>
      <c r="P35" s="24">
        <f>'2017-18_working'!R35</f>
        <v>12</v>
      </c>
      <c r="Q35" s="46">
        <f t="shared" si="26"/>
        <v>0</v>
      </c>
      <c r="R35" s="46">
        <f t="shared" si="27"/>
        <v>0.21428571428571427</v>
      </c>
      <c r="S35" s="24"/>
      <c r="T35" s="22">
        <f t="shared" si="28"/>
        <v>60</v>
      </c>
      <c r="U35" s="22">
        <f t="shared" si="29"/>
        <v>0</v>
      </c>
      <c r="V35" s="22">
        <f t="shared" si="30"/>
        <v>0</v>
      </c>
      <c r="W35" s="22">
        <f t="shared" si="31"/>
        <v>0</v>
      </c>
      <c r="X35" s="22">
        <f t="shared" si="32"/>
        <v>0</v>
      </c>
      <c r="Y35" s="22">
        <f t="shared" si="33"/>
        <v>15</v>
      </c>
      <c r="Z35" s="46">
        <f t="shared" si="34"/>
        <v>0</v>
      </c>
      <c r="AA35" s="46">
        <f t="shared" si="35"/>
        <v>0.2</v>
      </c>
      <c r="AB35" s="24"/>
      <c r="AC35" s="24">
        <f>'2017-18_working'!T35+'2017-18_working'!U35</f>
        <v>4</v>
      </c>
      <c r="AD35" s="24">
        <f>'2017-18_working'!V35</f>
        <v>0</v>
      </c>
      <c r="AE35" s="24">
        <f>'2017-18_working'!W35</f>
        <v>0</v>
      </c>
      <c r="AF35" s="24">
        <f>'2017-18_working'!X35</f>
        <v>0</v>
      </c>
      <c r="AG35" s="24">
        <f>'2017-18_working'!Y35+'2017-18_working'!Z35</f>
        <v>0</v>
      </c>
      <c r="AH35" s="24">
        <f>'2017-18_working'!AA35</f>
        <v>0</v>
      </c>
      <c r="AI35" s="46">
        <f t="shared" si="41"/>
        <v>0</v>
      </c>
      <c r="AJ35" s="46">
        <f t="shared" si="42"/>
        <v>0</v>
      </c>
      <c r="AK35" s="24"/>
      <c r="AL35" s="24">
        <f>'2017-18_working'!AC35+'2017-18_working'!AD35</f>
        <v>13</v>
      </c>
      <c r="AM35" s="24">
        <f>'2017-18_working'!AE35</f>
        <v>0</v>
      </c>
      <c r="AN35" s="24">
        <f>'2017-18_working'!AF35</f>
        <v>0</v>
      </c>
      <c r="AO35" s="24">
        <f>'2017-18_working'!AG35</f>
        <v>0</v>
      </c>
      <c r="AP35" s="24">
        <f>'2017-18_working'!AH35+'2017-18_working'!AI35</f>
        <v>0</v>
      </c>
      <c r="AQ35" s="24">
        <f>'2017-18_working'!AJ35</f>
        <v>3</v>
      </c>
      <c r="AR35" s="46">
        <f t="shared" si="48"/>
        <v>0</v>
      </c>
      <c r="AS35" s="46">
        <f t="shared" si="49"/>
        <v>0.1875</v>
      </c>
      <c r="AT35" s="24"/>
      <c r="AU35" s="22">
        <f t="shared" si="50"/>
        <v>77</v>
      </c>
      <c r="AV35" s="22">
        <f t="shared" si="51"/>
        <v>0</v>
      </c>
      <c r="AW35" s="22">
        <f t="shared" si="52"/>
        <v>0</v>
      </c>
      <c r="AX35" s="22">
        <f t="shared" si="53"/>
        <v>0</v>
      </c>
      <c r="AY35" s="22">
        <f t="shared" si="54"/>
        <v>0</v>
      </c>
      <c r="AZ35" s="22">
        <f t="shared" si="55"/>
        <v>18</v>
      </c>
      <c r="BA35" s="46">
        <f t="shared" si="56"/>
        <v>0</v>
      </c>
      <c r="BB35" s="46">
        <f t="shared" si="57"/>
        <v>0.18947368421052632</v>
      </c>
      <c r="BC35" s="19"/>
      <c r="BD35" s="20">
        <f t="shared" si="58"/>
        <v>95</v>
      </c>
      <c r="BE35" s="20">
        <v>95</v>
      </c>
      <c r="BF35" s="53">
        <f t="shared" si="59"/>
        <v>0</v>
      </c>
      <c r="BG35" s="19"/>
      <c r="BH35" s="19"/>
      <c r="BI35" s="19"/>
      <c r="BJ35" s="19"/>
      <c r="BK35" s="19"/>
    </row>
    <row r="36" spans="1:63" s="8" customFormat="1" ht="15" customHeight="1" x14ac:dyDescent="0.35">
      <c r="A36" s="2" t="s">
        <v>43</v>
      </c>
      <c r="B36" s="24">
        <f>'2017-18_working'!B36+'2017-18_working'!C36</f>
        <v>0</v>
      </c>
      <c r="C36" s="24">
        <f>'2017-18_working'!D36</f>
        <v>0</v>
      </c>
      <c r="D36" s="24">
        <f>'2017-18_working'!E36</f>
        <v>0</v>
      </c>
      <c r="E36" s="24">
        <f>'2017-18_working'!F36</f>
        <v>0</v>
      </c>
      <c r="F36" s="24">
        <f>'2017-18_working'!G36+'2017-18_working'!H36</f>
        <v>0</v>
      </c>
      <c r="G36" s="24">
        <f>'2017-18_working'!I36</f>
        <v>0</v>
      </c>
      <c r="H36" s="46" t="str">
        <f t="shared" si="19"/>
        <v>-</v>
      </c>
      <c r="I36" s="46" t="str">
        <f t="shared" si="20"/>
        <v>-</v>
      </c>
      <c r="J36" s="24"/>
      <c r="K36" s="24">
        <f>'2017-18_working'!K36+'2017-18_working'!L36</f>
        <v>0</v>
      </c>
      <c r="L36" s="24">
        <f>'2017-18_working'!M36</f>
        <v>0</v>
      </c>
      <c r="M36" s="24">
        <f>'2017-18_working'!N36</f>
        <v>0</v>
      </c>
      <c r="N36" s="24">
        <f>'2017-18_working'!O36</f>
        <v>0</v>
      </c>
      <c r="O36" s="24">
        <f>'2017-18_working'!P36+'2017-18_working'!Q36</f>
        <v>0</v>
      </c>
      <c r="P36" s="24">
        <f>'2017-18_working'!R36</f>
        <v>0</v>
      </c>
      <c r="Q36" s="46" t="str">
        <f t="shared" si="26"/>
        <v>-</v>
      </c>
      <c r="R36" s="46" t="str">
        <f t="shared" si="27"/>
        <v>-</v>
      </c>
      <c r="S36" s="24"/>
      <c r="T36" s="22">
        <f t="shared" si="28"/>
        <v>0</v>
      </c>
      <c r="U36" s="22">
        <f t="shared" si="29"/>
        <v>0</v>
      </c>
      <c r="V36" s="22">
        <f t="shared" si="30"/>
        <v>0</v>
      </c>
      <c r="W36" s="22">
        <f t="shared" si="31"/>
        <v>0</v>
      </c>
      <c r="X36" s="22">
        <f t="shared" si="32"/>
        <v>0</v>
      </c>
      <c r="Y36" s="22">
        <f t="shared" si="33"/>
        <v>0</v>
      </c>
      <c r="Z36" s="46" t="str">
        <f t="shared" si="34"/>
        <v>-</v>
      </c>
      <c r="AA36" s="46" t="str">
        <f t="shared" si="35"/>
        <v>-</v>
      </c>
      <c r="AB36" s="24"/>
      <c r="AC36" s="24">
        <f>'2017-18_working'!T36+'2017-18_working'!U36</f>
        <v>10</v>
      </c>
      <c r="AD36" s="24">
        <f>'2017-18_working'!V36</f>
        <v>0</v>
      </c>
      <c r="AE36" s="24">
        <f>'2017-18_working'!W36</f>
        <v>0</v>
      </c>
      <c r="AF36" s="24">
        <f>'2017-18_working'!X36</f>
        <v>0</v>
      </c>
      <c r="AG36" s="24">
        <f>'2017-18_working'!Y36+'2017-18_working'!Z36</f>
        <v>0</v>
      </c>
      <c r="AH36" s="24">
        <f>'2017-18_working'!AA36</f>
        <v>0</v>
      </c>
      <c r="AI36" s="46">
        <f t="shared" si="41"/>
        <v>0</v>
      </c>
      <c r="AJ36" s="46">
        <f t="shared" si="42"/>
        <v>0</v>
      </c>
      <c r="AK36" s="24"/>
      <c r="AL36" s="24">
        <f>'2017-18_working'!AC36+'2017-18_working'!AD36</f>
        <v>0</v>
      </c>
      <c r="AM36" s="24">
        <f>'2017-18_working'!AE36</f>
        <v>0</v>
      </c>
      <c r="AN36" s="24">
        <f>'2017-18_working'!AF36</f>
        <v>0</v>
      </c>
      <c r="AO36" s="24">
        <f>'2017-18_working'!AG36</f>
        <v>0</v>
      </c>
      <c r="AP36" s="24">
        <f>'2017-18_working'!AH36+'2017-18_working'!AI36</f>
        <v>0</v>
      </c>
      <c r="AQ36" s="24">
        <f>'2017-18_working'!AJ36</f>
        <v>0</v>
      </c>
      <c r="AR36" s="46" t="str">
        <f t="shared" si="48"/>
        <v>-</v>
      </c>
      <c r="AS36" s="46" t="str">
        <f t="shared" si="49"/>
        <v>-</v>
      </c>
      <c r="AT36" s="24"/>
      <c r="AU36" s="22">
        <f t="shared" si="50"/>
        <v>10</v>
      </c>
      <c r="AV36" s="22">
        <f t="shared" si="51"/>
        <v>0</v>
      </c>
      <c r="AW36" s="22">
        <f t="shared" si="52"/>
        <v>0</v>
      </c>
      <c r="AX36" s="22">
        <f t="shared" si="53"/>
        <v>0</v>
      </c>
      <c r="AY36" s="22">
        <f t="shared" si="54"/>
        <v>0</v>
      </c>
      <c r="AZ36" s="22">
        <f t="shared" si="55"/>
        <v>0</v>
      </c>
      <c r="BA36" s="46">
        <f t="shared" si="56"/>
        <v>0</v>
      </c>
      <c r="BB36" s="46">
        <f t="shared" si="57"/>
        <v>0</v>
      </c>
      <c r="BC36" s="19"/>
      <c r="BD36" s="20">
        <f t="shared" si="58"/>
        <v>10</v>
      </c>
      <c r="BE36" s="20">
        <v>10</v>
      </c>
      <c r="BF36" s="53">
        <f t="shared" si="59"/>
        <v>0</v>
      </c>
      <c r="BG36" s="19"/>
      <c r="BH36" s="19"/>
      <c r="BI36" s="19"/>
      <c r="BJ36" s="19"/>
      <c r="BK36" s="19"/>
    </row>
    <row r="37" spans="1:63" s="8" customFormat="1" ht="15" customHeight="1" x14ac:dyDescent="0.35">
      <c r="A37" s="3" t="s">
        <v>44</v>
      </c>
      <c r="B37" s="24">
        <f>'2017-18_working'!B37+'2017-18_working'!C37</f>
        <v>4</v>
      </c>
      <c r="C37" s="24">
        <f>'2017-18_working'!D37</f>
        <v>0</v>
      </c>
      <c r="D37" s="24">
        <f>'2017-18_working'!E37</f>
        <v>0</v>
      </c>
      <c r="E37" s="24">
        <f>'2017-18_working'!F37</f>
        <v>0</v>
      </c>
      <c r="F37" s="24">
        <f>'2017-18_working'!G37+'2017-18_working'!H37</f>
        <v>0</v>
      </c>
      <c r="G37" s="24">
        <f>'2017-18_working'!I37</f>
        <v>0</v>
      </c>
      <c r="H37" s="46">
        <f t="shared" si="19"/>
        <v>0</v>
      </c>
      <c r="I37" s="46">
        <f t="shared" si="20"/>
        <v>0</v>
      </c>
      <c r="J37" s="24"/>
      <c r="K37" s="24">
        <f>'2017-18_working'!K37+'2017-18_working'!L37</f>
        <v>49</v>
      </c>
      <c r="L37" s="24">
        <f>'2017-18_working'!M37</f>
        <v>0</v>
      </c>
      <c r="M37" s="24">
        <f>'2017-18_working'!N37</f>
        <v>0</v>
      </c>
      <c r="N37" s="24">
        <f>'2017-18_working'!O37</f>
        <v>0</v>
      </c>
      <c r="O37" s="24">
        <f>'2017-18_working'!P37+'2017-18_working'!Q37</f>
        <v>0</v>
      </c>
      <c r="P37" s="24">
        <f>'2017-18_working'!R37</f>
        <v>4</v>
      </c>
      <c r="Q37" s="46">
        <f t="shared" si="26"/>
        <v>0</v>
      </c>
      <c r="R37" s="46">
        <f t="shared" si="27"/>
        <v>7.5471698113207544E-2</v>
      </c>
      <c r="S37" s="24"/>
      <c r="T37" s="22">
        <f t="shared" si="28"/>
        <v>53</v>
      </c>
      <c r="U37" s="22">
        <f t="shared" si="29"/>
        <v>0</v>
      </c>
      <c r="V37" s="22">
        <f t="shared" si="30"/>
        <v>0</v>
      </c>
      <c r="W37" s="22">
        <f t="shared" si="31"/>
        <v>0</v>
      </c>
      <c r="X37" s="22">
        <f t="shared" si="32"/>
        <v>0</v>
      </c>
      <c r="Y37" s="22">
        <f t="shared" si="33"/>
        <v>4</v>
      </c>
      <c r="Z37" s="46">
        <f t="shared" si="34"/>
        <v>0</v>
      </c>
      <c r="AA37" s="46">
        <f t="shared" si="35"/>
        <v>7.0175438596491224E-2</v>
      </c>
      <c r="AB37" s="24"/>
      <c r="AC37" s="24">
        <f>'2017-18_working'!T37+'2017-18_working'!U37</f>
        <v>3</v>
      </c>
      <c r="AD37" s="24">
        <f>'2017-18_working'!V37</f>
        <v>0</v>
      </c>
      <c r="AE37" s="24">
        <f>'2017-18_working'!W37</f>
        <v>0</v>
      </c>
      <c r="AF37" s="24">
        <f>'2017-18_working'!X37</f>
        <v>0</v>
      </c>
      <c r="AG37" s="24">
        <f>'2017-18_working'!Y37+'2017-18_working'!Z37</f>
        <v>0</v>
      </c>
      <c r="AH37" s="24">
        <f>'2017-18_working'!AA37</f>
        <v>0</v>
      </c>
      <c r="AI37" s="46">
        <f t="shared" si="41"/>
        <v>0</v>
      </c>
      <c r="AJ37" s="46">
        <f t="shared" si="42"/>
        <v>0</v>
      </c>
      <c r="AK37" s="24"/>
      <c r="AL37" s="24">
        <f>'2017-18_working'!AC37+'2017-18_working'!AD37</f>
        <v>19</v>
      </c>
      <c r="AM37" s="24">
        <f>'2017-18_working'!AE37</f>
        <v>0</v>
      </c>
      <c r="AN37" s="24">
        <f>'2017-18_working'!AF37</f>
        <v>0</v>
      </c>
      <c r="AO37" s="24">
        <f>'2017-18_working'!AG37</f>
        <v>1</v>
      </c>
      <c r="AP37" s="24">
        <f>'2017-18_working'!AH37+'2017-18_working'!AI37</f>
        <v>0</v>
      </c>
      <c r="AQ37" s="24">
        <f>'2017-18_working'!AJ37</f>
        <v>0</v>
      </c>
      <c r="AR37" s="46">
        <f t="shared" si="48"/>
        <v>0.05</v>
      </c>
      <c r="AS37" s="46">
        <f t="shared" si="49"/>
        <v>0</v>
      </c>
      <c r="AT37" s="24"/>
      <c r="AU37" s="22">
        <f t="shared" si="50"/>
        <v>75</v>
      </c>
      <c r="AV37" s="22">
        <f t="shared" si="51"/>
        <v>0</v>
      </c>
      <c r="AW37" s="22">
        <f t="shared" si="52"/>
        <v>0</v>
      </c>
      <c r="AX37" s="22">
        <f t="shared" si="53"/>
        <v>1</v>
      </c>
      <c r="AY37" s="22">
        <f t="shared" si="54"/>
        <v>0</v>
      </c>
      <c r="AZ37" s="22">
        <f t="shared" si="55"/>
        <v>4</v>
      </c>
      <c r="BA37" s="46">
        <f t="shared" si="56"/>
        <v>1.3157894736842105E-2</v>
      </c>
      <c r="BB37" s="46">
        <f t="shared" si="57"/>
        <v>0.05</v>
      </c>
      <c r="BC37" s="19"/>
      <c r="BD37" s="20">
        <f t="shared" si="58"/>
        <v>80</v>
      </c>
      <c r="BE37" s="20">
        <v>80</v>
      </c>
      <c r="BF37" s="53">
        <f t="shared" si="59"/>
        <v>0</v>
      </c>
      <c r="BG37" s="19"/>
      <c r="BH37" s="19"/>
      <c r="BI37" s="19"/>
      <c r="BJ37" s="19"/>
      <c r="BK37" s="19"/>
    </row>
    <row r="38" spans="1:63" s="8" customFormat="1" ht="15" customHeight="1" x14ac:dyDescent="0.35">
      <c r="A38" s="3" t="s">
        <v>45</v>
      </c>
      <c r="B38" s="24">
        <f>'2017-18_working'!B38+'2017-18_working'!C38</f>
        <v>1</v>
      </c>
      <c r="C38" s="24">
        <f>'2017-18_working'!D38</f>
        <v>0</v>
      </c>
      <c r="D38" s="24">
        <f>'2017-18_working'!E38</f>
        <v>0</v>
      </c>
      <c r="E38" s="24">
        <f>'2017-18_working'!F38</f>
        <v>0</v>
      </c>
      <c r="F38" s="24">
        <f>'2017-18_working'!G38+'2017-18_working'!H38</f>
        <v>0</v>
      </c>
      <c r="G38" s="24">
        <f>'2017-18_working'!I38</f>
        <v>12</v>
      </c>
      <c r="H38" s="46">
        <f t="shared" si="19"/>
        <v>0</v>
      </c>
      <c r="I38" s="46">
        <f t="shared" si="20"/>
        <v>0.92307692307692313</v>
      </c>
      <c r="J38" s="24"/>
      <c r="K38" s="24">
        <f>'2017-18_working'!K38+'2017-18_working'!L38</f>
        <v>5</v>
      </c>
      <c r="L38" s="24">
        <f>'2017-18_working'!M38</f>
        <v>0</v>
      </c>
      <c r="M38" s="24">
        <f>'2017-18_working'!N38</f>
        <v>0</v>
      </c>
      <c r="N38" s="24">
        <f>'2017-18_working'!O38</f>
        <v>0</v>
      </c>
      <c r="O38" s="24">
        <f>'2017-18_working'!P38+'2017-18_working'!Q38</f>
        <v>0</v>
      </c>
      <c r="P38" s="24">
        <f>'2017-18_working'!R38</f>
        <v>29</v>
      </c>
      <c r="Q38" s="46">
        <f t="shared" si="26"/>
        <v>0</v>
      </c>
      <c r="R38" s="46">
        <f t="shared" si="27"/>
        <v>0.8529411764705882</v>
      </c>
      <c r="S38" s="24"/>
      <c r="T38" s="22">
        <f t="shared" si="28"/>
        <v>6</v>
      </c>
      <c r="U38" s="22">
        <f t="shared" si="29"/>
        <v>0</v>
      </c>
      <c r="V38" s="22">
        <f t="shared" si="30"/>
        <v>0</v>
      </c>
      <c r="W38" s="22">
        <f t="shared" si="31"/>
        <v>0</v>
      </c>
      <c r="X38" s="22">
        <f t="shared" si="32"/>
        <v>0</v>
      </c>
      <c r="Y38" s="22">
        <f t="shared" si="33"/>
        <v>41</v>
      </c>
      <c r="Z38" s="46">
        <f t="shared" si="34"/>
        <v>0</v>
      </c>
      <c r="AA38" s="46">
        <f t="shared" si="35"/>
        <v>0.87234042553191493</v>
      </c>
      <c r="AB38" s="24"/>
      <c r="AC38" s="24">
        <f>'2017-18_working'!T38+'2017-18_working'!U38</f>
        <v>0</v>
      </c>
      <c r="AD38" s="24">
        <f>'2017-18_working'!V38</f>
        <v>0</v>
      </c>
      <c r="AE38" s="24">
        <f>'2017-18_working'!W38</f>
        <v>0</v>
      </c>
      <c r="AF38" s="24">
        <f>'2017-18_working'!X38</f>
        <v>0</v>
      </c>
      <c r="AG38" s="24">
        <f>'2017-18_working'!Y38+'2017-18_working'!Z38</f>
        <v>0</v>
      </c>
      <c r="AH38" s="24">
        <f>'2017-18_working'!AA38</f>
        <v>0</v>
      </c>
      <c r="AI38" s="46" t="str">
        <f t="shared" si="41"/>
        <v>-</v>
      </c>
      <c r="AJ38" s="46" t="str">
        <f t="shared" si="42"/>
        <v>-</v>
      </c>
      <c r="AK38" s="24"/>
      <c r="AL38" s="24">
        <f>'2017-18_working'!AC38+'2017-18_working'!AD38</f>
        <v>2</v>
      </c>
      <c r="AM38" s="24">
        <f>'2017-18_working'!AE38</f>
        <v>0</v>
      </c>
      <c r="AN38" s="24">
        <f>'2017-18_working'!AF38</f>
        <v>0</v>
      </c>
      <c r="AO38" s="24">
        <f>'2017-18_working'!AG38</f>
        <v>1</v>
      </c>
      <c r="AP38" s="24">
        <f>'2017-18_working'!AH38+'2017-18_working'!AI38</f>
        <v>0</v>
      </c>
      <c r="AQ38" s="24">
        <f>'2017-18_working'!AJ38</f>
        <v>7</v>
      </c>
      <c r="AR38" s="46">
        <f t="shared" si="48"/>
        <v>0.33333333333333331</v>
      </c>
      <c r="AS38" s="46">
        <f t="shared" si="49"/>
        <v>0.7</v>
      </c>
      <c r="AT38" s="24"/>
      <c r="AU38" s="22">
        <f t="shared" si="50"/>
        <v>8</v>
      </c>
      <c r="AV38" s="22">
        <f t="shared" si="51"/>
        <v>0</v>
      </c>
      <c r="AW38" s="22">
        <f t="shared" si="52"/>
        <v>0</v>
      </c>
      <c r="AX38" s="22">
        <f t="shared" si="53"/>
        <v>1</v>
      </c>
      <c r="AY38" s="22">
        <f t="shared" si="54"/>
        <v>0</v>
      </c>
      <c r="AZ38" s="22">
        <f t="shared" si="55"/>
        <v>48</v>
      </c>
      <c r="BA38" s="46">
        <f t="shared" si="56"/>
        <v>0.1111111111111111</v>
      </c>
      <c r="BB38" s="46">
        <f t="shared" si="57"/>
        <v>0.84210526315789469</v>
      </c>
      <c r="BC38" s="19"/>
      <c r="BD38" s="20">
        <f t="shared" si="58"/>
        <v>57</v>
      </c>
      <c r="BE38" s="20">
        <v>57</v>
      </c>
      <c r="BF38" s="53">
        <f t="shared" si="59"/>
        <v>0</v>
      </c>
      <c r="BG38" s="19"/>
      <c r="BH38" s="19"/>
      <c r="BI38" s="19"/>
      <c r="BJ38" s="19"/>
      <c r="BK38" s="19"/>
    </row>
    <row r="39" spans="1:63" s="8" customFormat="1" ht="15" customHeight="1" x14ac:dyDescent="0.35">
      <c r="A39" s="3" t="s">
        <v>46</v>
      </c>
      <c r="B39" s="24">
        <f>'2017-18_working'!B39+'2017-18_working'!C39</f>
        <v>1</v>
      </c>
      <c r="C39" s="24">
        <f>'2017-18_working'!D39</f>
        <v>0</v>
      </c>
      <c r="D39" s="24">
        <f>'2017-18_working'!E39</f>
        <v>0</v>
      </c>
      <c r="E39" s="24">
        <f>'2017-18_working'!F39</f>
        <v>0</v>
      </c>
      <c r="F39" s="24">
        <f>'2017-18_working'!G39+'2017-18_working'!H39</f>
        <v>0</v>
      </c>
      <c r="G39" s="24">
        <f>'2017-18_working'!I39</f>
        <v>0</v>
      </c>
      <c r="H39" s="46">
        <f t="shared" si="19"/>
        <v>0</v>
      </c>
      <c r="I39" s="46">
        <f t="shared" si="20"/>
        <v>0</v>
      </c>
      <c r="J39" s="24"/>
      <c r="K39" s="24">
        <f>'2017-18_working'!K39+'2017-18_working'!L39</f>
        <v>18</v>
      </c>
      <c r="L39" s="24">
        <f>'2017-18_working'!M39</f>
        <v>0</v>
      </c>
      <c r="M39" s="24">
        <f>'2017-18_working'!N39</f>
        <v>0</v>
      </c>
      <c r="N39" s="24">
        <f>'2017-18_working'!O39</f>
        <v>0</v>
      </c>
      <c r="O39" s="24">
        <f>'2017-18_working'!P39+'2017-18_working'!Q39</f>
        <v>0</v>
      </c>
      <c r="P39" s="24">
        <f>'2017-18_working'!R39</f>
        <v>0</v>
      </c>
      <c r="Q39" s="46">
        <f t="shared" si="26"/>
        <v>0</v>
      </c>
      <c r="R39" s="46">
        <f t="shared" si="27"/>
        <v>0</v>
      </c>
      <c r="S39" s="24"/>
      <c r="T39" s="22">
        <f t="shared" si="28"/>
        <v>19</v>
      </c>
      <c r="U39" s="22">
        <f t="shared" si="29"/>
        <v>0</v>
      </c>
      <c r="V39" s="22">
        <f t="shared" si="30"/>
        <v>0</v>
      </c>
      <c r="W39" s="22">
        <f t="shared" si="31"/>
        <v>0</v>
      </c>
      <c r="X39" s="22">
        <f t="shared" si="32"/>
        <v>0</v>
      </c>
      <c r="Y39" s="22">
        <f t="shared" si="33"/>
        <v>0</v>
      </c>
      <c r="Z39" s="46">
        <f t="shared" si="34"/>
        <v>0</v>
      </c>
      <c r="AA39" s="46">
        <f t="shared" si="35"/>
        <v>0</v>
      </c>
      <c r="AB39" s="24"/>
      <c r="AC39" s="24">
        <f>'2017-18_working'!T39+'2017-18_working'!U39</f>
        <v>1</v>
      </c>
      <c r="AD39" s="24">
        <f>'2017-18_working'!V39</f>
        <v>0</v>
      </c>
      <c r="AE39" s="24">
        <f>'2017-18_working'!W39</f>
        <v>0</v>
      </c>
      <c r="AF39" s="24">
        <f>'2017-18_working'!X39</f>
        <v>0</v>
      </c>
      <c r="AG39" s="24">
        <f>'2017-18_working'!Y39+'2017-18_working'!Z39</f>
        <v>0</v>
      </c>
      <c r="AH39" s="24">
        <f>'2017-18_working'!AA39</f>
        <v>0</v>
      </c>
      <c r="AI39" s="46">
        <f t="shared" si="41"/>
        <v>0</v>
      </c>
      <c r="AJ39" s="46">
        <f t="shared" si="42"/>
        <v>0</v>
      </c>
      <c r="AK39" s="24"/>
      <c r="AL39" s="24">
        <f>'2017-18_working'!AC39+'2017-18_working'!AD39</f>
        <v>1</v>
      </c>
      <c r="AM39" s="24">
        <f>'2017-18_working'!AE39</f>
        <v>0</v>
      </c>
      <c r="AN39" s="24">
        <f>'2017-18_working'!AF39</f>
        <v>0</v>
      </c>
      <c r="AO39" s="24">
        <f>'2017-18_working'!AG39</f>
        <v>0</v>
      </c>
      <c r="AP39" s="24">
        <f>'2017-18_working'!AH39+'2017-18_working'!AI39</f>
        <v>0</v>
      </c>
      <c r="AQ39" s="24">
        <f>'2017-18_working'!AJ39</f>
        <v>3</v>
      </c>
      <c r="AR39" s="46">
        <f t="shared" si="48"/>
        <v>0</v>
      </c>
      <c r="AS39" s="46">
        <f t="shared" si="49"/>
        <v>0.75</v>
      </c>
      <c r="AT39" s="24"/>
      <c r="AU39" s="22">
        <f t="shared" si="50"/>
        <v>21</v>
      </c>
      <c r="AV39" s="22">
        <f t="shared" si="51"/>
        <v>0</v>
      </c>
      <c r="AW39" s="22">
        <f t="shared" si="52"/>
        <v>0</v>
      </c>
      <c r="AX39" s="22">
        <f t="shared" si="53"/>
        <v>0</v>
      </c>
      <c r="AY39" s="22">
        <f t="shared" si="54"/>
        <v>0</v>
      </c>
      <c r="AZ39" s="22">
        <f t="shared" si="55"/>
        <v>3</v>
      </c>
      <c r="BA39" s="46">
        <f t="shared" si="56"/>
        <v>0</v>
      </c>
      <c r="BB39" s="46">
        <f t="shared" si="57"/>
        <v>0.125</v>
      </c>
      <c r="BC39" s="19"/>
      <c r="BD39" s="20">
        <f t="shared" si="58"/>
        <v>24</v>
      </c>
      <c r="BE39" s="20">
        <v>24</v>
      </c>
      <c r="BF39" s="53">
        <f t="shared" si="59"/>
        <v>0</v>
      </c>
      <c r="BG39" s="19"/>
      <c r="BH39" s="19"/>
      <c r="BI39" s="19"/>
      <c r="BJ39" s="19"/>
      <c r="BK39" s="19"/>
    </row>
    <row r="40" spans="1:63" s="8" customFormat="1" ht="15" customHeight="1" x14ac:dyDescent="0.35">
      <c r="A40" s="2" t="s">
        <v>47</v>
      </c>
      <c r="B40" s="24">
        <f>'2017-18_working'!B40+'2017-18_working'!C40</f>
        <v>13</v>
      </c>
      <c r="C40" s="24">
        <f>'2017-18_working'!D40</f>
        <v>0</v>
      </c>
      <c r="D40" s="24">
        <f>'2017-18_working'!E40</f>
        <v>0</v>
      </c>
      <c r="E40" s="24">
        <f>'2017-18_working'!F40</f>
        <v>0</v>
      </c>
      <c r="F40" s="24">
        <f>'2017-18_working'!G40+'2017-18_working'!H40</f>
        <v>0</v>
      </c>
      <c r="G40" s="24">
        <f>'2017-18_working'!I40</f>
        <v>0</v>
      </c>
      <c r="H40" s="46">
        <f t="shared" si="19"/>
        <v>0</v>
      </c>
      <c r="I40" s="46">
        <f t="shared" si="20"/>
        <v>0</v>
      </c>
      <c r="J40" s="24"/>
      <c r="K40" s="24">
        <f>'2017-18_working'!K40+'2017-18_working'!L40</f>
        <v>33</v>
      </c>
      <c r="L40" s="24">
        <f>'2017-18_working'!M40</f>
        <v>0</v>
      </c>
      <c r="M40" s="24">
        <f>'2017-18_working'!N40</f>
        <v>0</v>
      </c>
      <c r="N40" s="24">
        <f>'2017-18_working'!O40</f>
        <v>0</v>
      </c>
      <c r="O40" s="24">
        <f>'2017-18_working'!P40+'2017-18_working'!Q40</f>
        <v>0</v>
      </c>
      <c r="P40" s="24">
        <f>'2017-18_working'!R40</f>
        <v>3</v>
      </c>
      <c r="Q40" s="46">
        <f t="shared" si="26"/>
        <v>0</v>
      </c>
      <c r="R40" s="46">
        <f t="shared" si="27"/>
        <v>8.3333333333333329E-2</v>
      </c>
      <c r="S40" s="24"/>
      <c r="T40" s="22">
        <f t="shared" si="28"/>
        <v>46</v>
      </c>
      <c r="U40" s="22">
        <f t="shared" si="29"/>
        <v>0</v>
      </c>
      <c r="V40" s="22">
        <f t="shared" si="30"/>
        <v>0</v>
      </c>
      <c r="W40" s="22">
        <f t="shared" si="31"/>
        <v>0</v>
      </c>
      <c r="X40" s="22">
        <f t="shared" si="32"/>
        <v>0</v>
      </c>
      <c r="Y40" s="22">
        <f t="shared" si="33"/>
        <v>3</v>
      </c>
      <c r="Z40" s="46">
        <f t="shared" si="34"/>
        <v>0</v>
      </c>
      <c r="AA40" s="46">
        <f t="shared" si="35"/>
        <v>6.1224489795918366E-2</v>
      </c>
      <c r="AB40" s="24"/>
      <c r="AC40" s="24">
        <f>'2017-18_working'!T40+'2017-18_working'!U40</f>
        <v>1</v>
      </c>
      <c r="AD40" s="24">
        <f>'2017-18_working'!V40</f>
        <v>0</v>
      </c>
      <c r="AE40" s="24">
        <f>'2017-18_working'!W40</f>
        <v>0</v>
      </c>
      <c r="AF40" s="24">
        <f>'2017-18_working'!X40</f>
        <v>0</v>
      </c>
      <c r="AG40" s="24">
        <f>'2017-18_working'!Y40+'2017-18_working'!Z40</f>
        <v>0</v>
      </c>
      <c r="AH40" s="24">
        <f>'2017-18_working'!AA40</f>
        <v>0</v>
      </c>
      <c r="AI40" s="46">
        <f t="shared" si="41"/>
        <v>0</v>
      </c>
      <c r="AJ40" s="46">
        <f t="shared" si="42"/>
        <v>0</v>
      </c>
      <c r="AK40" s="24"/>
      <c r="AL40" s="24">
        <f>'2017-18_working'!AC40+'2017-18_working'!AD40</f>
        <v>10</v>
      </c>
      <c r="AM40" s="24">
        <f>'2017-18_working'!AE40</f>
        <v>0</v>
      </c>
      <c r="AN40" s="24">
        <f>'2017-18_working'!AF40</f>
        <v>0</v>
      </c>
      <c r="AO40" s="24">
        <f>'2017-18_working'!AG40</f>
        <v>2</v>
      </c>
      <c r="AP40" s="24">
        <f>'2017-18_working'!AH40+'2017-18_working'!AI40</f>
        <v>0</v>
      </c>
      <c r="AQ40" s="24">
        <f>'2017-18_working'!AJ40</f>
        <v>7</v>
      </c>
      <c r="AR40" s="46">
        <f t="shared" si="48"/>
        <v>0.16666666666666666</v>
      </c>
      <c r="AS40" s="46">
        <f t="shared" si="49"/>
        <v>0.36842105263157893</v>
      </c>
      <c r="AT40" s="24"/>
      <c r="AU40" s="22">
        <f t="shared" si="50"/>
        <v>57</v>
      </c>
      <c r="AV40" s="22">
        <f t="shared" si="51"/>
        <v>0</v>
      </c>
      <c r="AW40" s="22">
        <f t="shared" si="52"/>
        <v>0</v>
      </c>
      <c r="AX40" s="22">
        <f t="shared" si="53"/>
        <v>2</v>
      </c>
      <c r="AY40" s="22">
        <f t="shared" si="54"/>
        <v>0</v>
      </c>
      <c r="AZ40" s="22">
        <f t="shared" si="55"/>
        <v>10</v>
      </c>
      <c r="BA40" s="46">
        <f t="shared" si="56"/>
        <v>3.3898305084745763E-2</v>
      </c>
      <c r="BB40" s="46">
        <f t="shared" si="57"/>
        <v>0.14492753623188406</v>
      </c>
      <c r="BC40" s="19"/>
      <c r="BD40" s="20">
        <f t="shared" si="58"/>
        <v>69</v>
      </c>
      <c r="BE40" s="20">
        <v>69</v>
      </c>
      <c r="BF40" s="53">
        <f t="shared" si="59"/>
        <v>0</v>
      </c>
      <c r="BG40" s="19"/>
      <c r="BH40" s="19"/>
      <c r="BI40" s="19"/>
      <c r="BJ40" s="19"/>
      <c r="BK40" s="19"/>
    </row>
    <row r="41" spans="1:63" s="8" customFormat="1" ht="15" customHeight="1" x14ac:dyDescent="0.35">
      <c r="A41" s="2" t="s">
        <v>48</v>
      </c>
      <c r="B41" s="24">
        <f>'2017-18_working'!B41+'2017-18_working'!C41</f>
        <v>0</v>
      </c>
      <c r="C41" s="24">
        <f>'2017-18_working'!D41</f>
        <v>0</v>
      </c>
      <c r="D41" s="24">
        <f>'2017-18_working'!E41</f>
        <v>0</v>
      </c>
      <c r="E41" s="24">
        <f>'2017-18_working'!F41</f>
        <v>0</v>
      </c>
      <c r="F41" s="24">
        <f>'2017-18_working'!G41+'2017-18_working'!H41</f>
        <v>0</v>
      </c>
      <c r="G41" s="24">
        <f>'2017-18_working'!I41</f>
        <v>0</v>
      </c>
      <c r="H41" s="46" t="str">
        <f t="shared" si="19"/>
        <v>-</v>
      </c>
      <c r="I41" s="46" t="str">
        <f t="shared" si="20"/>
        <v>-</v>
      </c>
      <c r="J41" s="24"/>
      <c r="K41" s="24">
        <f>'2017-18_working'!K41+'2017-18_working'!L41</f>
        <v>66</v>
      </c>
      <c r="L41" s="24">
        <f>'2017-18_working'!M41</f>
        <v>0</v>
      </c>
      <c r="M41" s="24">
        <f>'2017-18_working'!N41</f>
        <v>0</v>
      </c>
      <c r="N41" s="24">
        <f>'2017-18_working'!O41</f>
        <v>0</v>
      </c>
      <c r="O41" s="24">
        <f>'2017-18_working'!P41+'2017-18_working'!Q41</f>
        <v>1</v>
      </c>
      <c r="P41" s="24">
        <f>'2017-18_working'!R41</f>
        <v>7</v>
      </c>
      <c r="Q41" s="46">
        <f t="shared" si="26"/>
        <v>1.4925373134328358E-2</v>
      </c>
      <c r="R41" s="46">
        <f t="shared" si="27"/>
        <v>9.45945945945946E-2</v>
      </c>
      <c r="S41" s="24"/>
      <c r="T41" s="22">
        <f t="shared" si="28"/>
        <v>66</v>
      </c>
      <c r="U41" s="22">
        <f t="shared" si="29"/>
        <v>0</v>
      </c>
      <c r="V41" s="22">
        <f t="shared" si="30"/>
        <v>0</v>
      </c>
      <c r="W41" s="22">
        <f t="shared" si="31"/>
        <v>0</v>
      </c>
      <c r="X41" s="22">
        <f t="shared" si="32"/>
        <v>1</v>
      </c>
      <c r="Y41" s="22">
        <f t="shared" si="33"/>
        <v>7</v>
      </c>
      <c r="Z41" s="46">
        <f t="shared" si="34"/>
        <v>1.4925373134328358E-2</v>
      </c>
      <c r="AA41" s="46">
        <f t="shared" si="35"/>
        <v>9.45945945945946E-2</v>
      </c>
      <c r="AB41" s="24"/>
      <c r="AC41" s="24">
        <f>'2017-18_working'!T41+'2017-18_working'!U41</f>
        <v>0</v>
      </c>
      <c r="AD41" s="24">
        <f>'2017-18_working'!V41</f>
        <v>0</v>
      </c>
      <c r="AE41" s="24">
        <f>'2017-18_working'!W41</f>
        <v>0</v>
      </c>
      <c r="AF41" s="24">
        <f>'2017-18_working'!X41</f>
        <v>0</v>
      </c>
      <c r="AG41" s="24">
        <f>'2017-18_working'!Y41+'2017-18_working'!Z41</f>
        <v>0</v>
      </c>
      <c r="AH41" s="24">
        <f>'2017-18_working'!AA41</f>
        <v>0</v>
      </c>
      <c r="AI41" s="46" t="str">
        <f t="shared" si="41"/>
        <v>-</v>
      </c>
      <c r="AJ41" s="46" t="str">
        <f t="shared" si="42"/>
        <v>-</v>
      </c>
      <c r="AK41" s="24"/>
      <c r="AL41" s="24">
        <f>'2017-18_working'!AC41+'2017-18_working'!AD41</f>
        <v>4</v>
      </c>
      <c r="AM41" s="24">
        <f>'2017-18_working'!AE41</f>
        <v>0</v>
      </c>
      <c r="AN41" s="24">
        <f>'2017-18_working'!AF41</f>
        <v>0</v>
      </c>
      <c r="AO41" s="24">
        <f>'2017-18_working'!AG41</f>
        <v>0</v>
      </c>
      <c r="AP41" s="24">
        <f>'2017-18_working'!AH41+'2017-18_working'!AI41</f>
        <v>0</v>
      </c>
      <c r="AQ41" s="24">
        <f>'2017-18_working'!AJ41</f>
        <v>0</v>
      </c>
      <c r="AR41" s="46">
        <f t="shared" si="48"/>
        <v>0</v>
      </c>
      <c r="AS41" s="46">
        <f t="shared" si="49"/>
        <v>0</v>
      </c>
      <c r="AT41" s="24"/>
      <c r="AU41" s="22">
        <f t="shared" si="50"/>
        <v>70</v>
      </c>
      <c r="AV41" s="22">
        <f t="shared" si="51"/>
        <v>0</v>
      </c>
      <c r="AW41" s="22">
        <f t="shared" si="52"/>
        <v>0</v>
      </c>
      <c r="AX41" s="22">
        <f t="shared" si="53"/>
        <v>0</v>
      </c>
      <c r="AY41" s="22">
        <f t="shared" si="54"/>
        <v>1</v>
      </c>
      <c r="AZ41" s="22">
        <f t="shared" si="55"/>
        <v>7</v>
      </c>
      <c r="BA41" s="46">
        <f t="shared" si="56"/>
        <v>1.4084507042253521E-2</v>
      </c>
      <c r="BB41" s="46">
        <f t="shared" si="57"/>
        <v>8.9743589743589744E-2</v>
      </c>
      <c r="BC41" s="19"/>
      <c r="BD41" s="20">
        <f t="shared" si="58"/>
        <v>78</v>
      </c>
      <c r="BE41" s="20">
        <v>78</v>
      </c>
      <c r="BF41" s="53">
        <f t="shared" si="59"/>
        <v>0</v>
      </c>
      <c r="BG41" s="19"/>
      <c r="BH41" s="19"/>
      <c r="BI41" s="19"/>
      <c r="BJ41" s="19"/>
      <c r="BK41" s="19"/>
    </row>
    <row r="42" spans="1:63" s="8" customFormat="1" ht="15" customHeight="1" x14ac:dyDescent="0.35">
      <c r="A42" s="2" t="s">
        <v>49</v>
      </c>
      <c r="B42" s="24">
        <f>'2017-18_working'!B42+'2017-18_working'!C42</f>
        <v>5</v>
      </c>
      <c r="C42" s="24">
        <f>'2017-18_working'!D42</f>
        <v>0</v>
      </c>
      <c r="D42" s="24">
        <f>'2017-18_working'!E42</f>
        <v>0</v>
      </c>
      <c r="E42" s="24">
        <f>'2017-18_working'!F42</f>
        <v>0</v>
      </c>
      <c r="F42" s="24">
        <f>'2017-18_working'!G42+'2017-18_working'!H42</f>
        <v>0</v>
      </c>
      <c r="G42" s="24">
        <f>'2017-18_working'!I42</f>
        <v>0</v>
      </c>
      <c r="H42" s="46">
        <f t="shared" si="19"/>
        <v>0</v>
      </c>
      <c r="I42" s="46">
        <f t="shared" si="20"/>
        <v>0</v>
      </c>
      <c r="J42" s="24"/>
      <c r="K42" s="24">
        <f>'2017-18_working'!K42+'2017-18_working'!L42</f>
        <v>23</v>
      </c>
      <c r="L42" s="24">
        <f>'2017-18_working'!M42</f>
        <v>0</v>
      </c>
      <c r="M42" s="24">
        <f>'2017-18_working'!N42</f>
        <v>0</v>
      </c>
      <c r="N42" s="24">
        <f>'2017-18_working'!O42</f>
        <v>0</v>
      </c>
      <c r="O42" s="24">
        <f>'2017-18_working'!P42+'2017-18_working'!Q42</f>
        <v>0</v>
      </c>
      <c r="P42" s="24">
        <f>'2017-18_working'!R42</f>
        <v>3</v>
      </c>
      <c r="Q42" s="46">
        <f t="shared" si="26"/>
        <v>0</v>
      </c>
      <c r="R42" s="46">
        <f t="shared" si="27"/>
        <v>0.11538461538461539</v>
      </c>
      <c r="S42" s="24"/>
      <c r="T42" s="22">
        <f t="shared" si="28"/>
        <v>28</v>
      </c>
      <c r="U42" s="22">
        <f t="shared" si="29"/>
        <v>0</v>
      </c>
      <c r="V42" s="22">
        <f t="shared" si="30"/>
        <v>0</v>
      </c>
      <c r="W42" s="22">
        <f t="shared" si="31"/>
        <v>0</v>
      </c>
      <c r="X42" s="22">
        <f t="shared" si="32"/>
        <v>0</v>
      </c>
      <c r="Y42" s="22">
        <f t="shared" si="33"/>
        <v>3</v>
      </c>
      <c r="Z42" s="46">
        <f t="shared" si="34"/>
        <v>0</v>
      </c>
      <c r="AA42" s="46">
        <f t="shared" si="35"/>
        <v>9.6774193548387094E-2</v>
      </c>
      <c r="AB42" s="24"/>
      <c r="AC42" s="24">
        <f>'2017-18_working'!T42+'2017-18_working'!U42</f>
        <v>0</v>
      </c>
      <c r="AD42" s="24">
        <f>'2017-18_working'!V42</f>
        <v>0</v>
      </c>
      <c r="AE42" s="24">
        <f>'2017-18_working'!W42</f>
        <v>0</v>
      </c>
      <c r="AF42" s="24">
        <f>'2017-18_working'!X42</f>
        <v>0</v>
      </c>
      <c r="AG42" s="24">
        <f>'2017-18_working'!Y42+'2017-18_working'!Z42</f>
        <v>0</v>
      </c>
      <c r="AH42" s="24">
        <f>'2017-18_working'!AA42</f>
        <v>1</v>
      </c>
      <c r="AI42" s="46" t="str">
        <f t="shared" si="41"/>
        <v>-</v>
      </c>
      <c r="AJ42" s="46">
        <f t="shared" si="42"/>
        <v>1</v>
      </c>
      <c r="AK42" s="24"/>
      <c r="AL42" s="24">
        <f>'2017-18_working'!AC42+'2017-18_working'!AD42</f>
        <v>7</v>
      </c>
      <c r="AM42" s="24">
        <f>'2017-18_working'!AE42</f>
        <v>0</v>
      </c>
      <c r="AN42" s="24">
        <f>'2017-18_working'!AF42</f>
        <v>0</v>
      </c>
      <c r="AO42" s="24">
        <f>'2017-18_working'!AG42</f>
        <v>0</v>
      </c>
      <c r="AP42" s="24">
        <f>'2017-18_working'!AH42+'2017-18_working'!AI42</f>
        <v>1</v>
      </c>
      <c r="AQ42" s="24">
        <f>'2017-18_working'!AJ42</f>
        <v>1</v>
      </c>
      <c r="AR42" s="46">
        <f t="shared" si="48"/>
        <v>0.125</v>
      </c>
      <c r="AS42" s="46">
        <f t="shared" si="49"/>
        <v>0.1111111111111111</v>
      </c>
      <c r="AT42" s="24"/>
      <c r="AU42" s="22">
        <f t="shared" si="50"/>
        <v>35</v>
      </c>
      <c r="AV42" s="22">
        <f t="shared" si="51"/>
        <v>0</v>
      </c>
      <c r="AW42" s="22">
        <f t="shared" si="52"/>
        <v>0</v>
      </c>
      <c r="AX42" s="22">
        <f t="shared" si="53"/>
        <v>0</v>
      </c>
      <c r="AY42" s="22">
        <f t="shared" si="54"/>
        <v>1</v>
      </c>
      <c r="AZ42" s="22">
        <f t="shared" si="55"/>
        <v>5</v>
      </c>
      <c r="BA42" s="46">
        <f t="shared" si="56"/>
        <v>2.7777777777777776E-2</v>
      </c>
      <c r="BB42" s="46">
        <f t="shared" si="57"/>
        <v>0.12195121951219512</v>
      </c>
      <c r="BC42" s="19"/>
      <c r="BD42" s="20">
        <f t="shared" si="58"/>
        <v>41</v>
      </c>
      <c r="BE42" s="20">
        <v>41</v>
      </c>
      <c r="BF42" s="53">
        <f t="shared" si="59"/>
        <v>0</v>
      </c>
      <c r="BG42" s="19"/>
      <c r="BH42" s="19"/>
      <c r="BI42" s="19"/>
      <c r="BJ42" s="19"/>
      <c r="BK42" s="19"/>
    </row>
    <row r="43" spans="1:63" s="8" customFormat="1" ht="15" customHeight="1" x14ac:dyDescent="0.35">
      <c r="A43" s="2" t="s">
        <v>50</v>
      </c>
      <c r="B43" s="24">
        <f>'2017-18_working'!B43+'2017-18_working'!C43</f>
        <v>8</v>
      </c>
      <c r="C43" s="24">
        <f>'2017-18_working'!D43</f>
        <v>0</v>
      </c>
      <c r="D43" s="24">
        <f>'2017-18_working'!E43</f>
        <v>0</v>
      </c>
      <c r="E43" s="24">
        <f>'2017-18_working'!F43</f>
        <v>0</v>
      </c>
      <c r="F43" s="24">
        <f>'2017-18_working'!G43+'2017-18_working'!H43</f>
        <v>0</v>
      </c>
      <c r="G43" s="24">
        <f>'2017-18_working'!I43</f>
        <v>0</v>
      </c>
      <c r="H43" s="46">
        <f t="shared" si="19"/>
        <v>0</v>
      </c>
      <c r="I43" s="46">
        <f t="shared" si="20"/>
        <v>0</v>
      </c>
      <c r="J43" s="24"/>
      <c r="K43" s="24">
        <f>'2017-18_working'!K43+'2017-18_working'!L43</f>
        <v>16</v>
      </c>
      <c r="L43" s="24">
        <f>'2017-18_working'!M43</f>
        <v>0</v>
      </c>
      <c r="M43" s="24">
        <f>'2017-18_working'!N43</f>
        <v>0</v>
      </c>
      <c r="N43" s="24">
        <f>'2017-18_working'!O43</f>
        <v>0</v>
      </c>
      <c r="O43" s="24">
        <f>'2017-18_working'!P43+'2017-18_working'!Q43</f>
        <v>0</v>
      </c>
      <c r="P43" s="24">
        <f>'2017-18_working'!R43</f>
        <v>0</v>
      </c>
      <c r="Q43" s="46">
        <f t="shared" si="26"/>
        <v>0</v>
      </c>
      <c r="R43" s="46">
        <f t="shared" si="27"/>
        <v>0</v>
      </c>
      <c r="S43" s="24"/>
      <c r="T43" s="22">
        <f t="shared" si="28"/>
        <v>24</v>
      </c>
      <c r="U43" s="22">
        <f t="shared" si="29"/>
        <v>0</v>
      </c>
      <c r="V43" s="22">
        <f t="shared" si="30"/>
        <v>0</v>
      </c>
      <c r="W43" s="22">
        <f t="shared" si="31"/>
        <v>0</v>
      </c>
      <c r="X43" s="22">
        <f t="shared" si="32"/>
        <v>0</v>
      </c>
      <c r="Y43" s="22">
        <f t="shared" si="33"/>
        <v>0</v>
      </c>
      <c r="Z43" s="46">
        <f t="shared" si="34"/>
        <v>0</v>
      </c>
      <c r="AA43" s="46">
        <f t="shared" si="35"/>
        <v>0</v>
      </c>
      <c r="AB43" s="24"/>
      <c r="AC43" s="24">
        <f>'2017-18_working'!T43+'2017-18_working'!U43</f>
        <v>0</v>
      </c>
      <c r="AD43" s="24">
        <f>'2017-18_working'!V43</f>
        <v>0</v>
      </c>
      <c r="AE43" s="24">
        <f>'2017-18_working'!W43</f>
        <v>0</v>
      </c>
      <c r="AF43" s="24">
        <f>'2017-18_working'!X43</f>
        <v>0</v>
      </c>
      <c r="AG43" s="24">
        <f>'2017-18_working'!Y43+'2017-18_working'!Z43</f>
        <v>0</v>
      </c>
      <c r="AH43" s="24">
        <f>'2017-18_working'!AA43</f>
        <v>0</v>
      </c>
      <c r="AI43" s="46" t="str">
        <f t="shared" si="41"/>
        <v>-</v>
      </c>
      <c r="AJ43" s="46" t="str">
        <f t="shared" si="42"/>
        <v>-</v>
      </c>
      <c r="AK43" s="24"/>
      <c r="AL43" s="24">
        <f>'2017-18_working'!AC43+'2017-18_working'!AD43</f>
        <v>10</v>
      </c>
      <c r="AM43" s="24">
        <f>'2017-18_working'!AE43</f>
        <v>0</v>
      </c>
      <c r="AN43" s="24">
        <f>'2017-18_working'!AF43</f>
        <v>0</v>
      </c>
      <c r="AO43" s="24">
        <f>'2017-18_working'!AG43</f>
        <v>0</v>
      </c>
      <c r="AP43" s="24">
        <f>'2017-18_working'!AH43+'2017-18_working'!AI43</f>
        <v>0</v>
      </c>
      <c r="AQ43" s="24">
        <f>'2017-18_working'!AJ43</f>
        <v>0</v>
      </c>
      <c r="AR43" s="46">
        <f t="shared" si="48"/>
        <v>0</v>
      </c>
      <c r="AS43" s="46">
        <f t="shared" si="49"/>
        <v>0</v>
      </c>
      <c r="AT43" s="24"/>
      <c r="AU43" s="22">
        <f t="shared" si="50"/>
        <v>34</v>
      </c>
      <c r="AV43" s="22">
        <f t="shared" si="51"/>
        <v>0</v>
      </c>
      <c r="AW43" s="22">
        <f t="shared" si="52"/>
        <v>0</v>
      </c>
      <c r="AX43" s="22">
        <f t="shared" si="53"/>
        <v>0</v>
      </c>
      <c r="AY43" s="22">
        <f t="shared" si="54"/>
        <v>0</v>
      </c>
      <c r="AZ43" s="22">
        <f t="shared" si="55"/>
        <v>0</v>
      </c>
      <c r="BA43" s="46">
        <f t="shared" si="56"/>
        <v>0</v>
      </c>
      <c r="BB43" s="46">
        <f t="shared" si="57"/>
        <v>0</v>
      </c>
      <c r="BC43" s="19"/>
      <c r="BD43" s="20">
        <f t="shared" si="58"/>
        <v>34</v>
      </c>
      <c r="BE43" s="20">
        <v>34</v>
      </c>
      <c r="BF43" s="53">
        <f t="shared" si="59"/>
        <v>0</v>
      </c>
      <c r="BG43" s="19"/>
      <c r="BH43" s="19"/>
      <c r="BI43" s="19"/>
      <c r="BJ43" s="19"/>
      <c r="BK43" s="19"/>
    </row>
    <row r="44" spans="1:63" s="8" customFormat="1" ht="15" customHeight="1" x14ac:dyDescent="0.35">
      <c r="A44" s="2" t="s">
        <v>51</v>
      </c>
      <c r="B44" s="24">
        <f>'2017-18_working'!B44+'2017-18_working'!C44</f>
        <v>1</v>
      </c>
      <c r="C44" s="24">
        <f>'2017-18_working'!D44</f>
        <v>0</v>
      </c>
      <c r="D44" s="24">
        <f>'2017-18_working'!E44</f>
        <v>0</v>
      </c>
      <c r="E44" s="24">
        <f>'2017-18_working'!F44</f>
        <v>0</v>
      </c>
      <c r="F44" s="24">
        <f>'2017-18_working'!G44+'2017-18_working'!H44</f>
        <v>0</v>
      </c>
      <c r="G44" s="24">
        <f>'2017-18_working'!I44</f>
        <v>1</v>
      </c>
      <c r="H44" s="46">
        <f t="shared" si="19"/>
        <v>0</v>
      </c>
      <c r="I44" s="46">
        <f t="shared" si="20"/>
        <v>0.5</v>
      </c>
      <c r="J44" s="24"/>
      <c r="K44" s="24">
        <f>'2017-18_working'!K44+'2017-18_working'!L44</f>
        <v>2</v>
      </c>
      <c r="L44" s="24">
        <f>'2017-18_working'!M44</f>
        <v>0</v>
      </c>
      <c r="M44" s="24">
        <f>'2017-18_working'!N44</f>
        <v>0</v>
      </c>
      <c r="N44" s="24">
        <f>'2017-18_working'!O44</f>
        <v>0</v>
      </c>
      <c r="O44" s="24">
        <f>'2017-18_working'!P44+'2017-18_working'!Q44</f>
        <v>0</v>
      </c>
      <c r="P44" s="24">
        <f>'2017-18_working'!R44</f>
        <v>47</v>
      </c>
      <c r="Q44" s="46">
        <f t="shared" si="26"/>
        <v>0</v>
      </c>
      <c r="R44" s="46">
        <f t="shared" si="27"/>
        <v>0.95918367346938771</v>
      </c>
      <c r="S44" s="24"/>
      <c r="T44" s="22">
        <f t="shared" si="28"/>
        <v>3</v>
      </c>
      <c r="U44" s="22">
        <f t="shared" si="29"/>
        <v>0</v>
      </c>
      <c r="V44" s="22">
        <f t="shared" si="30"/>
        <v>0</v>
      </c>
      <c r="W44" s="22">
        <f t="shared" si="31"/>
        <v>0</v>
      </c>
      <c r="X44" s="22">
        <f t="shared" si="32"/>
        <v>0</v>
      </c>
      <c r="Y44" s="22">
        <f t="shared" si="33"/>
        <v>48</v>
      </c>
      <c r="Z44" s="46">
        <f t="shared" si="34"/>
        <v>0</v>
      </c>
      <c r="AA44" s="46">
        <f t="shared" si="35"/>
        <v>0.94117647058823528</v>
      </c>
      <c r="AB44" s="24"/>
      <c r="AC44" s="24">
        <f>'2017-18_working'!T44+'2017-18_working'!U44</f>
        <v>0</v>
      </c>
      <c r="AD44" s="24">
        <f>'2017-18_working'!V44</f>
        <v>0</v>
      </c>
      <c r="AE44" s="24">
        <f>'2017-18_working'!W44</f>
        <v>0</v>
      </c>
      <c r="AF44" s="24">
        <f>'2017-18_working'!X44</f>
        <v>0</v>
      </c>
      <c r="AG44" s="24">
        <f>'2017-18_working'!Y44+'2017-18_working'!Z44</f>
        <v>0</v>
      </c>
      <c r="AH44" s="24">
        <f>'2017-18_working'!AA44</f>
        <v>0</v>
      </c>
      <c r="AI44" s="46" t="str">
        <f t="shared" si="41"/>
        <v>-</v>
      </c>
      <c r="AJ44" s="46" t="str">
        <f t="shared" si="42"/>
        <v>-</v>
      </c>
      <c r="AK44" s="24"/>
      <c r="AL44" s="24">
        <f>'2017-18_working'!AC44+'2017-18_working'!AD44</f>
        <v>5</v>
      </c>
      <c r="AM44" s="24">
        <f>'2017-18_working'!AE44</f>
        <v>0</v>
      </c>
      <c r="AN44" s="24">
        <f>'2017-18_working'!AF44</f>
        <v>0</v>
      </c>
      <c r="AO44" s="24">
        <f>'2017-18_working'!AG44</f>
        <v>0</v>
      </c>
      <c r="AP44" s="24">
        <f>'2017-18_working'!AH44+'2017-18_working'!AI44</f>
        <v>0</v>
      </c>
      <c r="AQ44" s="24">
        <f>'2017-18_working'!AJ44</f>
        <v>1</v>
      </c>
      <c r="AR44" s="46">
        <f t="shared" si="48"/>
        <v>0</v>
      </c>
      <c r="AS44" s="46">
        <f t="shared" si="49"/>
        <v>0.16666666666666666</v>
      </c>
      <c r="AT44" s="24"/>
      <c r="AU44" s="22">
        <f t="shared" si="50"/>
        <v>8</v>
      </c>
      <c r="AV44" s="22">
        <f t="shared" si="51"/>
        <v>0</v>
      </c>
      <c r="AW44" s="22">
        <f t="shared" si="52"/>
        <v>0</v>
      </c>
      <c r="AX44" s="22">
        <f t="shared" si="53"/>
        <v>0</v>
      </c>
      <c r="AY44" s="22">
        <f t="shared" si="54"/>
        <v>0</v>
      </c>
      <c r="AZ44" s="22">
        <f t="shared" si="55"/>
        <v>49</v>
      </c>
      <c r="BA44" s="46">
        <f t="shared" si="56"/>
        <v>0</v>
      </c>
      <c r="BB44" s="46">
        <f t="shared" si="57"/>
        <v>0.85964912280701755</v>
      </c>
      <c r="BC44" s="19"/>
      <c r="BD44" s="20">
        <f t="shared" si="58"/>
        <v>57</v>
      </c>
      <c r="BE44" s="20">
        <v>57</v>
      </c>
      <c r="BF44" s="53">
        <f t="shared" si="59"/>
        <v>0</v>
      </c>
      <c r="BG44" s="19"/>
      <c r="BH44" s="19"/>
      <c r="BI44" s="19"/>
      <c r="BJ44" s="19"/>
      <c r="BK44" s="19"/>
    </row>
    <row r="45" spans="1:63" s="8" customFormat="1" ht="15" customHeight="1" x14ac:dyDescent="0.35">
      <c r="A45" s="2" t="s">
        <v>52</v>
      </c>
      <c r="B45" s="24">
        <f>'2017-18_working'!B45+'2017-18_working'!C45</f>
        <v>5</v>
      </c>
      <c r="C45" s="24">
        <f>'2017-18_working'!D45</f>
        <v>0</v>
      </c>
      <c r="D45" s="24">
        <f>'2017-18_working'!E45</f>
        <v>0</v>
      </c>
      <c r="E45" s="24">
        <f>'2017-18_working'!F45</f>
        <v>0</v>
      </c>
      <c r="F45" s="24">
        <f>'2017-18_working'!G45+'2017-18_working'!H45</f>
        <v>0</v>
      </c>
      <c r="G45" s="24">
        <f>'2017-18_working'!I45</f>
        <v>3</v>
      </c>
      <c r="H45" s="46">
        <f t="shared" si="19"/>
        <v>0</v>
      </c>
      <c r="I45" s="46">
        <f t="shared" si="20"/>
        <v>0.375</v>
      </c>
      <c r="J45" s="24"/>
      <c r="K45" s="24">
        <f>'2017-18_working'!K45+'2017-18_working'!L45</f>
        <v>5</v>
      </c>
      <c r="L45" s="24">
        <f>'2017-18_working'!M45</f>
        <v>0</v>
      </c>
      <c r="M45" s="24">
        <f>'2017-18_working'!N45</f>
        <v>0</v>
      </c>
      <c r="N45" s="24">
        <f>'2017-18_working'!O45</f>
        <v>0</v>
      </c>
      <c r="O45" s="24">
        <f>'2017-18_working'!P45+'2017-18_working'!Q45</f>
        <v>0</v>
      </c>
      <c r="P45" s="24">
        <f>'2017-18_working'!R45</f>
        <v>4</v>
      </c>
      <c r="Q45" s="46">
        <f t="shared" si="26"/>
        <v>0</v>
      </c>
      <c r="R45" s="46">
        <f t="shared" si="27"/>
        <v>0.44444444444444442</v>
      </c>
      <c r="S45" s="24"/>
      <c r="T45" s="22">
        <f t="shared" si="28"/>
        <v>10</v>
      </c>
      <c r="U45" s="22">
        <f t="shared" si="29"/>
        <v>0</v>
      </c>
      <c r="V45" s="22">
        <f t="shared" si="30"/>
        <v>0</v>
      </c>
      <c r="W45" s="22">
        <f t="shared" si="31"/>
        <v>0</v>
      </c>
      <c r="X45" s="22">
        <f t="shared" si="32"/>
        <v>0</v>
      </c>
      <c r="Y45" s="22">
        <f t="shared" si="33"/>
        <v>7</v>
      </c>
      <c r="Z45" s="46">
        <f t="shared" si="34"/>
        <v>0</v>
      </c>
      <c r="AA45" s="46">
        <f t="shared" si="35"/>
        <v>0.41176470588235292</v>
      </c>
      <c r="AB45" s="24"/>
      <c r="AC45" s="24">
        <f>'2017-18_working'!T45+'2017-18_working'!U45</f>
        <v>1</v>
      </c>
      <c r="AD45" s="24">
        <f>'2017-18_working'!V45</f>
        <v>0</v>
      </c>
      <c r="AE45" s="24">
        <f>'2017-18_working'!W45</f>
        <v>0</v>
      </c>
      <c r="AF45" s="24">
        <f>'2017-18_working'!X45</f>
        <v>0</v>
      </c>
      <c r="AG45" s="24">
        <f>'2017-18_working'!Y45+'2017-18_working'!Z45</f>
        <v>0</v>
      </c>
      <c r="AH45" s="24">
        <f>'2017-18_working'!AA45</f>
        <v>2</v>
      </c>
      <c r="AI45" s="46">
        <f t="shared" si="41"/>
        <v>0</v>
      </c>
      <c r="AJ45" s="46">
        <f t="shared" si="42"/>
        <v>0.66666666666666663</v>
      </c>
      <c r="AK45" s="24"/>
      <c r="AL45" s="24">
        <f>'2017-18_working'!AC45+'2017-18_working'!AD45</f>
        <v>1</v>
      </c>
      <c r="AM45" s="24">
        <f>'2017-18_working'!AE45</f>
        <v>0</v>
      </c>
      <c r="AN45" s="24">
        <f>'2017-18_working'!AF45</f>
        <v>0</v>
      </c>
      <c r="AO45" s="24">
        <f>'2017-18_working'!AG45</f>
        <v>0</v>
      </c>
      <c r="AP45" s="24">
        <f>'2017-18_working'!AH45+'2017-18_working'!AI45</f>
        <v>0</v>
      </c>
      <c r="AQ45" s="24">
        <f>'2017-18_working'!AJ45</f>
        <v>0</v>
      </c>
      <c r="AR45" s="46">
        <f t="shared" si="48"/>
        <v>0</v>
      </c>
      <c r="AS45" s="46">
        <f t="shared" si="49"/>
        <v>0</v>
      </c>
      <c r="AT45" s="24"/>
      <c r="AU45" s="22">
        <f t="shared" si="50"/>
        <v>12</v>
      </c>
      <c r="AV45" s="22">
        <f t="shared" si="51"/>
        <v>0</v>
      </c>
      <c r="AW45" s="22">
        <f t="shared" si="52"/>
        <v>0</v>
      </c>
      <c r="AX45" s="22">
        <f t="shared" si="53"/>
        <v>0</v>
      </c>
      <c r="AY45" s="22">
        <f t="shared" si="54"/>
        <v>0</v>
      </c>
      <c r="AZ45" s="22">
        <f t="shared" si="55"/>
        <v>9</v>
      </c>
      <c r="BA45" s="46">
        <f t="shared" si="56"/>
        <v>0</v>
      </c>
      <c r="BB45" s="46">
        <f t="shared" si="57"/>
        <v>0.42857142857142855</v>
      </c>
      <c r="BC45" s="19"/>
      <c r="BD45" s="20">
        <f t="shared" si="58"/>
        <v>21</v>
      </c>
      <c r="BE45" s="20">
        <v>21</v>
      </c>
      <c r="BF45" s="53">
        <f t="shared" si="59"/>
        <v>0</v>
      </c>
      <c r="BG45" s="19"/>
      <c r="BH45" s="19"/>
      <c r="BI45" s="19"/>
      <c r="BJ45" s="19"/>
      <c r="BK45" s="19"/>
    </row>
    <row r="46" spans="1:63" s="8" customFormat="1" ht="15" customHeight="1" x14ac:dyDescent="0.35">
      <c r="A46" s="2" t="s">
        <v>53</v>
      </c>
      <c r="B46" s="24">
        <f>'2017-18_working'!B46+'2017-18_working'!C46</f>
        <v>7</v>
      </c>
      <c r="C46" s="24">
        <f>'2017-18_working'!D46</f>
        <v>0</v>
      </c>
      <c r="D46" s="24">
        <f>'2017-18_working'!E46</f>
        <v>0</v>
      </c>
      <c r="E46" s="24">
        <f>'2017-18_working'!F46</f>
        <v>0</v>
      </c>
      <c r="F46" s="24">
        <f>'2017-18_working'!G46+'2017-18_working'!H46</f>
        <v>0</v>
      </c>
      <c r="G46" s="24">
        <f>'2017-18_working'!I46</f>
        <v>24</v>
      </c>
      <c r="H46" s="46">
        <f t="shared" si="19"/>
        <v>0</v>
      </c>
      <c r="I46" s="46">
        <f t="shared" si="20"/>
        <v>0.77419354838709675</v>
      </c>
      <c r="J46" s="24"/>
      <c r="K46" s="24">
        <f>'2017-18_working'!K46+'2017-18_working'!L46</f>
        <v>12</v>
      </c>
      <c r="L46" s="24">
        <f>'2017-18_working'!M46</f>
        <v>0</v>
      </c>
      <c r="M46" s="24">
        <f>'2017-18_working'!N46</f>
        <v>0</v>
      </c>
      <c r="N46" s="24">
        <f>'2017-18_working'!O46</f>
        <v>0</v>
      </c>
      <c r="O46" s="24">
        <f>'2017-18_working'!P46+'2017-18_working'!Q46</f>
        <v>0</v>
      </c>
      <c r="P46" s="24">
        <f>'2017-18_working'!R46</f>
        <v>8</v>
      </c>
      <c r="Q46" s="46">
        <f t="shared" si="26"/>
        <v>0</v>
      </c>
      <c r="R46" s="46">
        <f t="shared" si="27"/>
        <v>0.4</v>
      </c>
      <c r="S46" s="24"/>
      <c r="T46" s="22">
        <f t="shared" si="28"/>
        <v>19</v>
      </c>
      <c r="U46" s="22">
        <f t="shared" si="29"/>
        <v>0</v>
      </c>
      <c r="V46" s="22">
        <f t="shared" si="30"/>
        <v>0</v>
      </c>
      <c r="W46" s="22">
        <f t="shared" si="31"/>
        <v>0</v>
      </c>
      <c r="X46" s="22">
        <f t="shared" si="32"/>
        <v>0</v>
      </c>
      <c r="Y46" s="22">
        <f t="shared" si="33"/>
        <v>32</v>
      </c>
      <c r="Z46" s="46">
        <f t="shared" si="34"/>
        <v>0</v>
      </c>
      <c r="AA46" s="46">
        <f t="shared" si="35"/>
        <v>0.62745098039215685</v>
      </c>
      <c r="AB46" s="24"/>
      <c r="AC46" s="24">
        <f>'2017-18_working'!T46+'2017-18_working'!U46</f>
        <v>3</v>
      </c>
      <c r="AD46" s="24">
        <f>'2017-18_working'!V46</f>
        <v>0</v>
      </c>
      <c r="AE46" s="24">
        <f>'2017-18_working'!W46</f>
        <v>0</v>
      </c>
      <c r="AF46" s="24">
        <f>'2017-18_working'!X46</f>
        <v>0</v>
      </c>
      <c r="AG46" s="24">
        <f>'2017-18_working'!Y46+'2017-18_working'!Z46</f>
        <v>0</v>
      </c>
      <c r="AH46" s="24">
        <f>'2017-18_working'!AA46</f>
        <v>0</v>
      </c>
      <c r="AI46" s="46">
        <f t="shared" si="41"/>
        <v>0</v>
      </c>
      <c r="AJ46" s="46">
        <f t="shared" si="42"/>
        <v>0</v>
      </c>
      <c r="AK46" s="24"/>
      <c r="AL46" s="24">
        <f>'2017-18_working'!AC46+'2017-18_working'!AD46</f>
        <v>12</v>
      </c>
      <c r="AM46" s="24">
        <f>'2017-18_working'!AE46</f>
        <v>0</v>
      </c>
      <c r="AN46" s="24">
        <f>'2017-18_working'!AF46</f>
        <v>1</v>
      </c>
      <c r="AO46" s="24">
        <f>'2017-18_working'!AG46</f>
        <v>0</v>
      </c>
      <c r="AP46" s="24">
        <f>'2017-18_working'!AH46+'2017-18_working'!AI46</f>
        <v>0</v>
      </c>
      <c r="AQ46" s="24">
        <f>'2017-18_working'!AJ46</f>
        <v>7</v>
      </c>
      <c r="AR46" s="46">
        <f t="shared" si="48"/>
        <v>7.6923076923076927E-2</v>
      </c>
      <c r="AS46" s="46">
        <f t="shared" si="49"/>
        <v>0.35</v>
      </c>
      <c r="AT46" s="24"/>
      <c r="AU46" s="22">
        <f t="shared" si="50"/>
        <v>34</v>
      </c>
      <c r="AV46" s="22">
        <f t="shared" si="51"/>
        <v>0</v>
      </c>
      <c r="AW46" s="22">
        <f t="shared" si="52"/>
        <v>1</v>
      </c>
      <c r="AX46" s="22">
        <f t="shared" si="53"/>
        <v>0</v>
      </c>
      <c r="AY46" s="22">
        <f t="shared" si="54"/>
        <v>0</v>
      </c>
      <c r="AZ46" s="22">
        <f t="shared" si="55"/>
        <v>39</v>
      </c>
      <c r="BA46" s="46">
        <f t="shared" si="56"/>
        <v>2.8571428571428571E-2</v>
      </c>
      <c r="BB46" s="46">
        <f t="shared" si="57"/>
        <v>0.52702702702702697</v>
      </c>
      <c r="BC46" s="19"/>
      <c r="BD46" s="20">
        <f t="shared" si="58"/>
        <v>74</v>
      </c>
      <c r="BE46" s="20">
        <v>74</v>
      </c>
      <c r="BF46" s="53">
        <f t="shared" si="59"/>
        <v>0</v>
      </c>
      <c r="BG46" s="19"/>
      <c r="BH46" s="19"/>
      <c r="BI46" s="19"/>
      <c r="BJ46" s="19"/>
      <c r="BK46" s="19"/>
    </row>
    <row r="47" spans="1:63" s="8" customFormat="1" ht="15" customHeight="1" x14ac:dyDescent="0.35">
      <c r="A47" s="2" t="s">
        <v>54</v>
      </c>
      <c r="B47" s="24">
        <f>'2017-18_working'!B47+'2017-18_working'!C47</f>
        <v>12</v>
      </c>
      <c r="C47" s="24">
        <f>'2017-18_working'!D47</f>
        <v>0</v>
      </c>
      <c r="D47" s="24">
        <f>'2017-18_working'!E47</f>
        <v>0</v>
      </c>
      <c r="E47" s="24">
        <f>'2017-18_working'!F47</f>
        <v>0</v>
      </c>
      <c r="F47" s="24">
        <f>'2017-18_working'!G47+'2017-18_working'!H47</f>
        <v>0</v>
      </c>
      <c r="G47" s="24">
        <f>'2017-18_working'!I47</f>
        <v>12</v>
      </c>
      <c r="H47" s="46">
        <f t="shared" si="19"/>
        <v>0</v>
      </c>
      <c r="I47" s="46">
        <f t="shared" si="20"/>
        <v>0.5</v>
      </c>
      <c r="J47" s="24"/>
      <c r="K47" s="24">
        <f>'2017-18_working'!K47+'2017-18_working'!L47</f>
        <v>37</v>
      </c>
      <c r="L47" s="24">
        <f>'2017-18_working'!M47</f>
        <v>1</v>
      </c>
      <c r="M47" s="24">
        <f>'2017-18_working'!N47</f>
        <v>0</v>
      </c>
      <c r="N47" s="24">
        <f>'2017-18_working'!O47</f>
        <v>0</v>
      </c>
      <c r="O47" s="24">
        <f>'2017-18_working'!P47+'2017-18_working'!Q47</f>
        <v>0</v>
      </c>
      <c r="P47" s="24">
        <f>'2017-18_working'!R47</f>
        <v>9</v>
      </c>
      <c r="Q47" s="46">
        <f t="shared" si="26"/>
        <v>2.6315789473684209E-2</v>
      </c>
      <c r="R47" s="46">
        <f t="shared" si="27"/>
        <v>0.19148936170212766</v>
      </c>
      <c r="S47" s="24"/>
      <c r="T47" s="22">
        <f t="shared" si="28"/>
        <v>49</v>
      </c>
      <c r="U47" s="22">
        <f t="shared" si="29"/>
        <v>1</v>
      </c>
      <c r="V47" s="22">
        <f t="shared" si="30"/>
        <v>0</v>
      </c>
      <c r="W47" s="22">
        <f t="shared" si="31"/>
        <v>0</v>
      </c>
      <c r="X47" s="22">
        <f t="shared" si="32"/>
        <v>0</v>
      </c>
      <c r="Y47" s="22">
        <f t="shared" si="33"/>
        <v>21</v>
      </c>
      <c r="Z47" s="46">
        <f t="shared" si="34"/>
        <v>0.02</v>
      </c>
      <c r="AA47" s="46">
        <f t="shared" si="35"/>
        <v>0.29577464788732394</v>
      </c>
      <c r="AB47" s="24"/>
      <c r="AC47" s="24">
        <f>'2017-18_working'!T47+'2017-18_working'!U47</f>
        <v>0</v>
      </c>
      <c r="AD47" s="24">
        <f>'2017-18_working'!V47</f>
        <v>0</v>
      </c>
      <c r="AE47" s="24">
        <f>'2017-18_working'!W47</f>
        <v>0</v>
      </c>
      <c r="AF47" s="24">
        <f>'2017-18_working'!X47</f>
        <v>0</v>
      </c>
      <c r="AG47" s="24">
        <f>'2017-18_working'!Y47+'2017-18_working'!Z47</f>
        <v>0</v>
      </c>
      <c r="AH47" s="24">
        <f>'2017-18_working'!AA47</f>
        <v>0</v>
      </c>
      <c r="AI47" s="46" t="str">
        <f t="shared" si="41"/>
        <v>-</v>
      </c>
      <c r="AJ47" s="46" t="str">
        <f t="shared" si="42"/>
        <v>-</v>
      </c>
      <c r="AK47" s="24"/>
      <c r="AL47" s="24">
        <f>'2017-18_working'!AC47+'2017-18_working'!AD47</f>
        <v>10</v>
      </c>
      <c r="AM47" s="24">
        <f>'2017-18_working'!AE47</f>
        <v>0</v>
      </c>
      <c r="AN47" s="24">
        <f>'2017-18_working'!AF47</f>
        <v>0</v>
      </c>
      <c r="AO47" s="24">
        <f>'2017-18_working'!AG47</f>
        <v>0</v>
      </c>
      <c r="AP47" s="24">
        <f>'2017-18_working'!AH47+'2017-18_working'!AI47</f>
        <v>0</v>
      </c>
      <c r="AQ47" s="24">
        <f>'2017-18_working'!AJ47</f>
        <v>0</v>
      </c>
      <c r="AR47" s="46">
        <f t="shared" si="48"/>
        <v>0</v>
      </c>
      <c r="AS47" s="46">
        <f t="shared" si="49"/>
        <v>0</v>
      </c>
      <c r="AT47" s="24"/>
      <c r="AU47" s="22">
        <f t="shared" si="50"/>
        <v>59</v>
      </c>
      <c r="AV47" s="22">
        <f t="shared" si="51"/>
        <v>1</v>
      </c>
      <c r="AW47" s="22">
        <f t="shared" si="52"/>
        <v>0</v>
      </c>
      <c r="AX47" s="22">
        <f t="shared" si="53"/>
        <v>0</v>
      </c>
      <c r="AY47" s="22">
        <f t="shared" si="54"/>
        <v>0</v>
      </c>
      <c r="AZ47" s="22">
        <f t="shared" si="55"/>
        <v>21</v>
      </c>
      <c r="BA47" s="46">
        <f t="shared" si="56"/>
        <v>1.6666666666666666E-2</v>
      </c>
      <c r="BB47" s="46">
        <f t="shared" si="57"/>
        <v>0.25925925925925924</v>
      </c>
      <c r="BC47" s="19"/>
      <c r="BD47" s="20">
        <f t="shared" si="58"/>
        <v>81</v>
      </c>
      <c r="BE47" s="20">
        <v>81</v>
      </c>
      <c r="BF47" s="53">
        <f t="shared" si="59"/>
        <v>0</v>
      </c>
      <c r="BG47" s="19"/>
      <c r="BH47" s="19"/>
      <c r="BI47" s="19"/>
      <c r="BJ47" s="19"/>
      <c r="BK47" s="19"/>
    </row>
    <row r="48" spans="1:63" s="8" customFormat="1" ht="15" customHeight="1" x14ac:dyDescent="0.35">
      <c r="A48" s="2" t="s">
        <v>55</v>
      </c>
      <c r="B48" s="24">
        <f>'2017-18_working'!B48+'2017-18_working'!C48</f>
        <v>0</v>
      </c>
      <c r="C48" s="24">
        <f>'2017-18_working'!D48</f>
        <v>0</v>
      </c>
      <c r="D48" s="24">
        <f>'2017-18_working'!E48</f>
        <v>0</v>
      </c>
      <c r="E48" s="24">
        <f>'2017-18_working'!F48</f>
        <v>0</v>
      </c>
      <c r="F48" s="24">
        <f>'2017-18_working'!G48+'2017-18_working'!H48</f>
        <v>0</v>
      </c>
      <c r="G48" s="24">
        <f>'2017-18_working'!I48</f>
        <v>0</v>
      </c>
      <c r="H48" s="46" t="str">
        <f t="shared" si="19"/>
        <v>-</v>
      </c>
      <c r="I48" s="46" t="str">
        <f t="shared" si="20"/>
        <v>-</v>
      </c>
      <c r="J48" s="24"/>
      <c r="K48" s="24">
        <f>'2017-18_working'!K48+'2017-18_working'!L48</f>
        <v>0</v>
      </c>
      <c r="L48" s="24">
        <f>'2017-18_working'!M48</f>
        <v>0</v>
      </c>
      <c r="M48" s="24">
        <f>'2017-18_working'!N48</f>
        <v>0</v>
      </c>
      <c r="N48" s="24">
        <f>'2017-18_working'!O48</f>
        <v>0</v>
      </c>
      <c r="O48" s="24">
        <f>'2017-18_working'!P48+'2017-18_working'!Q48</f>
        <v>0</v>
      </c>
      <c r="P48" s="24">
        <f>'2017-18_working'!R48</f>
        <v>2</v>
      </c>
      <c r="Q48" s="46" t="str">
        <f t="shared" si="26"/>
        <v>-</v>
      </c>
      <c r="R48" s="46">
        <f t="shared" si="27"/>
        <v>1</v>
      </c>
      <c r="S48" s="24"/>
      <c r="T48" s="22">
        <f t="shared" si="28"/>
        <v>0</v>
      </c>
      <c r="U48" s="22">
        <f t="shared" si="29"/>
        <v>0</v>
      </c>
      <c r="V48" s="22">
        <f t="shared" si="30"/>
        <v>0</v>
      </c>
      <c r="W48" s="22">
        <f t="shared" si="31"/>
        <v>0</v>
      </c>
      <c r="X48" s="22">
        <f t="shared" si="32"/>
        <v>0</v>
      </c>
      <c r="Y48" s="22">
        <f t="shared" si="33"/>
        <v>2</v>
      </c>
      <c r="Z48" s="46" t="str">
        <f t="shared" si="34"/>
        <v>-</v>
      </c>
      <c r="AA48" s="46">
        <f t="shared" si="35"/>
        <v>1</v>
      </c>
      <c r="AB48" s="24"/>
      <c r="AC48" s="24">
        <f>'2017-18_working'!T48+'2017-18_working'!U48</f>
        <v>0</v>
      </c>
      <c r="AD48" s="24">
        <f>'2017-18_working'!V48</f>
        <v>0</v>
      </c>
      <c r="AE48" s="24">
        <f>'2017-18_working'!W48</f>
        <v>0</v>
      </c>
      <c r="AF48" s="24">
        <f>'2017-18_working'!X48</f>
        <v>0</v>
      </c>
      <c r="AG48" s="24">
        <f>'2017-18_working'!Y48+'2017-18_working'!Z48</f>
        <v>0</v>
      </c>
      <c r="AH48" s="24">
        <f>'2017-18_working'!AA48</f>
        <v>0</v>
      </c>
      <c r="AI48" s="46" t="str">
        <f t="shared" si="41"/>
        <v>-</v>
      </c>
      <c r="AJ48" s="46" t="str">
        <f t="shared" si="42"/>
        <v>-</v>
      </c>
      <c r="AK48" s="24"/>
      <c r="AL48" s="24">
        <f>'2017-18_working'!AC48+'2017-18_working'!AD48</f>
        <v>0</v>
      </c>
      <c r="AM48" s="24">
        <f>'2017-18_working'!AE48</f>
        <v>0</v>
      </c>
      <c r="AN48" s="24">
        <f>'2017-18_working'!AF48</f>
        <v>0</v>
      </c>
      <c r="AO48" s="24">
        <f>'2017-18_working'!AG48</f>
        <v>0</v>
      </c>
      <c r="AP48" s="24">
        <f>'2017-18_working'!AH48+'2017-18_working'!AI48</f>
        <v>0</v>
      </c>
      <c r="AQ48" s="24">
        <f>'2017-18_working'!AJ48</f>
        <v>0</v>
      </c>
      <c r="AR48" s="46" t="str">
        <f t="shared" si="48"/>
        <v>-</v>
      </c>
      <c r="AS48" s="46" t="str">
        <f t="shared" si="49"/>
        <v>-</v>
      </c>
      <c r="AT48" s="24"/>
      <c r="AU48" s="22">
        <f t="shared" si="50"/>
        <v>0</v>
      </c>
      <c r="AV48" s="22">
        <f t="shared" si="51"/>
        <v>0</v>
      </c>
      <c r="AW48" s="22">
        <f t="shared" si="52"/>
        <v>0</v>
      </c>
      <c r="AX48" s="22">
        <f t="shared" si="53"/>
        <v>0</v>
      </c>
      <c r="AY48" s="22">
        <f t="shared" si="54"/>
        <v>0</v>
      </c>
      <c r="AZ48" s="22">
        <f t="shared" si="55"/>
        <v>2</v>
      </c>
      <c r="BA48" s="46" t="str">
        <f t="shared" si="56"/>
        <v>-</v>
      </c>
      <c r="BB48" s="46">
        <f t="shared" si="57"/>
        <v>1</v>
      </c>
      <c r="BC48" s="19"/>
      <c r="BD48" s="20">
        <f t="shared" si="58"/>
        <v>2</v>
      </c>
      <c r="BE48" s="20">
        <v>2</v>
      </c>
      <c r="BF48" s="53">
        <f t="shared" si="59"/>
        <v>0</v>
      </c>
      <c r="BG48" s="19"/>
      <c r="BH48" s="19"/>
      <c r="BI48" s="19"/>
      <c r="BJ48" s="19"/>
      <c r="BK48" s="19"/>
    </row>
    <row r="49" spans="1:63" s="8" customFormat="1" ht="15" customHeight="1" x14ac:dyDescent="0.35">
      <c r="A49" s="21" t="s">
        <v>56</v>
      </c>
      <c r="B49" s="22">
        <f>SUM(B50:B56)</f>
        <v>328</v>
      </c>
      <c r="C49" s="22">
        <f t="shared" ref="C49:G49" si="60">SUM(C50:C56)</f>
        <v>37</v>
      </c>
      <c r="D49" s="22">
        <f t="shared" si="60"/>
        <v>12</v>
      </c>
      <c r="E49" s="22">
        <f t="shared" si="60"/>
        <v>17</v>
      </c>
      <c r="F49" s="22">
        <f t="shared" si="60"/>
        <v>5</v>
      </c>
      <c r="G49" s="22">
        <f t="shared" si="60"/>
        <v>41</v>
      </c>
      <c r="H49" s="46">
        <f t="shared" si="19"/>
        <v>0.17794486215538846</v>
      </c>
      <c r="I49" s="46">
        <f t="shared" si="20"/>
        <v>9.3181818181818185E-2</v>
      </c>
      <c r="J49" s="22"/>
      <c r="K49" s="22">
        <f>SUM(K50:K56)</f>
        <v>53</v>
      </c>
      <c r="L49" s="22">
        <f t="shared" ref="L49" si="61">SUM(L50:L56)</f>
        <v>1</v>
      </c>
      <c r="M49" s="22">
        <f t="shared" ref="M49" si="62">SUM(M50:M56)</f>
        <v>0</v>
      </c>
      <c r="N49" s="22">
        <f t="shared" ref="N49" si="63">SUM(N50:N56)</f>
        <v>0</v>
      </c>
      <c r="O49" s="22">
        <f t="shared" ref="O49" si="64">SUM(O50:O56)</f>
        <v>0</v>
      </c>
      <c r="P49" s="22">
        <f t="shared" ref="P49" si="65">SUM(P50:P56)</f>
        <v>1</v>
      </c>
      <c r="Q49" s="46">
        <f t="shared" si="26"/>
        <v>1.8518518518518517E-2</v>
      </c>
      <c r="R49" s="46">
        <f t="shared" si="27"/>
        <v>1.8181818181818181E-2</v>
      </c>
      <c r="S49" s="22"/>
      <c r="T49" s="22">
        <f t="shared" si="28"/>
        <v>381</v>
      </c>
      <c r="U49" s="22">
        <f t="shared" si="29"/>
        <v>38</v>
      </c>
      <c r="V49" s="22">
        <f t="shared" si="30"/>
        <v>12</v>
      </c>
      <c r="W49" s="22">
        <f t="shared" si="31"/>
        <v>17</v>
      </c>
      <c r="X49" s="22">
        <f t="shared" si="32"/>
        <v>5</v>
      </c>
      <c r="Y49" s="22">
        <f t="shared" si="33"/>
        <v>42</v>
      </c>
      <c r="Z49" s="46">
        <f t="shared" si="34"/>
        <v>0.15894039735099338</v>
      </c>
      <c r="AA49" s="46">
        <f t="shared" si="35"/>
        <v>8.4848484848484854E-2</v>
      </c>
      <c r="AB49" s="22"/>
      <c r="AC49" s="22">
        <f>SUM(AC50:AC56)</f>
        <v>29</v>
      </c>
      <c r="AD49" s="22">
        <f t="shared" ref="AD49" si="66">SUM(AD50:AD56)</f>
        <v>2</v>
      </c>
      <c r="AE49" s="22">
        <f t="shared" ref="AE49" si="67">SUM(AE50:AE56)</f>
        <v>1</v>
      </c>
      <c r="AF49" s="22">
        <f t="shared" ref="AF49" si="68">SUM(AF50:AF56)</f>
        <v>1</v>
      </c>
      <c r="AG49" s="22">
        <f t="shared" ref="AG49" si="69">SUM(AG50:AG56)</f>
        <v>0</v>
      </c>
      <c r="AH49" s="22">
        <f t="shared" ref="AH49" si="70">SUM(AH50:AH56)</f>
        <v>0</v>
      </c>
      <c r="AI49" s="46">
        <f t="shared" si="41"/>
        <v>0.12121212121212122</v>
      </c>
      <c r="AJ49" s="46">
        <f t="shared" si="42"/>
        <v>0</v>
      </c>
      <c r="AK49" s="22"/>
      <c r="AL49" s="22">
        <f>SUM(AL50:AL56)</f>
        <v>210</v>
      </c>
      <c r="AM49" s="22">
        <f t="shared" ref="AM49" si="71">SUM(AM50:AM56)</f>
        <v>4</v>
      </c>
      <c r="AN49" s="22">
        <f t="shared" ref="AN49" si="72">SUM(AN50:AN56)</f>
        <v>16</v>
      </c>
      <c r="AO49" s="22">
        <f t="shared" ref="AO49" si="73">SUM(AO50:AO56)</f>
        <v>20</v>
      </c>
      <c r="AP49" s="22">
        <f t="shared" ref="AP49" si="74">SUM(AP50:AP56)</f>
        <v>10</v>
      </c>
      <c r="AQ49" s="22">
        <f t="shared" ref="AQ49" si="75">SUM(AQ50:AQ56)</f>
        <v>42</v>
      </c>
      <c r="AR49" s="46">
        <f t="shared" si="48"/>
        <v>0.19230769230769232</v>
      </c>
      <c r="AS49" s="46">
        <f t="shared" si="49"/>
        <v>0.13907284768211919</v>
      </c>
      <c r="AT49" s="22"/>
      <c r="AU49" s="22">
        <f t="shared" si="50"/>
        <v>620</v>
      </c>
      <c r="AV49" s="22">
        <f t="shared" si="51"/>
        <v>44</v>
      </c>
      <c r="AW49" s="22">
        <f t="shared" si="52"/>
        <v>29</v>
      </c>
      <c r="AX49" s="22">
        <f t="shared" si="53"/>
        <v>38</v>
      </c>
      <c r="AY49" s="22">
        <f t="shared" si="54"/>
        <v>15</v>
      </c>
      <c r="AZ49" s="22">
        <f t="shared" si="55"/>
        <v>84</v>
      </c>
      <c r="BA49" s="46">
        <f t="shared" si="56"/>
        <v>0.16890080428954424</v>
      </c>
      <c r="BB49" s="46">
        <f t="shared" si="57"/>
        <v>0.10120481927710843</v>
      </c>
      <c r="BC49" s="19"/>
      <c r="BD49" s="20">
        <f t="shared" si="58"/>
        <v>830</v>
      </c>
      <c r="BE49" s="20">
        <v>830</v>
      </c>
      <c r="BF49" s="53">
        <f t="shared" si="59"/>
        <v>0</v>
      </c>
      <c r="BG49" s="19"/>
      <c r="BH49" s="19"/>
      <c r="BI49" s="19"/>
      <c r="BJ49" s="19"/>
      <c r="BK49" s="19"/>
    </row>
    <row r="50" spans="1:63" s="8" customFormat="1" ht="15" customHeight="1" x14ac:dyDescent="0.35">
      <c r="A50" s="2" t="s">
        <v>57</v>
      </c>
      <c r="B50" s="24">
        <f>'2017-18_working'!B50+'2017-18_working'!C50</f>
        <v>16</v>
      </c>
      <c r="C50" s="24">
        <f>'2017-18_working'!D50</f>
        <v>7</v>
      </c>
      <c r="D50" s="24">
        <f>'2017-18_working'!E50</f>
        <v>2</v>
      </c>
      <c r="E50" s="24">
        <f>'2017-18_working'!F50</f>
        <v>1</v>
      </c>
      <c r="F50" s="24">
        <f>'2017-18_working'!G50+'2017-18_working'!H50</f>
        <v>1</v>
      </c>
      <c r="G50" s="24">
        <f>'2017-18_working'!I50</f>
        <v>28</v>
      </c>
      <c r="H50" s="46">
        <f t="shared" si="19"/>
        <v>0.40740740740740738</v>
      </c>
      <c r="I50" s="46">
        <f t="shared" si="20"/>
        <v>0.50909090909090904</v>
      </c>
      <c r="J50" s="24"/>
      <c r="K50" s="24">
        <f>'2017-18_working'!K50+'2017-18_working'!L50</f>
        <v>0</v>
      </c>
      <c r="L50" s="24">
        <f>'2017-18_working'!M50</f>
        <v>0</v>
      </c>
      <c r="M50" s="24">
        <f>'2017-18_working'!N50</f>
        <v>0</v>
      </c>
      <c r="N50" s="24">
        <f>'2017-18_working'!O50</f>
        <v>0</v>
      </c>
      <c r="O50" s="24">
        <f>'2017-18_working'!P50+'2017-18_working'!Q50</f>
        <v>0</v>
      </c>
      <c r="P50" s="24">
        <f>'2017-18_working'!R50</f>
        <v>0</v>
      </c>
      <c r="Q50" s="46" t="str">
        <f t="shared" si="26"/>
        <v>-</v>
      </c>
      <c r="R50" s="46" t="str">
        <f t="shared" si="27"/>
        <v>-</v>
      </c>
      <c r="S50" s="24"/>
      <c r="T50" s="22">
        <f t="shared" si="28"/>
        <v>16</v>
      </c>
      <c r="U50" s="22">
        <f t="shared" si="29"/>
        <v>7</v>
      </c>
      <c r="V50" s="22">
        <f t="shared" si="30"/>
        <v>2</v>
      </c>
      <c r="W50" s="22">
        <f t="shared" si="31"/>
        <v>1</v>
      </c>
      <c r="X50" s="22">
        <f t="shared" si="32"/>
        <v>1</v>
      </c>
      <c r="Y50" s="22">
        <f t="shared" si="33"/>
        <v>28</v>
      </c>
      <c r="Z50" s="46">
        <f t="shared" si="34"/>
        <v>0.40740740740740738</v>
      </c>
      <c r="AA50" s="46">
        <f t="shared" si="35"/>
        <v>0.50909090909090904</v>
      </c>
      <c r="AB50" s="24"/>
      <c r="AC50" s="24">
        <f>'2017-18_working'!T50+'2017-18_working'!U50</f>
        <v>0</v>
      </c>
      <c r="AD50" s="24">
        <f>'2017-18_working'!V50</f>
        <v>0</v>
      </c>
      <c r="AE50" s="24">
        <f>'2017-18_working'!W50</f>
        <v>0</v>
      </c>
      <c r="AF50" s="24">
        <f>'2017-18_working'!X50</f>
        <v>0</v>
      </c>
      <c r="AG50" s="24">
        <f>'2017-18_working'!Y50+'2017-18_working'!Z50</f>
        <v>0</v>
      </c>
      <c r="AH50" s="24">
        <f>'2017-18_working'!AA50</f>
        <v>0</v>
      </c>
      <c r="AI50" s="46" t="str">
        <f t="shared" si="41"/>
        <v>-</v>
      </c>
      <c r="AJ50" s="46" t="str">
        <f t="shared" si="42"/>
        <v>-</v>
      </c>
      <c r="AK50" s="24"/>
      <c r="AL50" s="24">
        <f>'2017-18_working'!AC50+'2017-18_working'!AD50</f>
        <v>51</v>
      </c>
      <c r="AM50" s="24">
        <f>'2017-18_working'!AE50</f>
        <v>1</v>
      </c>
      <c r="AN50" s="24">
        <f>'2017-18_working'!AF50</f>
        <v>1</v>
      </c>
      <c r="AO50" s="24">
        <f>'2017-18_working'!AG50</f>
        <v>2</v>
      </c>
      <c r="AP50" s="24">
        <f>'2017-18_working'!AH50+'2017-18_working'!AI50</f>
        <v>1</v>
      </c>
      <c r="AQ50" s="24">
        <f>'2017-18_working'!AJ50</f>
        <v>24</v>
      </c>
      <c r="AR50" s="46">
        <f t="shared" si="48"/>
        <v>8.9285714285714288E-2</v>
      </c>
      <c r="AS50" s="46">
        <f t="shared" si="49"/>
        <v>0.3</v>
      </c>
      <c r="AT50" s="24"/>
      <c r="AU50" s="22">
        <f t="shared" si="50"/>
        <v>67</v>
      </c>
      <c r="AV50" s="22">
        <f t="shared" si="51"/>
        <v>8</v>
      </c>
      <c r="AW50" s="22">
        <f t="shared" si="52"/>
        <v>3</v>
      </c>
      <c r="AX50" s="22">
        <f t="shared" si="53"/>
        <v>3</v>
      </c>
      <c r="AY50" s="22">
        <f t="shared" si="54"/>
        <v>2</v>
      </c>
      <c r="AZ50" s="22">
        <f t="shared" si="55"/>
        <v>52</v>
      </c>
      <c r="BA50" s="46">
        <f t="shared" si="56"/>
        <v>0.19277108433734941</v>
      </c>
      <c r="BB50" s="46">
        <f t="shared" si="57"/>
        <v>0.38518518518518519</v>
      </c>
      <c r="BC50" s="19"/>
      <c r="BD50" s="20">
        <f t="shared" si="58"/>
        <v>135</v>
      </c>
      <c r="BE50" s="20">
        <v>135</v>
      </c>
      <c r="BF50" s="53">
        <f t="shared" si="59"/>
        <v>0</v>
      </c>
      <c r="BG50" s="19"/>
      <c r="BH50" s="19"/>
      <c r="BI50" s="19"/>
      <c r="BJ50" s="19"/>
      <c r="BK50" s="19"/>
    </row>
    <row r="51" spans="1:63" s="8" customFormat="1" ht="15" customHeight="1" x14ac:dyDescent="0.35">
      <c r="A51" s="2" t="s">
        <v>58</v>
      </c>
      <c r="B51" s="24">
        <f>'2017-18_working'!B51+'2017-18_working'!C51</f>
        <v>26</v>
      </c>
      <c r="C51" s="24">
        <f>'2017-18_working'!D51</f>
        <v>5</v>
      </c>
      <c r="D51" s="24">
        <f>'2017-18_working'!E51</f>
        <v>0</v>
      </c>
      <c r="E51" s="24">
        <f>'2017-18_working'!F51</f>
        <v>0</v>
      </c>
      <c r="F51" s="24">
        <f>'2017-18_working'!G51+'2017-18_working'!H51</f>
        <v>0</v>
      </c>
      <c r="G51" s="24">
        <f>'2017-18_working'!I51</f>
        <v>1</v>
      </c>
      <c r="H51" s="46">
        <f t="shared" si="19"/>
        <v>0.16129032258064516</v>
      </c>
      <c r="I51" s="46">
        <f t="shared" si="20"/>
        <v>3.125E-2</v>
      </c>
      <c r="J51" s="24"/>
      <c r="K51" s="24">
        <f>'2017-18_working'!K51+'2017-18_working'!L51</f>
        <v>14</v>
      </c>
      <c r="L51" s="24">
        <f>'2017-18_working'!M51</f>
        <v>1</v>
      </c>
      <c r="M51" s="24">
        <f>'2017-18_working'!N51</f>
        <v>0</v>
      </c>
      <c r="N51" s="24">
        <f>'2017-18_working'!O51</f>
        <v>0</v>
      </c>
      <c r="O51" s="24">
        <f>'2017-18_working'!P51+'2017-18_working'!Q51</f>
        <v>0</v>
      </c>
      <c r="P51" s="24">
        <f>'2017-18_working'!R51</f>
        <v>1</v>
      </c>
      <c r="Q51" s="46">
        <f t="shared" si="26"/>
        <v>6.6666666666666666E-2</v>
      </c>
      <c r="R51" s="46">
        <f t="shared" si="27"/>
        <v>6.25E-2</v>
      </c>
      <c r="S51" s="24"/>
      <c r="T51" s="22">
        <f t="shared" si="28"/>
        <v>40</v>
      </c>
      <c r="U51" s="22">
        <f t="shared" si="29"/>
        <v>6</v>
      </c>
      <c r="V51" s="22">
        <f t="shared" si="30"/>
        <v>0</v>
      </c>
      <c r="W51" s="22">
        <f t="shared" si="31"/>
        <v>0</v>
      </c>
      <c r="X51" s="22">
        <f t="shared" si="32"/>
        <v>0</v>
      </c>
      <c r="Y51" s="22">
        <f t="shared" si="33"/>
        <v>2</v>
      </c>
      <c r="Z51" s="46">
        <f t="shared" si="34"/>
        <v>0.13043478260869565</v>
      </c>
      <c r="AA51" s="46">
        <f t="shared" si="35"/>
        <v>4.1666666666666664E-2</v>
      </c>
      <c r="AB51" s="24"/>
      <c r="AC51" s="24">
        <f>'2017-18_working'!T51+'2017-18_working'!U51</f>
        <v>7</v>
      </c>
      <c r="AD51" s="24">
        <f>'2017-18_working'!V51</f>
        <v>0</v>
      </c>
      <c r="AE51" s="24">
        <f>'2017-18_working'!W51</f>
        <v>0</v>
      </c>
      <c r="AF51" s="24">
        <f>'2017-18_working'!X51</f>
        <v>0</v>
      </c>
      <c r="AG51" s="24">
        <f>'2017-18_working'!Y51+'2017-18_working'!Z51</f>
        <v>0</v>
      </c>
      <c r="AH51" s="24">
        <f>'2017-18_working'!AA51</f>
        <v>0</v>
      </c>
      <c r="AI51" s="46">
        <f t="shared" si="41"/>
        <v>0</v>
      </c>
      <c r="AJ51" s="46">
        <f t="shared" si="42"/>
        <v>0</v>
      </c>
      <c r="AK51" s="24"/>
      <c r="AL51" s="24">
        <f>'2017-18_working'!AC51+'2017-18_working'!AD51</f>
        <v>16</v>
      </c>
      <c r="AM51" s="24">
        <f>'2017-18_working'!AE51</f>
        <v>0</v>
      </c>
      <c r="AN51" s="24">
        <f>'2017-18_working'!AF51</f>
        <v>0</v>
      </c>
      <c r="AO51" s="24">
        <f>'2017-18_working'!AG51</f>
        <v>0</v>
      </c>
      <c r="AP51" s="24">
        <f>'2017-18_working'!AH51+'2017-18_working'!AI51</f>
        <v>0</v>
      </c>
      <c r="AQ51" s="24">
        <f>'2017-18_working'!AJ51</f>
        <v>1</v>
      </c>
      <c r="AR51" s="46">
        <f t="shared" si="48"/>
        <v>0</v>
      </c>
      <c r="AS51" s="46">
        <f t="shared" si="49"/>
        <v>5.8823529411764705E-2</v>
      </c>
      <c r="AT51" s="24"/>
      <c r="AU51" s="22">
        <f t="shared" si="50"/>
        <v>63</v>
      </c>
      <c r="AV51" s="22">
        <f t="shared" si="51"/>
        <v>6</v>
      </c>
      <c r="AW51" s="22">
        <f t="shared" si="52"/>
        <v>0</v>
      </c>
      <c r="AX51" s="22">
        <f t="shared" si="53"/>
        <v>0</v>
      </c>
      <c r="AY51" s="22">
        <f t="shared" si="54"/>
        <v>0</v>
      </c>
      <c r="AZ51" s="22">
        <f t="shared" si="55"/>
        <v>3</v>
      </c>
      <c r="BA51" s="46">
        <f t="shared" si="56"/>
        <v>8.6956521739130432E-2</v>
      </c>
      <c r="BB51" s="46">
        <f t="shared" si="57"/>
        <v>4.1666666666666664E-2</v>
      </c>
      <c r="BC51" s="19"/>
      <c r="BD51" s="20">
        <f t="shared" si="58"/>
        <v>72</v>
      </c>
      <c r="BE51" s="20">
        <v>72</v>
      </c>
      <c r="BF51" s="53">
        <f t="shared" si="59"/>
        <v>0</v>
      </c>
      <c r="BG51" s="19"/>
      <c r="BH51" s="19"/>
      <c r="BI51" s="19"/>
      <c r="BJ51" s="19"/>
      <c r="BK51" s="19"/>
    </row>
    <row r="52" spans="1:63" s="8" customFormat="1" ht="15" customHeight="1" x14ac:dyDescent="0.35">
      <c r="A52" s="2" t="s">
        <v>59</v>
      </c>
      <c r="B52" s="24">
        <f>'2017-18_working'!B52+'2017-18_working'!C52</f>
        <v>27</v>
      </c>
      <c r="C52" s="24">
        <f>'2017-18_working'!D52</f>
        <v>4</v>
      </c>
      <c r="D52" s="24">
        <f>'2017-18_working'!E52</f>
        <v>0</v>
      </c>
      <c r="E52" s="24">
        <f>'2017-18_working'!F52</f>
        <v>0</v>
      </c>
      <c r="F52" s="24">
        <f>'2017-18_working'!G52+'2017-18_working'!H52</f>
        <v>0</v>
      </c>
      <c r="G52" s="24">
        <f>'2017-18_working'!I52</f>
        <v>1</v>
      </c>
      <c r="H52" s="46">
        <f t="shared" si="19"/>
        <v>0.12903225806451613</v>
      </c>
      <c r="I52" s="46">
        <f t="shared" si="20"/>
        <v>3.125E-2</v>
      </c>
      <c r="J52" s="24"/>
      <c r="K52" s="24">
        <f>'2017-18_working'!K52+'2017-18_working'!L52</f>
        <v>26</v>
      </c>
      <c r="L52" s="24">
        <f>'2017-18_working'!M52</f>
        <v>0</v>
      </c>
      <c r="M52" s="24">
        <f>'2017-18_working'!N52</f>
        <v>0</v>
      </c>
      <c r="N52" s="24">
        <f>'2017-18_working'!O52</f>
        <v>0</v>
      </c>
      <c r="O52" s="24">
        <f>'2017-18_working'!P52+'2017-18_working'!Q52</f>
        <v>0</v>
      </c>
      <c r="P52" s="24">
        <f>'2017-18_working'!R52</f>
        <v>0</v>
      </c>
      <c r="Q52" s="46">
        <f t="shared" si="26"/>
        <v>0</v>
      </c>
      <c r="R52" s="46">
        <f t="shared" si="27"/>
        <v>0</v>
      </c>
      <c r="S52" s="24"/>
      <c r="T52" s="22">
        <f t="shared" si="28"/>
        <v>53</v>
      </c>
      <c r="U52" s="22">
        <f t="shared" si="29"/>
        <v>4</v>
      </c>
      <c r="V52" s="22">
        <f t="shared" si="30"/>
        <v>0</v>
      </c>
      <c r="W52" s="22">
        <f t="shared" si="31"/>
        <v>0</v>
      </c>
      <c r="X52" s="22">
        <f t="shared" si="32"/>
        <v>0</v>
      </c>
      <c r="Y52" s="22">
        <f t="shared" si="33"/>
        <v>1</v>
      </c>
      <c r="Z52" s="46">
        <f t="shared" si="34"/>
        <v>7.0175438596491224E-2</v>
      </c>
      <c r="AA52" s="46">
        <f t="shared" si="35"/>
        <v>1.7241379310344827E-2</v>
      </c>
      <c r="AB52" s="24"/>
      <c r="AC52" s="24">
        <f>'2017-18_working'!T52+'2017-18_working'!U52</f>
        <v>3</v>
      </c>
      <c r="AD52" s="24">
        <f>'2017-18_working'!V52</f>
        <v>0</v>
      </c>
      <c r="AE52" s="24">
        <f>'2017-18_working'!W52</f>
        <v>0</v>
      </c>
      <c r="AF52" s="24">
        <f>'2017-18_working'!X52</f>
        <v>0</v>
      </c>
      <c r="AG52" s="24">
        <f>'2017-18_working'!Y52+'2017-18_working'!Z52</f>
        <v>0</v>
      </c>
      <c r="AH52" s="24">
        <f>'2017-18_working'!AA52</f>
        <v>0</v>
      </c>
      <c r="AI52" s="46">
        <f t="shared" si="41"/>
        <v>0</v>
      </c>
      <c r="AJ52" s="46">
        <f t="shared" si="42"/>
        <v>0</v>
      </c>
      <c r="AK52" s="24"/>
      <c r="AL52" s="24">
        <f>'2017-18_working'!AC52+'2017-18_working'!AD52</f>
        <v>35</v>
      </c>
      <c r="AM52" s="24">
        <f>'2017-18_working'!AE52</f>
        <v>0</v>
      </c>
      <c r="AN52" s="24">
        <f>'2017-18_working'!AF52</f>
        <v>2</v>
      </c>
      <c r="AO52" s="24">
        <f>'2017-18_working'!AG52</f>
        <v>0</v>
      </c>
      <c r="AP52" s="24">
        <f>'2017-18_working'!AH52+'2017-18_working'!AI52</f>
        <v>0</v>
      </c>
      <c r="AQ52" s="24">
        <f>'2017-18_working'!AJ52</f>
        <v>0</v>
      </c>
      <c r="AR52" s="46">
        <f t="shared" si="48"/>
        <v>5.4054054054054057E-2</v>
      </c>
      <c r="AS52" s="46">
        <f t="shared" si="49"/>
        <v>0</v>
      </c>
      <c r="AT52" s="24"/>
      <c r="AU52" s="22">
        <f t="shared" si="50"/>
        <v>91</v>
      </c>
      <c r="AV52" s="22">
        <f t="shared" si="51"/>
        <v>4</v>
      </c>
      <c r="AW52" s="22">
        <f t="shared" si="52"/>
        <v>2</v>
      </c>
      <c r="AX52" s="22">
        <f t="shared" si="53"/>
        <v>0</v>
      </c>
      <c r="AY52" s="22">
        <f t="shared" si="54"/>
        <v>0</v>
      </c>
      <c r="AZ52" s="22">
        <f t="shared" si="55"/>
        <v>1</v>
      </c>
      <c r="BA52" s="46">
        <f t="shared" si="56"/>
        <v>6.1855670103092786E-2</v>
      </c>
      <c r="BB52" s="46">
        <f t="shared" si="57"/>
        <v>1.020408163265306E-2</v>
      </c>
      <c r="BC52" s="19"/>
      <c r="BD52" s="20">
        <f t="shared" si="58"/>
        <v>98</v>
      </c>
      <c r="BE52" s="20">
        <v>98</v>
      </c>
      <c r="BF52" s="53">
        <f t="shared" si="59"/>
        <v>0</v>
      </c>
      <c r="BG52" s="19"/>
      <c r="BH52" s="19"/>
      <c r="BI52" s="19"/>
      <c r="BJ52" s="19"/>
      <c r="BK52" s="19"/>
    </row>
    <row r="53" spans="1:63" s="8" customFormat="1" ht="15" customHeight="1" x14ac:dyDescent="0.35">
      <c r="A53" s="2" t="s">
        <v>60</v>
      </c>
      <c r="B53" s="24">
        <f>'2017-18_working'!B53+'2017-18_working'!C53</f>
        <v>6</v>
      </c>
      <c r="C53" s="24">
        <f>'2017-18_working'!D53</f>
        <v>0</v>
      </c>
      <c r="D53" s="24">
        <f>'2017-18_working'!E53</f>
        <v>0</v>
      </c>
      <c r="E53" s="24">
        <f>'2017-18_working'!F53</f>
        <v>0</v>
      </c>
      <c r="F53" s="24">
        <f>'2017-18_working'!G53+'2017-18_working'!H53</f>
        <v>0</v>
      </c>
      <c r="G53" s="24">
        <f>'2017-18_working'!I53</f>
        <v>0</v>
      </c>
      <c r="H53" s="46">
        <f t="shared" si="19"/>
        <v>0</v>
      </c>
      <c r="I53" s="46">
        <f t="shared" si="20"/>
        <v>0</v>
      </c>
      <c r="J53" s="24"/>
      <c r="K53" s="24">
        <f>'2017-18_working'!K53+'2017-18_working'!L53</f>
        <v>6</v>
      </c>
      <c r="L53" s="24">
        <f>'2017-18_working'!M53</f>
        <v>0</v>
      </c>
      <c r="M53" s="24">
        <f>'2017-18_working'!N53</f>
        <v>0</v>
      </c>
      <c r="N53" s="24">
        <f>'2017-18_working'!O53</f>
        <v>0</v>
      </c>
      <c r="O53" s="24">
        <f>'2017-18_working'!P53+'2017-18_working'!Q53</f>
        <v>0</v>
      </c>
      <c r="P53" s="24">
        <f>'2017-18_working'!R53</f>
        <v>0</v>
      </c>
      <c r="Q53" s="46">
        <f t="shared" si="26"/>
        <v>0</v>
      </c>
      <c r="R53" s="46">
        <f t="shared" si="27"/>
        <v>0</v>
      </c>
      <c r="S53" s="24"/>
      <c r="T53" s="22">
        <f t="shared" si="28"/>
        <v>12</v>
      </c>
      <c r="U53" s="22">
        <f t="shared" si="29"/>
        <v>0</v>
      </c>
      <c r="V53" s="22">
        <f t="shared" si="30"/>
        <v>0</v>
      </c>
      <c r="W53" s="22">
        <f t="shared" si="31"/>
        <v>0</v>
      </c>
      <c r="X53" s="22">
        <f t="shared" si="32"/>
        <v>0</v>
      </c>
      <c r="Y53" s="22">
        <f t="shared" si="33"/>
        <v>0</v>
      </c>
      <c r="Z53" s="46">
        <f t="shared" si="34"/>
        <v>0</v>
      </c>
      <c r="AA53" s="46">
        <f t="shared" si="35"/>
        <v>0</v>
      </c>
      <c r="AB53" s="24"/>
      <c r="AC53" s="24">
        <f>'2017-18_working'!T53+'2017-18_working'!U53</f>
        <v>1</v>
      </c>
      <c r="AD53" s="24">
        <f>'2017-18_working'!V53</f>
        <v>0</v>
      </c>
      <c r="AE53" s="24">
        <f>'2017-18_working'!W53</f>
        <v>0</v>
      </c>
      <c r="AF53" s="24">
        <f>'2017-18_working'!X53</f>
        <v>0</v>
      </c>
      <c r="AG53" s="24">
        <f>'2017-18_working'!Y53+'2017-18_working'!Z53</f>
        <v>0</v>
      </c>
      <c r="AH53" s="24">
        <f>'2017-18_working'!AA53</f>
        <v>0</v>
      </c>
      <c r="AI53" s="46">
        <f t="shared" si="41"/>
        <v>0</v>
      </c>
      <c r="AJ53" s="46">
        <f t="shared" si="42"/>
        <v>0</v>
      </c>
      <c r="AK53" s="24"/>
      <c r="AL53" s="24">
        <f>'2017-18_working'!AC53+'2017-18_working'!AD53</f>
        <v>20</v>
      </c>
      <c r="AM53" s="24">
        <f>'2017-18_working'!AE53</f>
        <v>0</v>
      </c>
      <c r="AN53" s="24">
        <f>'2017-18_working'!AF53</f>
        <v>1</v>
      </c>
      <c r="AO53" s="24">
        <f>'2017-18_working'!AG53</f>
        <v>0</v>
      </c>
      <c r="AP53" s="24">
        <f>'2017-18_working'!AH53+'2017-18_working'!AI53</f>
        <v>0</v>
      </c>
      <c r="AQ53" s="24">
        <f>'2017-18_working'!AJ53</f>
        <v>4</v>
      </c>
      <c r="AR53" s="46">
        <f t="shared" si="48"/>
        <v>4.7619047619047616E-2</v>
      </c>
      <c r="AS53" s="46">
        <f t="shared" si="49"/>
        <v>0.16</v>
      </c>
      <c r="AT53" s="24"/>
      <c r="AU53" s="22">
        <f t="shared" si="50"/>
        <v>33</v>
      </c>
      <c r="AV53" s="22">
        <f t="shared" si="51"/>
        <v>0</v>
      </c>
      <c r="AW53" s="22">
        <f t="shared" si="52"/>
        <v>1</v>
      </c>
      <c r="AX53" s="22">
        <f t="shared" si="53"/>
        <v>0</v>
      </c>
      <c r="AY53" s="22">
        <f t="shared" si="54"/>
        <v>0</v>
      </c>
      <c r="AZ53" s="22">
        <f t="shared" si="55"/>
        <v>4</v>
      </c>
      <c r="BA53" s="46">
        <f t="shared" si="56"/>
        <v>2.9411764705882353E-2</v>
      </c>
      <c r="BB53" s="46">
        <f t="shared" si="57"/>
        <v>0.10526315789473684</v>
      </c>
      <c r="BC53" s="19"/>
      <c r="BD53" s="20">
        <f t="shared" si="58"/>
        <v>38</v>
      </c>
      <c r="BE53" s="20">
        <v>38</v>
      </c>
      <c r="BF53" s="53">
        <f t="shared" si="59"/>
        <v>0</v>
      </c>
      <c r="BG53" s="19"/>
      <c r="BH53" s="19"/>
      <c r="BI53" s="19"/>
      <c r="BJ53" s="19"/>
      <c r="BK53" s="19"/>
    </row>
    <row r="54" spans="1:63" s="8" customFormat="1" ht="15" customHeight="1" x14ac:dyDescent="0.35">
      <c r="A54" s="2" t="s">
        <v>61</v>
      </c>
      <c r="B54" s="24">
        <f>'2017-18_working'!B54+'2017-18_working'!C54</f>
        <v>53</v>
      </c>
      <c r="C54" s="24">
        <f>'2017-18_working'!D54</f>
        <v>12</v>
      </c>
      <c r="D54" s="24">
        <f>'2017-18_working'!E54</f>
        <v>3</v>
      </c>
      <c r="E54" s="24">
        <f>'2017-18_working'!F54</f>
        <v>4</v>
      </c>
      <c r="F54" s="24">
        <f>'2017-18_working'!G54+'2017-18_working'!H54</f>
        <v>0</v>
      </c>
      <c r="G54" s="24">
        <f>'2017-18_working'!I54</f>
        <v>1</v>
      </c>
      <c r="H54" s="46">
        <f t="shared" si="19"/>
        <v>0.2638888888888889</v>
      </c>
      <c r="I54" s="46">
        <f t="shared" si="20"/>
        <v>1.3698630136986301E-2</v>
      </c>
      <c r="J54" s="24"/>
      <c r="K54" s="24">
        <f>'2017-18_working'!K54+'2017-18_working'!L54</f>
        <v>0</v>
      </c>
      <c r="L54" s="24">
        <f>'2017-18_working'!M54</f>
        <v>0</v>
      </c>
      <c r="M54" s="24">
        <f>'2017-18_working'!N54</f>
        <v>0</v>
      </c>
      <c r="N54" s="24">
        <f>'2017-18_working'!O54</f>
        <v>0</v>
      </c>
      <c r="O54" s="24">
        <f>'2017-18_working'!P54+'2017-18_working'!Q54</f>
        <v>0</v>
      </c>
      <c r="P54" s="24">
        <f>'2017-18_working'!R54</f>
        <v>0</v>
      </c>
      <c r="Q54" s="46" t="str">
        <f t="shared" si="26"/>
        <v>-</v>
      </c>
      <c r="R54" s="46" t="str">
        <f t="shared" si="27"/>
        <v>-</v>
      </c>
      <c r="S54" s="24"/>
      <c r="T54" s="22">
        <f t="shared" si="28"/>
        <v>53</v>
      </c>
      <c r="U54" s="22">
        <f t="shared" si="29"/>
        <v>12</v>
      </c>
      <c r="V54" s="22">
        <f t="shared" si="30"/>
        <v>3</v>
      </c>
      <c r="W54" s="22">
        <f t="shared" si="31"/>
        <v>4</v>
      </c>
      <c r="X54" s="22">
        <f t="shared" si="32"/>
        <v>0</v>
      </c>
      <c r="Y54" s="22">
        <f t="shared" si="33"/>
        <v>1</v>
      </c>
      <c r="Z54" s="46">
        <f t="shared" si="34"/>
        <v>0.2638888888888889</v>
      </c>
      <c r="AA54" s="46">
        <f t="shared" si="35"/>
        <v>1.3698630136986301E-2</v>
      </c>
      <c r="AB54" s="24"/>
      <c r="AC54" s="24">
        <f>'2017-18_working'!T54+'2017-18_working'!U54</f>
        <v>2</v>
      </c>
      <c r="AD54" s="24">
        <f>'2017-18_working'!V54</f>
        <v>0</v>
      </c>
      <c r="AE54" s="24">
        <f>'2017-18_working'!W54</f>
        <v>0</v>
      </c>
      <c r="AF54" s="24">
        <f>'2017-18_working'!X54</f>
        <v>0</v>
      </c>
      <c r="AG54" s="24">
        <f>'2017-18_working'!Y54+'2017-18_working'!Z54</f>
        <v>0</v>
      </c>
      <c r="AH54" s="24">
        <f>'2017-18_working'!AA54</f>
        <v>0</v>
      </c>
      <c r="AI54" s="46">
        <f t="shared" si="41"/>
        <v>0</v>
      </c>
      <c r="AJ54" s="46">
        <f t="shared" si="42"/>
        <v>0</v>
      </c>
      <c r="AK54" s="24"/>
      <c r="AL54" s="24">
        <f>'2017-18_working'!AC54+'2017-18_working'!AD54</f>
        <v>10</v>
      </c>
      <c r="AM54" s="24">
        <f>'2017-18_working'!AE54</f>
        <v>0</v>
      </c>
      <c r="AN54" s="24">
        <f>'2017-18_working'!AF54</f>
        <v>1</v>
      </c>
      <c r="AO54" s="24">
        <f>'2017-18_working'!AG54</f>
        <v>0</v>
      </c>
      <c r="AP54" s="24">
        <f>'2017-18_working'!AH54+'2017-18_working'!AI54</f>
        <v>0</v>
      </c>
      <c r="AQ54" s="24">
        <f>'2017-18_working'!AJ54</f>
        <v>8</v>
      </c>
      <c r="AR54" s="46">
        <f t="shared" si="48"/>
        <v>9.0909090909090912E-2</v>
      </c>
      <c r="AS54" s="46">
        <f t="shared" si="49"/>
        <v>0.42105263157894735</v>
      </c>
      <c r="AT54" s="24"/>
      <c r="AU54" s="22">
        <f t="shared" si="50"/>
        <v>65</v>
      </c>
      <c r="AV54" s="22">
        <f t="shared" si="51"/>
        <v>12</v>
      </c>
      <c r="AW54" s="22">
        <f t="shared" si="52"/>
        <v>4</v>
      </c>
      <c r="AX54" s="22">
        <f t="shared" si="53"/>
        <v>4</v>
      </c>
      <c r="AY54" s="22">
        <f t="shared" si="54"/>
        <v>0</v>
      </c>
      <c r="AZ54" s="22">
        <f t="shared" si="55"/>
        <v>9</v>
      </c>
      <c r="BA54" s="46">
        <f t="shared" si="56"/>
        <v>0.23529411764705882</v>
      </c>
      <c r="BB54" s="46">
        <f t="shared" si="57"/>
        <v>9.5744680851063829E-2</v>
      </c>
      <c r="BC54" s="19"/>
      <c r="BD54" s="20">
        <f t="shared" si="58"/>
        <v>94</v>
      </c>
      <c r="BE54" s="20">
        <v>94</v>
      </c>
      <c r="BF54" s="53">
        <f t="shared" si="59"/>
        <v>0</v>
      </c>
      <c r="BG54" s="19"/>
      <c r="BH54" s="19"/>
      <c r="BI54" s="19"/>
      <c r="BJ54" s="19"/>
      <c r="BK54" s="19"/>
    </row>
    <row r="55" spans="1:63" s="8" customFormat="1" ht="15" customHeight="1" x14ac:dyDescent="0.35">
      <c r="A55" s="2" t="s">
        <v>62</v>
      </c>
      <c r="B55" s="24">
        <f>'2017-18_working'!B55+'2017-18_working'!C55</f>
        <v>29</v>
      </c>
      <c r="C55" s="24">
        <f>'2017-18_working'!D55</f>
        <v>0</v>
      </c>
      <c r="D55" s="24">
        <f>'2017-18_working'!E55</f>
        <v>0</v>
      </c>
      <c r="E55" s="24">
        <f>'2017-18_working'!F55</f>
        <v>1</v>
      </c>
      <c r="F55" s="24">
        <f>'2017-18_working'!G55+'2017-18_working'!H55</f>
        <v>0</v>
      </c>
      <c r="G55" s="24">
        <f>'2017-18_working'!I55</f>
        <v>6</v>
      </c>
      <c r="H55" s="46">
        <f t="shared" si="19"/>
        <v>3.3333333333333333E-2</v>
      </c>
      <c r="I55" s="46">
        <f t="shared" si="20"/>
        <v>0.16666666666666666</v>
      </c>
      <c r="J55" s="24"/>
      <c r="K55" s="24">
        <f>'2017-18_working'!K55+'2017-18_working'!L55</f>
        <v>7</v>
      </c>
      <c r="L55" s="24">
        <f>'2017-18_working'!M55</f>
        <v>0</v>
      </c>
      <c r="M55" s="24">
        <f>'2017-18_working'!N55</f>
        <v>0</v>
      </c>
      <c r="N55" s="24">
        <f>'2017-18_working'!O55</f>
        <v>0</v>
      </c>
      <c r="O55" s="24">
        <f>'2017-18_working'!P55+'2017-18_working'!Q55</f>
        <v>0</v>
      </c>
      <c r="P55" s="24">
        <f>'2017-18_working'!R55</f>
        <v>0</v>
      </c>
      <c r="Q55" s="46">
        <f t="shared" si="26"/>
        <v>0</v>
      </c>
      <c r="R55" s="46">
        <f t="shared" si="27"/>
        <v>0</v>
      </c>
      <c r="S55" s="24"/>
      <c r="T55" s="22">
        <f t="shared" si="28"/>
        <v>36</v>
      </c>
      <c r="U55" s="22">
        <f t="shared" si="29"/>
        <v>0</v>
      </c>
      <c r="V55" s="22">
        <f t="shared" si="30"/>
        <v>0</v>
      </c>
      <c r="W55" s="22">
        <f t="shared" si="31"/>
        <v>1</v>
      </c>
      <c r="X55" s="22">
        <f t="shared" si="32"/>
        <v>0</v>
      </c>
      <c r="Y55" s="22">
        <f t="shared" si="33"/>
        <v>6</v>
      </c>
      <c r="Z55" s="46">
        <f t="shared" si="34"/>
        <v>2.7027027027027029E-2</v>
      </c>
      <c r="AA55" s="46">
        <f t="shared" si="35"/>
        <v>0.13953488372093023</v>
      </c>
      <c r="AB55" s="24"/>
      <c r="AC55" s="24">
        <f>'2017-18_working'!T55+'2017-18_working'!U55</f>
        <v>0</v>
      </c>
      <c r="AD55" s="24">
        <f>'2017-18_working'!V55</f>
        <v>0</v>
      </c>
      <c r="AE55" s="24">
        <f>'2017-18_working'!W55</f>
        <v>0</v>
      </c>
      <c r="AF55" s="24">
        <f>'2017-18_working'!X55</f>
        <v>0</v>
      </c>
      <c r="AG55" s="24">
        <f>'2017-18_working'!Y55+'2017-18_working'!Z55</f>
        <v>0</v>
      </c>
      <c r="AH55" s="24">
        <f>'2017-18_working'!AA55</f>
        <v>0</v>
      </c>
      <c r="AI55" s="46" t="str">
        <f t="shared" si="41"/>
        <v>-</v>
      </c>
      <c r="AJ55" s="46" t="str">
        <f t="shared" si="42"/>
        <v>-</v>
      </c>
      <c r="AK55" s="24"/>
      <c r="AL55" s="24">
        <f>'2017-18_working'!AC55+'2017-18_working'!AD55</f>
        <v>37</v>
      </c>
      <c r="AM55" s="24">
        <f>'2017-18_working'!AE55</f>
        <v>1</v>
      </c>
      <c r="AN55" s="24">
        <f>'2017-18_working'!AF55</f>
        <v>6</v>
      </c>
      <c r="AO55" s="24">
        <f>'2017-18_working'!AG55</f>
        <v>1</v>
      </c>
      <c r="AP55" s="24">
        <f>'2017-18_working'!AH55+'2017-18_working'!AI55</f>
        <v>3</v>
      </c>
      <c r="AQ55" s="24">
        <f>'2017-18_working'!AJ55</f>
        <v>2</v>
      </c>
      <c r="AR55" s="46">
        <f t="shared" si="48"/>
        <v>0.22916666666666666</v>
      </c>
      <c r="AS55" s="46">
        <f t="shared" si="49"/>
        <v>0.04</v>
      </c>
      <c r="AT55" s="24"/>
      <c r="AU55" s="22">
        <f t="shared" si="50"/>
        <v>73</v>
      </c>
      <c r="AV55" s="22">
        <f t="shared" si="51"/>
        <v>1</v>
      </c>
      <c r="AW55" s="22">
        <f t="shared" si="52"/>
        <v>6</v>
      </c>
      <c r="AX55" s="22">
        <f t="shared" si="53"/>
        <v>2</v>
      </c>
      <c r="AY55" s="22">
        <f t="shared" si="54"/>
        <v>3</v>
      </c>
      <c r="AZ55" s="22">
        <f t="shared" si="55"/>
        <v>8</v>
      </c>
      <c r="BA55" s="46">
        <f t="shared" si="56"/>
        <v>0.14117647058823529</v>
      </c>
      <c r="BB55" s="46">
        <f t="shared" si="57"/>
        <v>8.6021505376344093E-2</v>
      </c>
      <c r="BC55" s="19"/>
      <c r="BD55" s="20">
        <f t="shared" si="58"/>
        <v>93</v>
      </c>
      <c r="BE55" s="20">
        <v>93</v>
      </c>
      <c r="BF55" s="53">
        <f t="shared" si="59"/>
        <v>0</v>
      </c>
      <c r="BG55" s="19"/>
      <c r="BH55" s="19"/>
      <c r="BI55" s="19"/>
      <c r="BJ55" s="19"/>
      <c r="BK55" s="19"/>
    </row>
    <row r="56" spans="1:63" s="8" customFormat="1" ht="15" customHeight="1" thickBot="1" x14ac:dyDescent="0.4">
      <c r="A56" s="27" t="s">
        <v>63</v>
      </c>
      <c r="B56" s="24">
        <f>'2017-18_working'!B56+'2017-18_working'!C56</f>
        <v>171</v>
      </c>
      <c r="C56" s="24">
        <f>'2017-18_working'!D56</f>
        <v>9</v>
      </c>
      <c r="D56" s="24">
        <f>'2017-18_working'!E56</f>
        <v>7</v>
      </c>
      <c r="E56" s="24">
        <f>'2017-18_working'!F56</f>
        <v>11</v>
      </c>
      <c r="F56" s="24">
        <f>'2017-18_working'!G56+'2017-18_working'!H56</f>
        <v>4</v>
      </c>
      <c r="G56" s="24">
        <f>'2017-18_working'!I56</f>
        <v>4</v>
      </c>
      <c r="H56" s="46">
        <f t="shared" si="19"/>
        <v>0.15346534653465346</v>
      </c>
      <c r="I56" s="46">
        <f t="shared" si="20"/>
        <v>1.9417475728155338E-2</v>
      </c>
      <c r="J56" s="28"/>
      <c r="K56" s="24">
        <f>'2017-18_working'!K56+'2017-18_working'!L56</f>
        <v>0</v>
      </c>
      <c r="L56" s="24">
        <f>'2017-18_working'!M56</f>
        <v>0</v>
      </c>
      <c r="M56" s="24">
        <f>'2017-18_working'!N56</f>
        <v>0</v>
      </c>
      <c r="N56" s="24">
        <f>'2017-18_working'!O56</f>
        <v>0</v>
      </c>
      <c r="O56" s="24">
        <f>'2017-18_working'!P56+'2017-18_working'!Q56</f>
        <v>0</v>
      </c>
      <c r="P56" s="24">
        <f>'2017-18_working'!R56</f>
        <v>0</v>
      </c>
      <c r="Q56" s="46" t="str">
        <f t="shared" si="26"/>
        <v>-</v>
      </c>
      <c r="R56" s="46" t="str">
        <f t="shared" si="27"/>
        <v>-</v>
      </c>
      <c r="S56" s="28"/>
      <c r="T56" s="22">
        <f t="shared" si="28"/>
        <v>171</v>
      </c>
      <c r="U56" s="22">
        <f t="shared" si="29"/>
        <v>9</v>
      </c>
      <c r="V56" s="22">
        <f t="shared" si="30"/>
        <v>7</v>
      </c>
      <c r="W56" s="22">
        <f t="shared" si="31"/>
        <v>11</v>
      </c>
      <c r="X56" s="22">
        <f t="shared" si="32"/>
        <v>4</v>
      </c>
      <c r="Y56" s="22">
        <f t="shared" si="33"/>
        <v>4</v>
      </c>
      <c r="Z56" s="46">
        <f t="shared" si="34"/>
        <v>0.15346534653465346</v>
      </c>
      <c r="AA56" s="46">
        <f t="shared" si="35"/>
        <v>1.9417475728155338E-2</v>
      </c>
      <c r="AB56" s="28"/>
      <c r="AC56" s="24">
        <f>'2017-18_working'!T56+'2017-18_working'!U56</f>
        <v>16</v>
      </c>
      <c r="AD56" s="24">
        <f>'2017-18_working'!V56</f>
        <v>2</v>
      </c>
      <c r="AE56" s="24">
        <f>'2017-18_working'!W56</f>
        <v>1</v>
      </c>
      <c r="AF56" s="24">
        <f>'2017-18_working'!X56</f>
        <v>1</v>
      </c>
      <c r="AG56" s="24">
        <f>'2017-18_working'!Y56+'2017-18_working'!Z56</f>
        <v>0</v>
      </c>
      <c r="AH56" s="24">
        <f>'2017-18_working'!AA56</f>
        <v>0</v>
      </c>
      <c r="AI56" s="46">
        <f t="shared" si="41"/>
        <v>0.2</v>
      </c>
      <c r="AJ56" s="46">
        <f t="shared" si="42"/>
        <v>0</v>
      </c>
      <c r="AK56" s="28"/>
      <c r="AL56" s="24">
        <f>'2017-18_working'!AC56+'2017-18_working'!AD56</f>
        <v>41</v>
      </c>
      <c r="AM56" s="24">
        <f>'2017-18_working'!AE56</f>
        <v>2</v>
      </c>
      <c r="AN56" s="24">
        <f>'2017-18_working'!AF56</f>
        <v>5</v>
      </c>
      <c r="AO56" s="24">
        <f>'2017-18_working'!AG56</f>
        <v>17</v>
      </c>
      <c r="AP56" s="24">
        <f>'2017-18_working'!AH56+'2017-18_working'!AI56</f>
        <v>6</v>
      </c>
      <c r="AQ56" s="24">
        <f>'2017-18_working'!AJ56</f>
        <v>3</v>
      </c>
      <c r="AR56" s="46">
        <f t="shared" si="48"/>
        <v>0.42253521126760563</v>
      </c>
      <c r="AS56" s="46">
        <f t="shared" si="49"/>
        <v>4.0540540540540543E-2</v>
      </c>
      <c r="AT56" s="28"/>
      <c r="AU56" s="22">
        <f t="shared" si="50"/>
        <v>228</v>
      </c>
      <c r="AV56" s="22">
        <f t="shared" si="51"/>
        <v>13</v>
      </c>
      <c r="AW56" s="22">
        <f t="shared" si="52"/>
        <v>13</v>
      </c>
      <c r="AX56" s="22">
        <f t="shared" si="53"/>
        <v>29</v>
      </c>
      <c r="AY56" s="22">
        <f t="shared" si="54"/>
        <v>10</v>
      </c>
      <c r="AZ56" s="22">
        <f t="shared" si="55"/>
        <v>7</v>
      </c>
      <c r="BA56" s="46">
        <f t="shared" si="56"/>
        <v>0.22184300341296928</v>
      </c>
      <c r="BB56" s="46">
        <f t="shared" si="57"/>
        <v>2.3333333333333334E-2</v>
      </c>
      <c r="BC56" s="19"/>
      <c r="BD56" s="20">
        <f t="shared" si="58"/>
        <v>300</v>
      </c>
      <c r="BE56" s="20">
        <v>300</v>
      </c>
      <c r="BF56" s="53">
        <f t="shared" si="59"/>
        <v>0</v>
      </c>
      <c r="BG56" s="19"/>
      <c r="BH56" s="19"/>
      <c r="BI56" s="19"/>
      <c r="BJ56" s="19"/>
      <c r="BK56" s="19"/>
    </row>
    <row r="57" spans="1:63" s="8" customFormat="1" ht="15" customHeigh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 x14ac:dyDescent="0.35">
      <c r="A58" s="80" t="s">
        <v>64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</row>
    <row r="59" spans="1:63" x14ac:dyDescent="0.35">
      <c r="A59" s="38" t="s">
        <v>76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Z59" s="38"/>
      <c r="AA59" s="38"/>
    </row>
    <row r="60" spans="1:63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1:63" x14ac:dyDescent="0.35">
      <c r="A61" s="33" t="s">
        <v>65</v>
      </c>
    </row>
    <row r="62" spans="1:63" x14ac:dyDescent="0.35">
      <c r="A62" s="82" t="s">
        <v>66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4" spans="1:63" x14ac:dyDescent="0.35">
      <c r="A64" s="4" t="s">
        <v>67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Z64" s="34"/>
      <c r="AA64" s="34"/>
    </row>
    <row r="65" spans="1:27" x14ac:dyDescent="0.35">
      <c r="A65" s="35" t="s">
        <v>68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Z65" s="34"/>
      <c r="AA65" s="34"/>
    </row>
    <row r="67" spans="1:27" x14ac:dyDescent="0.35">
      <c r="A67" s="80" t="s">
        <v>69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</row>
    <row r="68" spans="1:27" x14ac:dyDescent="0.35">
      <c r="A68" s="35"/>
    </row>
    <row r="69" spans="1:27" x14ac:dyDescent="0.35">
      <c r="A69" s="4" t="s">
        <v>70</v>
      </c>
      <c r="X69" s="36"/>
    </row>
    <row r="70" spans="1:27" x14ac:dyDescent="0.35">
      <c r="A70" s="35" t="s">
        <v>72</v>
      </c>
      <c r="X70" s="36"/>
    </row>
  </sheetData>
  <mergeCells count="12">
    <mergeCell ref="A58:X58"/>
    <mergeCell ref="A60:X60"/>
    <mergeCell ref="A62:X62"/>
    <mergeCell ref="A67:X67"/>
    <mergeCell ref="A1:BB1"/>
    <mergeCell ref="B5:BB5"/>
    <mergeCell ref="B6:H6"/>
    <mergeCell ref="K6:R6"/>
    <mergeCell ref="T6:Z6"/>
    <mergeCell ref="AC6:AI6"/>
    <mergeCell ref="AL6:AR6"/>
    <mergeCell ref="AU6:B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70"/>
  <sheetViews>
    <sheetView topLeftCell="AD1" zoomScale="80" zoomScaleNormal="80" workbookViewId="0">
      <selection activeCell="AU8" sqref="AU8"/>
    </sheetView>
  </sheetViews>
  <sheetFormatPr defaultColWidth="9.1796875" defaultRowHeight="14.5" x14ac:dyDescent="0.35"/>
  <cols>
    <col min="1" max="1" width="50.7265625" style="4" customWidth="1"/>
    <col min="2" max="9" width="8.7265625" style="4" customWidth="1"/>
    <col min="10" max="10" width="2.7265625" style="4" customWidth="1"/>
    <col min="11" max="18" width="8.7265625" style="4" customWidth="1"/>
    <col min="19" max="19" width="2.7265625" style="4" customWidth="1"/>
    <col min="20" max="27" width="8.7265625" style="4" customWidth="1"/>
    <col min="28" max="28" width="2.7265625" style="4" customWidth="1"/>
    <col min="29" max="36" width="8.7265625" style="4" customWidth="1"/>
    <col min="37" max="37" width="2.7265625" style="4" customWidth="1"/>
    <col min="38" max="45" width="8.7265625" style="4" customWidth="1"/>
    <col min="46" max="46" width="2.7265625" style="4" customWidth="1"/>
    <col min="47" max="54" width="8.7265625" style="4" customWidth="1"/>
    <col min="55" max="16384" width="9.1796875" style="4"/>
  </cols>
  <sheetData>
    <row r="1" spans="1:64" s="1" customFormat="1" ht="23.25" customHeight="1" x14ac:dyDescent="0.5">
      <c r="A1" s="83" t="s">
        <v>86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</row>
    <row r="2" spans="1:64" s="1" customFormat="1" ht="23.25" customHeight="1" x14ac:dyDescent="0.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64" s="1" customFormat="1" ht="23.25" customHeight="1" x14ac:dyDescent="0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64" s="1" customFormat="1" ht="23.25" customHeight="1" x14ac:dyDescent="0.5">
      <c r="A4" s="88" t="str">
        <f>FIRE1121!A4</f>
        <v>2017-18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</row>
    <row r="5" spans="1:64" s="3" customFormat="1" x14ac:dyDescent="0.35">
      <c r="A5" s="2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</row>
    <row r="6" spans="1:64" s="8" customFormat="1" ht="15.75" customHeight="1" thickBot="1" x14ac:dyDescent="0.4">
      <c r="A6" s="4"/>
      <c r="B6" s="85" t="s">
        <v>1</v>
      </c>
      <c r="C6" s="85"/>
      <c r="D6" s="85"/>
      <c r="E6" s="85"/>
      <c r="F6" s="85"/>
      <c r="G6" s="85"/>
      <c r="H6" s="85"/>
      <c r="I6" s="40"/>
      <c r="J6" s="39"/>
      <c r="K6" s="87" t="s">
        <v>75</v>
      </c>
      <c r="L6" s="87"/>
      <c r="M6" s="87"/>
      <c r="N6" s="87"/>
      <c r="O6" s="87"/>
      <c r="P6" s="87"/>
      <c r="Q6" s="87"/>
      <c r="R6" s="87"/>
      <c r="S6" s="39"/>
      <c r="T6" s="86" t="s">
        <v>2</v>
      </c>
      <c r="U6" s="86"/>
      <c r="V6" s="86"/>
      <c r="W6" s="86"/>
      <c r="X6" s="86"/>
      <c r="Y6" s="86"/>
      <c r="Z6" s="86"/>
      <c r="AA6" s="7"/>
      <c r="AB6" s="39"/>
      <c r="AC6" s="87" t="s">
        <v>3</v>
      </c>
      <c r="AD6" s="87"/>
      <c r="AE6" s="87"/>
      <c r="AF6" s="87"/>
      <c r="AG6" s="87"/>
      <c r="AH6" s="87"/>
      <c r="AI6" s="87"/>
      <c r="AJ6" s="40"/>
      <c r="AK6" s="39"/>
      <c r="AL6" s="87" t="s">
        <v>4</v>
      </c>
      <c r="AM6" s="87"/>
      <c r="AN6" s="87"/>
      <c r="AO6" s="87"/>
      <c r="AP6" s="87"/>
      <c r="AQ6" s="87"/>
      <c r="AR6" s="87"/>
      <c r="AS6" s="40"/>
      <c r="AT6" s="39"/>
      <c r="AU6" s="86" t="s">
        <v>5</v>
      </c>
      <c r="AV6" s="86"/>
      <c r="AW6" s="86"/>
      <c r="AX6" s="86"/>
      <c r="AY6" s="86"/>
      <c r="AZ6" s="86"/>
      <c r="BA6" s="86"/>
      <c r="BB6" s="86"/>
    </row>
    <row r="7" spans="1:64" s="15" customFormat="1" ht="58.5" thickBot="1" x14ac:dyDescent="0.4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 t="s">
        <v>13</v>
      </c>
      <c r="I7" s="11" t="s">
        <v>14</v>
      </c>
      <c r="J7" s="41"/>
      <c r="K7" s="10" t="s">
        <v>7</v>
      </c>
      <c r="L7" s="10" t="s">
        <v>8</v>
      </c>
      <c r="M7" s="10" t="s">
        <v>9</v>
      </c>
      <c r="N7" s="10" t="s">
        <v>10</v>
      </c>
      <c r="O7" s="10" t="s">
        <v>11</v>
      </c>
      <c r="P7" s="10" t="s">
        <v>12</v>
      </c>
      <c r="Q7" s="11" t="s">
        <v>13</v>
      </c>
      <c r="R7" s="11" t="s">
        <v>14</v>
      </c>
      <c r="S7" s="41"/>
      <c r="T7" s="13" t="s">
        <v>7</v>
      </c>
      <c r="U7" s="13" t="s">
        <v>8</v>
      </c>
      <c r="V7" s="13" t="s">
        <v>9</v>
      </c>
      <c r="W7" s="13" t="s">
        <v>10</v>
      </c>
      <c r="X7" s="13" t="s">
        <v>11</v>
      </c>
      <c r="Y7" s="13" t="s">
        <v>12</v>
      </c>
      <c r="Z7" s="11" t="s">
        <v>13</v>
      </c>
      <c r="AA7" s="11" t="s">
        <v>14</v>
      </c>
      <c r="AB7" s="41"/>
      <c r="AC7" s="10" t="s">
        <v>7</v>
      </c>
      <c r="AD7" s="10" t="s">
        <v>8</v>
      </c>
      <c r="AE7" s="10" t="s">
        <v>9</v>
      </c>
      <c r="AF7" s="10" t="s">
        <v>10</v>
      </c>
      <c r="AG7" s="10" t="s">
        <v>11</v>
      </c>
      <c r="AH7" s="10" t="s">
        <v>12</v>
      </c>
      <c r="AI7" s="11" t="s">
        <v>13</v>
      </c>
      <c r="AJ7" s="11" t="s">
        <v>14</v>
      </c>
      <c r="AK7" s="41"/>
      <c r="AL7" s="10" t="s">
        <v>7</v>
      </c>
      <c r="AM7" s="10" t="s">
        <v>8</v>
      </c>
      <c r="AN7" s="10" t="s">
        <v>9</v>
      </c>
      <c r="AO7" s="10" t="s">
        <v>10</v>
      </c>
      <c r="AP7" s="10" t="s">
        <v>11</v>
      </c>
      <c r="AQ7" s="10" t="s">
        <v>12</v>
      </c>
      <c r="AR7" s="11" t="s">
        <v>13</v>
      </c>
      <c r="AS7" s="11" t="s">
        <v>14</v>
      </c>
      <c r="AT7" s="41"/>
      <c r="AU7" s="13" t="s">
        <v>7</v>
      </c>
      <c r="AV7" s="13" t="s">
        <v>8</v>
      </c>
      <c r="AW7" s="13" t="s">
        <v>9</v>
      </c>
      <c r="AX7" s="13" t="s">
        <v>10</v>
      </c>
      <c r="AY7" s="13" t="s">
        <v>11</v>
      </c>
      <c r="AZ7" s="13" t="s">
        <v>12</v>
      </c>
      <c r="BA7" s="11" t="s">
        <v>13</v>
      </c>
      <c r="BB7" s="11" t="s">
        <v>14</v>
      </c>
    </row>
    <row r="8" spans="1:64" s="8" customFormat="1" ht="15" customHeight="1" x14ac:dyDescent="0.35">
      <c r="A8" s="16" t="s">
        <v>15</v>
      </c>
      <c r="B8" s="22">
        <f ca="1">B9+B49</f>
        <v>824</v>
      </c>
      <c r="C8" s="22">
        <f t="shared" ref="C8:G8" ca="1" si="0">C9+C49</f>
        <v>48</v>
      </c>
      <c r="D8" s="22">
        <f t="shared" ca="1" si="0"/>
        <v>17</v>
      </c>
      <c r="E8" s="22">
        <f t="shared" ca="1" si="0"/>
        <v>18</v>
      </c>
      <c r="F8" s="22">
        <f t="shared" ca="1" si="0"/>
        <v>5</v>
      </c>
      <c r="G8" s="22">
        <f t="shared" ca="1" si="0"/>
        <v>194</v>
      </c>
      <c r="H8" s="46">
        <f ca="1">IF(SUM(B8:F8)=0,"-",(SUM(C8:F8)/SUM(B8:F8)))</f>
        <v>9.6491228070175433E-2</v>
      </c>
      <c r="I8" s="46">
        <f ca="1">IF(SUM(B8:G8)=0,"-",(G8/SUM(B8:G8)))</f>
        <v>0.17540687160940324</v>
      </c>
      <c r="J8" s="17"/>
      <c r="K8" s="22">
        <f ca="1">K9+K49</f>
        <v>1063</v>
      </c>
      <c r="L8" s="22">
        <f t="shared" ref="L8" ca="1" si="1">L9+L49</f>
        <v>10</v>
      </c>
      <c r="M8" s="22">
        <f t="shared" ref="M8" ca="1" si="2">M9+M49</f>
        <v>1</v>
      </c>
      <c r="N8" s="22">
        <f t="shared" ref="N8" ca="1" si="3">N9+N49</f>
        <v>0</v>
      </c>
      <c r="O8" s="22">
        <f t="shared" ref="O8" ca="1" si="4">O9+O49</f>
        <v>4</v>
      </c>
      <c r="P8" s="22">
        <f t="shared" ref="P8" ca="1" si="5">P9+P49</f>
        <v>430</v>
      </c>
      <c r="Q8" s="46">
        <f ca="1">IF(SUM(K8:O8)=0,"-",(SUM(L8:O8)/SUM(K8:O8)))</f>
        <v>1.3914656771799629E-2</v>
      </c>
      <c r="R8" s="46">
        <f ca="1">IF(SUM(K8:P8)=0,"-",(P8/SUM(K8:P8)))</f>
        <v>0.28514588859416445</v>
      </c>
      <c r="S8" s="17"/>
      <c r="T8" s="17">
        <f ca="1">B8+K8</f>
        <v>1887</v>
      </c>
      <c r="U8" s="17">
        <f t="shared" ref="U8:Y8" ca="1" si="6">C8+L8</f>
        <v>58</v>
      </c>
      <c r="V8" s="17">
        <f t="shared" ca="1" si="6"/>
        <v>18</v>
      </c>
      <c r="W8" s="17">
        <f t="shared" ca="1" si="6"/>
        <v>18</v>
      </c>
      <c r="X8" s="17">
        <f t="shared" ca="1" si="6"/>
        <v>9</v>
      </c>
      <c r="Y8" s="17">
        <f t="shared" ca="1" si="6"/>
        <v>624</v>
      </c>
      <c r="Z8" s="46">
        <f ca="1">IF(SUM(T8:X8)=0,"-",(SUM(U8:X8)/SUM(T8:X8)))</f>
        <v>5.1758793969849247E-2</v>
      </c>
      <c r="AA8" s="46">
        <f ca="1">IF(SUM(T8:Y8)=0,"-",(Y8/SUM(T8:Y8)))</f>
        <v>0.23871461361897475</v>
      </c>
      <c r="AB8" s="17"/>
      <c r="AC8" s="22">
        <f ca="1">AC9+AC49</f>
        <v>91</v>
      </c>
      <c r="AD8" s="22">
        <f t="shared" ref="AD8" ca="1" si="7">AD9+AD49</f>
        <v>2</v>
      </c>
      <c r="AE8" s="22">
        <f t="shared" ref="AE8" ca="1" si="8">AE9+AE49</f>
        <v>1</v>
      </c>
      <c r="AF8" s="22">
        <f t="shared" ref="AF8" ca="1" si="9">AF9+AF49</f>
        <v>1</v>
      </c>
      <c r="AG8" s="22">
        <f t="shared" ref="AG8" ca="1" si="10">AG9+AG49</f>
        <v>0</v>
      </c>
      <c r="AH8" s="22">
        <f t="shared" ref="AH8" ca="1" si="11">AH9+AH49</f>
        <v>29</v>
      </c>
      <c r="AI8" s="46">
        <f ca="1">IF(SUM(AC8:AG8)=0,"-",(SUM(AD8:AG8)/SUM(AC8:AG8)))</f>
        <v>4.2105263157894736E-2</v>
      </c>
      <c r="AJ8" s="46">
        <f ca="1">IF(SUM(AC8:AH8)=0,"-",(AH8/SUM(AC8:AH8)))</f>
        <v>0.23387096774193547</v>
      </c>
      <c r="AK8" s="17"/>
      <c r="AL8" s="22">
        <f ca="1">AL9+AL49</f>
        <v>701</v>
      </c>
      <c r="AM8" s="22">
        <f t="shared" ref="AM8" ca="1" si="12">AM9+AM49</f>
        <v>18</v>
      </c>
      <c r="AN8" s="22">
        <f t="shared" ref="AN8" ca="1" si="13">AN9+AN49</f>
        <v>28</v>
      </c>
      <c r="AO8" s="22">
        <f t="shared" ref="AO8" ca="1" si="14">AO9+AO49</f>
        <v>30</v>
      </c>
      <c r="AP8" s="22">
        <f t="shared" ref="AP8" ca="1" si="15">AP9+AP49</f>
        <v>0</v>
      </c>
      <c r="AQ8" s="22">
        <f t="shared" ref="AQ8" ca="1" si="16">AQ9+AQ49</f>
        <v>236</v>
      </c>
      <c r="AR8" s="46">
        <f ca="1">IF(SUM(AL8:AP8)=0,"-",(SUM(AM8:AP8)/SUM(AL8:AP8)))</f>
        <v>9.7812097812097806E-2</v>
      </c>
      <c r="AS8" s="46">
        <f ca="1">IF(SUM(AL8:AQ8)=0,"-",(AQ8/SUM(AL8:AQ8)))</f>
        <v>0.23297137216189537</v>
      </c>
      <c r="AT8" s="17"/>
      <c r="AU8" s="17">
        <f ca="1">AL8+AC8+T8</f>
        <v>2679</v>
      </c>
      <c r="AV8" s="17">
        <f t="shared" ref="AV8:AZ8" ca="1" si="17">AM8+AD8+U8</f>
        <v>78</v>
      </c>
      <c r="AW8" s="17">
        <f t="shared" ca="1" si="17"/>
        <v>47</v>
      </c>
      <c r="AX8" s="17">
        <f t="shared" ca="1" si="17"/>
        <v>49</v>
      </c>
      <c r="AY8" s="17">
        <f t="shared" ca="1" si="17"/>
        <v>9</v>
      </c>
      <c r="AZ8" s="17">
        <f t="shared" ca="1" si="17"/>
        <v>889</v>
      </c>
      <c r="BA8" s="46">
        <f ca="1">IF(SUM(AU8:AY8)=0,"-",(SUM(AV8:AY8)/SUM(AU8:AY8)))</f>
        <v>6.3941299790356398E-2</v>
      </c>
      <c r="BB8" s="46">
        <f ca="1">IF(SUM(AU8:AZ8)=0,"-",(AZ8/SUM(AU8:AZ8)))</f>
        <v>0.23700346574246867</v>
      </c>
      <c r="BC8" s="19"/>
      <c r="BD8" s="19"/>
      <c r="BE8" s="19"/>
      <c r="BF8" s="19"/>
      <c r="BG8" s="19"/>
      <c r="BH8" s="19"/>
      <c r="BI8" s="19"/>
      <c r="BJ8" s="19"/>
      <c r="BK8" s="19"/>
      <c r="BL8" s="20"/>
    </row>
    <row r="9" spans="1:64" s="8" customFormat="1" ht="15" customHeight="1" x14ac:dyDescent="0.35">
      <c r="A9" s="21" t="s">
        <v>16</v>
      </c>
      <c r="B9" s="22">
        <f ca="1">SUM(B10:B48)</f>
        <v>496</v>
      </c>
      <c r="C9" s="22">
        <f t="shared" ref="C9:G9" ca="1" si="18">SUM(C10:C48)</f>
        <v>11</v>
      </c>
      <c r="D9" s="22">
        <f t="shared" ca="1" si="18"/>
        <v>5</v>
      </c>
      <c r="E9" s="22">
        <f t="shared" ca="1" si="18"/>
        <v>1</v>
      </c>
      <c r="F9" s="22">
        <f t="shared" ca="1" si="18"/>
        <v>0</v>
      </c>
      <c r="G9" s="22">
        <f t="shared" ca="1" si="18"/>
        <v>153</v>
      </c>
      <c r="H9" s="46">
        <f t="shared" ref="H9:H56" ca="1" si="19">IF(SUM(B9:F9)=0,"-",(SUM(C9:F9)/SUM(B9:F9)))</f>
        <v>3.3138401559454189E-2</v>
      </c>
      <c r="I9" s="46">
        <f t="shared" ref="I9:I56" ca="1" si="20">IF(SUM(B9:G9)=0,"-",(G9/SUM(B9:G9)))</f>
        <v>0.22972972972972974</v>
      </c>
      <c r="J9" s="22"/>
      <c r="K9" s="22">
        <f ca="1">SUM(K10:K48)</f>
        <v>1010</v>
      </c>
      <c r="L9" s="22">
        <f t="shared" ref="L9" ca="1" si="21">SUM(L10:L48)</f>
        <v>9</v>
      </c>
      <c r="M9" s="22">
        <f t="shared" ref="M9" ca="1" si="22">SUM(M10:M48)</f>
        <v>1</v>
      </c>
      <c r="N9" s="22">
        <f t="shared" ref="N9" ca="1" si="23">SUM(N10:N48)</f>
        <v>0</v>
      </c>
      <c r="O9" s="22">
        <f t="shared" ref="O9" ca="1" si="24">SUM(O10:O48)</f>
        <v>4</v>
      </c>
      <c r="P9" s="22">
        <f t="shared" ref="P9" ca="1" si="25">SUM(P10:P48)</f>
        <v>429</v>
      </c>
      <c r="Q9" s="46">
        <f t="shared" ref="Q9:Q56" ca="1" si="26">IF(SUM(K9:O9)=0,"-",(SUM(L9:O9)/SUM(K9:O9)))</f>
        <v>1.3671875E-2</v>
      </c>
      <c r="R9" s="46">
        <f t="shared" ref="R9:R56" ca="1" si="27">IF(SUM(K9:P9)=0,"-",(P9/SUM(K9:P9)))</f>
        <v>0.29525120440467995</v>
      </c>
      <c r="S9" s="22"/>
      <c r="T9" s="22">
        <f t="shared" ref="T9:T56" ca="1" si="28">B9+K9</f>
        <v>1506</v>
      </c>
      <c r="U9" s="22">
        <f t="shared" ref="U9:U56" ca="1" si="29">C9+L9</f>
        <v>20</v>
      </c>
      <c r="V9" s="22">
        <f t="shared" ref="V9:V56" ca="1" si="30">D9+M9</f>
        <v>6</v>
      </c>
      <c r="W9" s="22">
        <f t="shared" ref="W9:W56" ca="1" si="31">E9+N9</f>
        <v>1</v>
      </c>
      <c r="X9" s="22">
        <f t="shared" ref="X9:X56" ca="1" si="32">F9+O9</f>
        <v>4</v>
      </c>
      <c r="Y9" s="22">
        <f t="shared" ref="Y9:Y56" ca="1" si="33">G9+P9</f>
        <v>582</v>
      </c>
      <c r="Z9" s="46">
        <f t="shared" ref="Z9:Z56" ca="1" si="34">IF(SUM(T9:X9)=0,"-",(SUM(U9:X9)/SUM(T9:X9)))</f>
        <v>2.0169160702667534E-2</v>
      </c>
      <c r="AA9" s="46">
        <f t="shared" ref="AA9:AA56" ca="1" si="35">IF(SUM(T9:Y9)=0,"-",(Y9/SUM(T9:Y9)))</f>
        <v>0.27465785747994337</v>
      </c>
      <c r="AB9" s="22"/>
      <c r="AC9" s="22">
        <f ca="1">SUM(AC10:AC48)</f>
        <v>62</v>
      </c>
      <c r="AD9" s="22">
        <f t="shared" ref="AD9" ca="1" si="36">SUM(AD10:AD48)</f>
        <v>0</v>
      </c>
      <c r="AE9" s="22">
        <f t="shared" ref="AE9" ca="1" si="37">SUM(AE10:AE48)</f>
        <v>0</v>
      </c>
      <c r="AF9" s="22">
        <f t="shared" ref="AF9" ca="1" si="38">SUM(AF10:AF48)</f>
        <v>0</v>
      </c>
      <c r="AG9" s="22">
        <f t="shared" ref="AG9" ca="1" si="39">SUM(AG10:AG48)</f>
        <v>0</v>
      </c>
      <c r="AH9" s="22">
        <f t="shared" ref="AH9" ca="1" si="40">SUM(AH10:AH48)</f>
        <v>29</v>
      </c>
      <c r="AI9" s="46">
        <f t="shared" ref="AI9:AI56" ca="1" si="41">IF(SUM(AC9:AG9)=0,"-",(SUM(AD9:AG9)/SUM(AC9:AG9)))</f>
        <v>0</v>
      </c>
      <c r="AJ9" s="46">
        <f t="shared" ref="AJ9:AJ56" ca="1" si="42">IF(SUM(AC9:AH9)=0,"-",(AH9/SUM(AC9:AH9)))</f>
        <v>0.31868131868131866</v>
      </c>
      <c r="AK9" s="22"/>
      <c r="AL9" s="22">
        <f ca="1">SUM(AL10:AL48)</f>
        <v>491</v>
      </c>
      <c r="AM9" s="22">
        <f t="shared" ref="AM9" ca="1" si="43">SUM(AM10:AM48)</f>
        <v>14</v>
      </c>
      <c r="AN9" s="22">
        <f t="shared" ref="AN9" ca="1" si="44">SUM(AN10:AN48)</f>
        <v>12</v>
      </c>
      <c r="AO9" s="22">
        <f t="shared" ref="AO9" ca="1" si="45">SUM(AO10:AO48)</f>
        <v>10</v>
      </c>
      <c r="AP9" s="22">
        <f t="shared" ref="AP9" ca="1" si="46">SUM(AP10:AP48)</f>
        <v>0</v>
      </c>
      <c r="AQ9" s="22">
        <f t="shared" ref="AQ9" ca="1" si="47">SUM(AQ10:AQ48)</f>
        <v>194</v>
      </c>
      <c r="AR9" s="46">
        <f t="shared" ref="AR9:AR56" ca="1" si="48">IF(SUM(AL9:AP9)=0,"-",(SUM(AM9:AP9)/SUM(AL9:AP9)))</f>
        <v>6.8311195445920306E-2</v>
      </c>
      <c r="AS9" s="46">
        <f t="shared" ref="AS9:AS56" ca="1" si="49">IF(SUM(AL9:AQ9)=0,"-",(AQ9/SUM(AL9:AQ9)))</f>
        <v>0.26907073509015256</v>
      </c>
      <c r="AT9" s="22"/>
      <c r="AU9" s="22">
        <f t="shared" ref="AU9:AU56" ca="1" si="50">AL9+AC9+T9</f>
        <v>2059</v>
      </c>
      <c r="AV9" s="22">
        <f t="shared" ref="AV9:AV56" ca="1" si="51">AM9+AD9+U9</f>
        <v>34</v>
      </c>
      <c r="AW9" s="22">
        <f t="shared" ref="AW9:AW56" ca="1" si="52">AN9+AE9+V9</f>
        <v>18</v>
      </c>
      <c r="AX9" s="22">
        <f t="shared" ref="AX9:AX56" ca="1" si="53">AO9+AF9+W9</f>
        <v>11</v>
      </c>
      <c r="AY9" s="22">
        <f t="shared" ref="AY9:AY56" ca="1" si="54">AP9+AG9+X9</f>
        <v>4</v>
      </c>
      <c r="AZ9" s="22">
        <f t="shared" ref="AZ9:AZ56" ca="1" si="55">AQ9+AH9+Y9</f>
        <v>805</v>
      </c>
      <c r="BA9" s="46">
        <f t="shared" ref="BA9:BA56" ca="1" si="56">IF(SUM(AU9:AY9)=0,"-",(SUM(AV9:AY9)/SUM(AU9:AY9)))</f>
        <v>3.1514581373471309E-2</v>
      </c>
      <c r="BB9" s="46">
        <f t="shared" ref="BB9:BB56" ca="1" si="57">IF(SUM(AU9:AZ9)=0,"-",(AZ9/SUM(AU9:AZ9)))</f>
        <v>0.27465029000341179</v>
      </c>
      <c r="BC9" s="19"/>
      <c r="BD9" s="19"/>
      <c r="BE9" s="19"/>
      <c r="BF9" s="19"/>
      <c r="BG9" s="19"/>
      <c r="BH9" s="19"/>
      <c r="BI9" s="19"/>
      <c r="BJ9" s="19"/>
      <c r="BK9" s="19"/>
    </row>
    <row r="10" spans="1:64" s="8" customFormat="1" ht="15" customHeight="1" x14ac:dyDescent="0.35">
      <c r="A10" s="2" t="s">
        <v>17</v>
      </c>
      <c r="B10" s="24">
        <f ca="1">INDIRECT("'("&amp;$A$4&amp;")'!b10")</f>
        <v>21</v>
      </c>
      <c r="C10" s="24">
        <f ca="1">INDIRECT("'("&amp;$A$4&amp;")'!c10")</f>
        <v>1</v>
      </c>
      <c r="D10" s="24">
        <f ca="1">INDIRECT("'("&amp;$A$4&amp;")'!d10")</f>
        <v>0</v>
      </c>
      <c r="E10" s="24">
        <f ca="1">INDIRECT("'("&amp;$A$4&amp;")'!e10")</f>
        <v>0</v>
      </c>
      <c r="F10" s="24">
        <f ca="1">INDIRECT("'("&amp;$A$4&amp;")'!f10")</f>
        <v>0</v>
      </c>
      <c r="G10" s="24">
        <f ca="1">INDIRECT("'("&amp;$A$4&amp;")'!g10")</f>
        <v>3</v>
      </c>
      <c r="H10" s="46">
        <f t="shared" ca="1" si="19"/>
        <v>4.5454545454545456E-2</v>
      </c>
      <c r="I10" s="46">
        <f t="shared" ca="1" si="20"/>
        <v>0.12</v>
      </c>
      <c r="J10" s="24"/>
      <c r="K10" s="24">
        <f ca="1">INDIRECT("'("&amp;$A$4&amp;")'!k10")</f>
        <v>22</v>
      </c>
      <c r="L10" s="24">
        <f ca="1">INDIRECT("'("&amp;$A$4&amp;")'!l10")</f>
        <v>0</v>
      </c>
      <c r="M10" s="24">
        <f ca="1">INDIRECT("'("&amp;$A$4&amp;")'!m10")</f>
        <v>0</v>
      </c>
      <c r="N10" s="24">
        <f ca="1">INDIRECT("'("&amp;$A$4&amp;")'!n10")</f>
        <v>0</v>
      </c>
      <c r="O10" s="24">
        <f ca="1">INDIRECT("'("&amp;$A$4&amp;")'!o10")</f>
        <v>1</v>
      </c>
      <c r="P10" s="24">
        <f ca="1">INDIRECT("'("&amp;$A$4&amp;")'!p10")</f>
        <v>7</v>
      </c>
      <c r="Q10" s="46">
        <f t="shared" ca="1" si="26"/>
        <v>4.3478260869565216E-2</v>
      </c>
      <c r="R10" s="46">
        <f t="shared" ca="1" si="27"/>
        <v>0.23333333333333334</v>
      </c>
      <c r="S10" s="24"/>
      <c r="T10" s="22">
        <f t="shared" ca="1" si="28"/>
        <v>43</v>
      </c>
      <c r="U10" s="22">
        <f t="shared" ca="1" si="29"/>
        <v>1</v>
      </c>
      <c r="V10" s="22">
        <f t="shared" ca="1" si="30"/>
        <v>0</v>
      </c>
      <c r="W10" s="22">
        <f t="shared" ca="1" si="31"/>
        <v>0</v>
      </c>
      <c r="X10" s="22">
        <f t="shared" ca="1" si="32"/>
        <v>1</v>
      </c>
      <c r="Y10" s="22">
        <f t="shared" ca="1" si="33"/>
        <v>10</v>
      </c>
      <c r="Z10" s="46">
        <f t="shared" ca="1" si="34"/>
        <v>4.4444444444444446E-2</v>
      </c>
      <c r="AA10" s="46">
        <f t="shared" ca="1" si="35"/>
        <v>0.18181818181818182</v>
      </c>
      <c r="AB10" s="24"/>
      <c r="AC10" s="24">
        <f ca="1">INDIRECT("'("&amp;$A$4&amp;")'!ac10")</f>
        <v>2</v>
      </c>
      <c r="AD10" s="24">
        <f ca="1">INDIRECT("'("&amp;$A$4&amp;")'!ad10")</f>
        <v>0</v>
      </c>
      <c r="AE10" s="24">
        <f ca="1">INDIRECT("'("&amp;$A$4&amp;")'!ae10")</f>
        <v>0</v>
      </c>
      <c r="AF10" s="24">
        <f ca="1">INDIRECT("'("&amp;$A$4&amp;")'!af10")</f>
        <v>0</v>
      </c>
      <c r="AG10" s="24">
        <f ca="1">INDIRECT("'("&amp;$A$4&amp;")'!ag10")</f>
        <v>0</v>
      </c>
      <c r="AH10" s="24">
        <f ca="1">INDIRECT("'("&amp;$A$4&amp;")'!ah10")</f>
        <v>0</v>
      </c>
      <c r="AI10" s="46">
        <f t="shared" ca="1" si="41"/>
        <v>0</v>
      </c>
      <c r="AJ10" s="46">
        <f t="shared" ca="1" si="42"/>
        <v>0</v>
      </c>
      <c r="AK10" s="24"/>
      <c r="AL10" s="24">
        <f ca="1">INDIRECT("'("&amp;$A$4&amp;")'!al10")</f>
        <v>19</v>
      </c>
      <c r="AM10" s="24">
        <f ca="1">INDIRECT("'("&amp;$A$4&amp;")'!am10")</f>
        <v>0</v>
      </c>
      <c r="AN10" s="24">
        <f ca="1">INDIRECT("'("&amp;$A$4&amp;")'!an10")</f>
        <v>0</v>
      </c>
      <c r="AO10" s="24">
        <f ca="1">INDIRECT("'("&amp;$A$4&amp;")'!ao10")</f>
        <v>0</v>
      </c>
      <c r="AP10" s="24">
        <f ca="1">INDIRECT("'("&amp;$A$4&amp;")'!ag10")</f>
        <v>0</v>
      </c>
      <c r="AQ10" s="24">
        <f ca="1">INDIRECT("'("&amp;$A$4&amp;")'!aq10")</f>
        <v>4</v>
      </c>
      <c r="AR10" s="46">
        <f t="shared" ca="1" si="48"/>
        <v>0</v>
      </c>
      <c r="AS10" s="46">
        <f t="shared" ca="1" si="49"/>
        <v>0.17391304347826086</v>
      </c>
      <c r="AT10" s="24"/>
      <c r="AU10" s="22">
        <f t="shared" ca="1" si="50"/>
        <v>64</v>
      </c>
      <c r="AV10" s="22">
        <f t="shared" ca="1" si="51"/>
        <v>1</v>
      </c>
      <c r="AW10" s="22">
        <f t="shared" ca="1" si="52"/>
        <v>0</v>
      </c>
      <c r="AX10" s="22">
        <f t="shared" ca="1" si="53"/>
        <v>0</v>
      </c>
      <c r="AY10" s="22">
        <f t="shared" ca="1" si="54"/>
        <v>1</v>
      </c>
      <c r="AZ10" s="22">
        <f t="shared" ca="1" si="55"/>
        <v>14</v>
      </c>
      <c r="BA10" s="46">
        <f t="shared" ca="1" si="56"/>
        <v>3.0303030303030304E-2</v>
      </c>
      <c r="BB10" s="46">
        <f t="shared" ca="1" si="57"/>
        <v>0.17499999999999999</v>
      </c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4" s="8" customFormat="1" ht="15" customHeight="1" x14ac:dyDescent="0.35">
      <c r="A11" s="2" t="s">
        <v>18</v>
      </c>
      <c r="B11" s="24">
        <f ca="1">INDIRECT("'("&amp;$A$4&amp;")'!b11")</f>
        <v>18</v>
      </c>
      <c r="C11" s="24">
        <f ca="1">INDIRECT("'("&amp;$A$4&amp;")'!c11")</f>
        <v>1</v>
      </c>
      <c r="D11" s="24">
        <f ca="1">INDIRECT("'("&amp;$A$4&amp;")'!d11")</f>
        <v>0</v>
      </c>
      <c r="E11" s="24">
        <f ca="1">INDIRECT("'("&amp;$A$4&amp;")'!e11")</f>
        <v>1</v>
      </c>
      <c r="F11" s="24">
        <f ca="1">INDIRECT("'("&amp;$A$4&amp;")'!f11")</f>
        <v>0</v>
      </c>
      <c r="G11" s="24">
        <f ca="1">INDIRECT("'("&amp;$A$4&amp;")'!g11")</f>
        <v>5</v>
      </c>
      <c r="H11" s="46">
        <f t="shared" ca="1" si="19"/>
        <v>0.1</v>
      </c>
      <c r="I11" s="46">
        <f t="shared" ca="1" si="20"/>
        <v>0.2</v>
      </c>
      <c r="J11" s="24"/>
      <c r="K11" s="24">
        <f ca="1">INDIRECT("'("&amp;$A$4&amp;")'!k11")</f>
        <v>19</v>
      </c>
      <c r="L11" s="24">
        <f ca="1">INDIRECT("'("&amp;$A$4&amp;")'!l11")</f>
        <v>1</v>
      </c>
      <c r="M11" s="24">
        <f ca="1">INDIRECT("'("&amp;$A$4&amp;")'!m11")</f>
        <v>0</v>
      </c>
      <c r="N11" s="24">
        <f ca="1">INDIRECT("'("&amp;$A$4&amp;")'!n11")</f>
        <v>0</v>
      </c>
      <c r="O11" s="24">
        <f ca="1">INDIRECT("'("&amp;$A$4&amp;")'!o11")</f>
        <v>0</v>
      </c>
      <c r="P11" s="24">
        <f ca="1">INDIRECT("'("&amp;$A$4&amp;")'!p11")</f>
        <v>13</v>
      </c>
      <c r="Q11" s="46">
        <f t="shared" ca="1" si="26"/>
        <v>0.05</v>
      </c>
      <c r="R11" s="46">
        <f t="shared" ca="1" si="27"/>
        <v>0.39393939393939392</v>
      </c>
      <c r="S11" s="24"/>
      <c r="T11" s="22">
        <f t="shared" ca="1" si="28"/>
        <v>37</v>
      </c>
      <c r="U11" s="22">
        <f t="shared" ca="1" si="29"/>
        <v>2</v>
      </c>
      <c r="V11" s="22">
        <f t="shared" ca="1" si="30"/>
        <v>0</v>
      </c>
      <c r="W11" s="22">
        <f t="shared" ca="1" si="31"/>
        <v>1</v>
      </c>
      <c r="X11" s="22">
        <f t="shared" ca="1" si="32"/>
        <v>0</v>
      </c>
      <c r="Y11" s="22">
        <f t="shared" ca="1" si="33"/>
        <v>18</v>
      </c>
      <c r="Z11" s="46">
        <f t="shared" ca="1" si="34"/>
        <v>7.4999999999999997E-2</v>
      </c>
      <c r="AA11" s="46">
        <f t="shared" ca="1" si="35"/>
        <v>0.31034482758620691</v>
      </c>
      <c r="AB11" s="24"/>
      <c r="AC11" s="24">
        <f ca="1">INDIRECT("'("&amp;$A$4&amp;")'!ac11")</f>
        <v>0</v>
      </c>
      <c r="AD11" s="24">
        <f ca="1">INDIRECT("'("&amp;$A$4&amp;")'!ad11")</f>
        <v>0</v>
      </c>
      <c r="AE11" s="24">
        <f ca="1">INDIRECT("'("&amp;$A$4&amp;")'!ae11")</f>
        <v>0</v>
      </c>
      <c r="AF11" s="24">
        <f ca="1">INDIRECT("'("&amp;$A$4&amp;")'!af11")</f>
        <v>0</v>
      </c>
      <c r="AG11" s="24">
        <f ca="1">INDIRECT("'("&amp;$A$4&amp;")'!ag11")</f>
        <v>0</v>
      </c>
      <c r="AH11" s="24">
        <f ca="1">INDIRECT("'("&amp;$A$4&amp;")'!ah11")</f>
        <v>0</v>
      </c>
      <c r="AI11" s="46" t="str">
        <f t="shared" ca="1" si="41"/>
        <v>-</v>
      </c>
      <c r="AJ11" s="46" t="str">
        <f t="shared" ca="1" si="42"/>
        <v>-</v>
      </c>
      <c r="AK11" s="24"/>
      <c r="AL11" s="24">
        <f ca="1">INDIRECT("'("&amp;$A$4&amp;")'!al11")</f>
        <v>16</v>
      </c>
      <c r="AM11" s="24">
        <f ca="1">INDIRECT("'("&amp;$A$4&amp;")'!am11")</f>
        <v>0</v>
      </c>
      <c r="AN11" s="24">
        <f ca="1">INDIRECT("'("&amp;$A$4&amp;")'!an11")</f>
        <v>0</v>
      </c>
      <c r="AO11" s="24">
        <f ca="1">INDIRECT("'("&amp;$A$4&amp;")'!ao11")</f>
        <v>0</v>
      </c>
      <c r="AP11" s="24">
        <f ca="1">INDIRECT("'("&amp;$A$4&amp;")'!ag11")</f>
        <v>0</v>
      </c>
      <c r="AQ11" s="24">
        <f ca="1">INDIRECT("'("&amp;$A$4&amp;")'!aq11")</f>
        <v>10</v>
      </c>
      <c r="AR11" s="46">
        <f t="shared" ca="1" si="48"/>
        <v>0</v>
      </c>
      <c r="AS11" s="46">
        <f t="shared" ca="1" si="49"/>
        <v>0.38461538461538464</v>
      </c>
      <c r="AT11" s="24"/>
      <c r="AU11" s="22">
        <f t="shared" ca="1" si="50"/>
        <v>53</v>
      </c>
      <c r="AV11" s="22">
        <f t="shared" ca="1" si="51"/>
        <v>2</v>
      </c>
      <c r="AW11" s="22">
        <f t="shared" ca="1" si="52"/>
        <v>0</v>
      </c>
      <c r="AX11" s="22">
        <f t="shared" ca="1" si="53"/>
        <v>1</v>
      </c>
      <c r="AY11" s="22">
        <f t="shared" ca="1" si="54"/>
        <v>0</v>
      </c>
      <c r="AZ11" s="22">
        <f t="shared" ca="1" si="55"/>
        <v>28</v>
      </c>
      <c r="BA11" s="46">
        <f t="shared" ca="1" si="56"/>
        <v>5.3571428571428568E-2</v>
      </c>
      <c r="BB11" s="46">
        <f t="shared" ca="1" si="57"/>
        <v>0.33333333333333331</v>
      </c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4" s="8" customFormat="1" ht="15" customHeight="1" x14ac:dyDescent="0.35">
      <c r="A12" s="2" t="s">
        <v>19</v>
      </c>
      <c r="B12" s="24">
        <f ca="1">INDIRECT("'("&amp;$A$4&amp;")'!b12")</f>
        <v>20</v>
      </c>
      <c r="C12" s="24">
        <f ca="1">INDIRECT("'("&amp;$A$4&amp;")'!c12")</f>
        <v>0</v>
      </c>
      <c r="D12" s="24">
        <f ca="1">INDIRECT("'("&amp;$A$4&amp;")'!d12")</f>
        <v>0</v>
      </c>
      <c r="E12" s="24">
        <f ca="1">INDIRECT("'("&amp;$A$4&amp;")'!e12")</f>
        <v>0</v>
      </c>
      <c r="F12" s="24">
        <f ca="1">INDIRECT("'("&amp;$A$4&amp;")'!f12")</f>
        <v>0</v>
      </c>
      <c r="G12" s="24">
        <f ca="1">INDIRECT("'("&amp;$A$4&amp;")'!g12")</f>
        <v>1</v>
      </c>
      <c r="H12" s="46">
        <f t="shared" ca="1" si="19"/>
        <v>0</v>
      </c>
      <c r="I12" s="46">
        <f t="shared" ca="1" si="20"/>
        <v>4.7619047619047616E-2</v>
      </c>
      <c r="J12" s="24"/>
      <c r="K12" s="24">
        <f ca="1">INDIRECT("'("&amp;$A$4&amp;")'!k12")</f>
        <v>19</v>
      </c>
      <c r="L12" s="24">
        <f ca="1">INDIRECT("'("&amp;$A$4&amp;")'!l12")</f>
        <v>1</v>
      </c>
      <c r="M12" s="24">
        <f ca="1">INDIRECT("'("&amp;$A$4&amp;")'!m12")</f>
        <v>0</v>
      </c>
      <c r="N12" s="24">
        <f ca="1">INDIRECT("'("&amp;$A$4&amp;")'!n12")</f>
        <v>0</v>
      </c>
      <c r="O12" s="24">
        <f ca="1">INDIRECT("'("&amp;$A$4&amp;")'!o12")</f>
        <v>0</v>
      </c>
      <c r="P12" s="24">
        <f ca="1">INDIRECT("'("&amp;$A$4&amp;")'!p12")</f>
        <v>0</v>
      </c>
      <c r="Q12" s="46">
        <f t="shared" ca="1" si="26"/>
        <v>0.05</v>
      </c>
      <c r="R12" s="46">
        <f t="shared" ca="1" si="27"/>
        <v>0</v>
      </c>
      <c r="S12" s="24"/>
      <c r="T12" s="22">
        <f t="shared" ca="1" si="28"/>
        <v>39</v>
      </c>
      <c r="U12" s="22">
        <f t="shared" ca="1" si="29"/>
        <v>1</v>
      </c>
      <c r="V12" s="22">
        <f t="shared" ca="1" si="30"/>
        <v>0</v>
      </c>
      <c r="W12" s="22">
        <f t="shared" ca="1" si="31"/>
        <v>0</v>
      </c>
      <c r="X12" s="22">
        <f t="shared" ca="1" si="32"/>
        <v>0</v>
      </c>
      <c r="Y12" s="22">
        <f t="shared" ca="1" si="33"/>
        <v>1</v>
      </c>
      <c r="Z12" s="46">
        <f t="shared" ca="1" si="34"/>
        <v>2.5000000000000001E-2</v>
      </c>
      <c r="AA12" s="46">
        <f t="shared" ca="1" si="35"/>
        <v>2.4390243902439025E-2</v>
      </c>
      <c r="AB12" s="24"/>
      <c r="AC12" s="24">
        <f ca="1">INDIRECT("'("&amp;$A$4&amp;")'!ac12")</f>
        <v>9</v>
      </c>
      <c r="AD12" s="24">
        <f ca="1">INDIRECT("'("&amp;$A$4&amp;")'!ad12")</f>
        <v>0</v>
      </c>
      <c r="AE12" s="24">
        <f ca="1">INDIRECT("'("&amp;$A$4&amp;")'!ae12")</f>
        <v>0</v>
      </c>
      <c r="AF12" s="24">
        <f ca="1">INDIRECT("'("&amp;$A$4&amp;")'!af12")</f>
        <v>0</v>
      </c>
      <c r="AG12" s="24">
        <f ca="1">INDIRECT("'("&amp;$A$4&amp;")'!ag12")</f>
        <v>0</v>
      </c>
      <c r="AH12" s="24">
        <f ca="1">INDIRECT("'("&amp;$A$4&amp;")'!ah12")</f>
        <v>0</v>
      </c>
      <c r="AI12" s="46">
        <f t="shared" ca="1" si="41"/>
        <v>0</v>
      </c>
      <c r="AJ12" s="46">
        <f t="shared" ca="1" si="42"/>
        <v>0</v>
      </c>
      <c r="AK12" s="24"/>
      <c r="AL12" s="24">
        <f ca="1">INDIRECT("'("&amp;$A$4&amp;")'!al12")</f>
        <v>32</v>
      </c>
      <c r="AM12" s="24">
        <f ca="1">INDIRECT("'("&amp;$A$4&amp;")'!am12")</f>
        <v>3</v>
      </c>
      <c r="AN12" s="24">
        <f ca="1">INDIRECT("'("&amp;$A$4&amp;")'!an12")</f>
        <v>2</v>
      </c>
      <c r="AO12" s="24">
        <f ca="1">INDIRECT("'("&amp;$A$4&amp;")'!ao12")</f>
        <v>2</v>
      </c>
      <c r="AP12" s="24">
        <f ca="1">INDIRECT("'("&amp;$A$4&amp;")'!ag12")</f>
        <v>0</v>
      </c>
      <c r="AQ12" s="24">
        <f ca="1">INDIRECT("'("&amp;$A$4&amp;")'!aq12")</f>
        <v>2</v>
      </c>
      <c r="AR12" s="46">
        <f t="shared" ca="1" si="48"/>
        <v>0.17948717948717949</v>
      </c>
      <c r="AS12" s="46">
        <f t="shared" ca="1" si="49"/>
        <v>4.878048780487805E-2</v>
      </c>
      <c r="AT12" s="24"/>
      <c r="AU12" s="22">
        <f t="shared" ca="1" si="50"/>
        <v>80</v>
      </c>
      <c r="AV12" s="22">
        <f t="shared" ca="1" si="51"/>
        <v>4</v>
      </c>
      <c r="AW12" s="22">
        <f t="shared" ca="1" si="52"/>
        <v>2</v>
      </c>
      <c r="AX12" s="22">
        <f t="shared" ca="1" si="53"/>
        <v>2</v>
      </c>
      <c r="AY12" s="22">
        <f t="shared" ca="1" si="54"/>
        <v>0</v>
      </c>
      <c r="AZ12" s="22">
        <f t="shared" ca="1" si="55"/>
        <v>3</v>
      </c>
      <c r="BA12" s="46">
        <f t="shared" ca="1" si="56"/>
        <v>9.0909090909090912E-2</v>
      </c>
      <c r="BB12" s="46">
        <f t="shared" ca="1" si="57"/>
        <v>3.2967032967032968E-2</v>
      </c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4" s="8" customFormat="1" ht="15" customHeight="1" x14ac:dyDescent="0.35">
      <c r="A13" s="2" t="s">
        <v>20</v>
      </c>
      <c r="B13" s="24">
        <f ca="1">INDIRECT("'("&amp;$A$4&amp;")'!b13")</f>
        <v>11</v>
      </c>
      <c r="C13" s="24">
        <f ca="1">INDIRECT("'("&amp;$A$4&amp;")'!c13")</f>
        <v>0</v>
      </c>
      <c r="D13" s="24">
        <f ca="1">INDIRECT("'("&amp;$A$4&amp;")'!d13")</f>
        <v>0</v>
      </c>
      <c r="E13" s="24">
        <f ca="1">INDIRECT("'("&amp;$A$4&amp;")'!e13")</f>
        <v>0</v>
      </c>
      <c r="F13" s="24">
        <f ca="1">INDIRECT("'("&amp;$A$4&amp;")'!f13")</f>
        <v>0</v>
      </c>
      <c r="G13" s="24">
        <f ca="1">INDIRECT("'("&amp;$A$4&amp;")'!g13")</f>
        <v>0</v>
      </c>
      <c r="H13" s="46">
        <f t="shared" ca="1" si="19"/>
        <v>0</v>
      </c>
      <c r="I13" s="46">
        <f t="shared" ca="1" si="20"/>
        <v>0</v>
      </c>
      <c r="J13" s="24"/>
      <c r="K13" s="24">
        <f ca="1">INDIRECT("'("&amp;$A$4&amp;")'!k13")</f>
        <v>20</v>
      </c>
      <c r="L13" s="24">
        <f ca="1">INDIRECT("'("&amp;$A$4&amp;")'!l13")</f>
        <v>0</v>
      </c>
      <c r="M13" s="24">
        <f ca="1">INDIRECT("'("&amp;$A$4&amp;")'!m13")</f>
        <v>0</v>
      </c>
      <c r="N13" s="24">
        <f ca="1">INDIRECT("'("&amp;$A$4&amp;")'!n13")</f>
        <v>0</v>
      </c>
      <c r="O13" s="24">
        <f ca="1">INDIRECT("'("&amp;$A$4&amp;")'!o13")</f>
        <v>0</v>
      </c>
      <c r="P13" s="24">
        <f ca="1">INDIRECT("'("&amp;$A$4&amp;")'!p13")</f>
        <v>0</v>
      </c>
      <c r="Q13" s="46">
        <f t="shared" ca="1" si="26"/>
        <v>0</v>
      </c>
      <c r="R13" s="46">
        <f t="shared" ca="1" si="27"/>
        <v>0</v>
      </c>
      <c r="S13" s="24"/>
      <c r="T13" s="22">
        <f t="shared" ca="1" si="28"/>
        <v>31</v>
      </c>
      <c r="U13" s="22">
        <f t="shared" ca="1" si="29"/>
        <v>0</v>
      </c>
      <c r="V13" s="22">
        <f t="shared" ca="1" si="30"/>
        <v>0</v>
      </c>
      <c r="W13" s="22">
        <f t="shared" ca="1" si="31"/>
        <v>0</v>
      </c>
      <c r="X13" s="22">
        <f t="shared" ca="1" si="32"/>
        <v>0</v>
      </c>
      <c r="Y13" s="22">
        <f t="shared" ca="1" si="33"/>
        <v>0</v>
      </c>
      <c r="Z13" s="46">
        <f t="shared" ca="1" si="34"/>
        <v>0</v>
      </c>
      <c r="AA13" s="46">
        <f t="shared" ca="1" si="35"/>
        <v>0</v>
      </c>
      <c r="AB13" s="24"/>
      <c r="AC13" s="24">
        <f ca="1">INDIRECT("'("&amp;$A$4&amp;")'!ac13")</f>
        <v>0</v>
      </c>
      <c r="AD13" s="24">
        <f ca="1">INDIRECT("'("&amp;$A$4&amp;")'!ad13")</f>
        <v>0</v>
      </c>
      <c r="AE13" s="24">
        <f ca="1">INDIRECT("'("&amp;$A$4&amp;")'!ae13")</f>
        <v>0</v>
      </c>
      <c r="AF13" s="24">
        <f ca="1">INDIRECT("'("&amp;$A$4&amp;")'!af13")</f>
        <v>0</v>
      </c>
      <c r="AG13" s="24">
        <f ca="1">INDIRECT("'("&amp;$A$4&amp;")'!ag13")</f>
        <v>0</v>
      </c>
      <c r="AH13" s="24">
        <f ca="1">INDIRECT("'("&amp;$A$4&amp;")'!ah13")</f>
        <v>0</v>
      </c>
      <c r="AI13" s="46" t="str">
        <f t="shared" ca="1" si="41"/>
        <v>-</v>
      </c>
      <c r="AJ13" s="46" t="str">
        <f t="shared" ca="1" si="42"/>
        <v>-</v>
      </c>
      <c r="AK13" s="24"/>
      <c r="AL13" s="24">
        <f ca="1">INDIRECT("'("&amp;$A$4&amp;")'!al13")</f>
        <v>13</v>
      </c>
      <c r="AM13" s="24">
        <f ca="1">INDIRECT("'("&amp;$A$4&amp;")'!am13")</f>
        <v>0</v>
      </c>
      <c r="AN13" s="24">
        <f ca="1">INDIRECT("'("&amp;$A$4&amp;")'!an13")</f>
        <v>0</v>
      </c>
      <c r="AO13" s="24">
        <f ca="1">INDIRECT("'("&amp;$A$4&amp;")'!ao13")</f>
        <v>0</v>
      </c>
      <c r="AP13" s="24">
        <f ca="1">INDIRECT("'("&amp;$A$4&amp;")'!ag13")</f>
        <v>0</v>
      </c>
      <c r="AQ13" s="24">
        <f ca="1">INDIRECT("'("&amp;$A$4&amp;")'!aq13")</f>
        <v>0</v>
      </c>
      <c r="AR13" s="46">
        <f t="shared" ca="1" si="48"/>
        <v>0</v>
      </c>
      <c r="AS13" s="46">
        <f t="shared" ca="1" si="49"/>
        <v>0</v>
      </c>
      <c r="AT13" s="24"/>
      <c r="AU13" s="22">
        <f t="shared" ca="1" si="50"/>
        <v>44</v>
      </c>
      <c r="AV13" s="22">
        <f t="shared" ca="1" si="51"/>
        <v>0</v>
      </c>
      <c r="AW13" s="22">
        <f t="shared" ca="1" si="52"/>
        <v>0</v>
      </c>
      <c r="AX13" s="22">
        <f t="shared" ca="1" si="53"/>
        <v>0</v>
      </c>
      <c r="AY13" s="22">
        <f t="shared" ca="1" si="54"/>
        <v>0</v>
      </c>
      <c r="AZ13" s="22">
        <f t="shared" ca="1" si="55"/>
        <v>0</v>
      </c>
      <c r="BA13" s="46">
        <f t="shared" ca="1" si="56"/>
        <v>0</v>
      </c>
      <c r="BB13" s="46">
        <f t="shared" ca="1" si="57"/>
        <v>0</v>
      </c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4" s="8" customFormat="1" ht="15" customHeight="1" x14ac:dyDescent="0.35">
      <c r="A14" s="2" t="s">
        <v>21</v>
      </c>
      <c r="B14" s="24">
        <f ca="1">INDIRECT("'("&amp;$A$4&amp;")'!b14")</f>
        <v>7</v>
      </c>
      <c r="C14" s="24">
        <f ca="1">INDIRECT("'("&amp;$A$4&amp;")'!c14")</f>
        <v>0</v>
      </c>
      <c r="D14" s="24">
        <f ca="1">INDIRECT("'("&amp;$A$4&amp;")'!d14")</f>
        <v>0</v>
      </c>
      <c r="E14" s="24">
        <f ca="1">INDIRECT("'("&amp;$A$4&amp;")'!e14")</f>
        <v>0</v>
      </c>
      <c r="F14" s="24">
        <f ca="1">INDIRECT("'("&amp;$A$4&amp;")'!f14")</f>
        <v>0</v>
      </c>
      <c r="G14" s="24">
        <f ca="1">INDIRECT("'("&amp;$A$4&amp;")'!g14")</f>
        <v>0</v>
      </c>
      <c r="H14" s="46">
        <f t="shared" ca="1" si="19"/>
        <v>0</v>
      </c>
      <c r="I14" s="46">
        <f t="shared" ca="1" si="20"/>
        <v>0</v>
      </c>
      <c r="J14" s="24"/>
      <c r="K14" s="24">
        <f ca="1">INDIRECT("'("&amp;$A$4&amp;")'!k14")</f>
        <v>30</v>
      </c>
      <c r="L14" s="24">
        <f ca="1">INDIRECT("'("&amp;$A$4&amp;")'!l14")</f>
        <v>0</v>
      </c>
      <c r="M14" s="24">
        <f ca="1">INDIRECT("'("&amp;$A$4&amp;")'!m14")</f>
        <v>0</v>
      </c>
      <c r="N14" s="24">
        <f ca="1">INDIRECT("'("&amp;$A$4&amp;")'!n14")</f>
        <v>0</v>
      </c>
      <c r="O14" s="24">
        <f ca="1">INDIRECT("'("&amp;$A$4&amp;")'!o14")</f>
        <v>0</v>
      </c>
      <c r="P14" s="24">
        <f ca="1">INDIRECT("'("&amp;$A$4&amp;")'!p14")</f>
        <v>0</v>
      </c>
      <c r="Q14" s="46">
        <f t="shared" ca="1" si="26"/>
        <v>0</v>
      </c>
      <c r="R14" s="46">
        <f t="shared" ca="1" si="27"/>
        <v>0</v>
      </c>
      <c r="S14" s="24"/>
      <c r="T14" s="22">
        <f t="shared" ca="1" si="28"/>
        <v>37</v>
      </c>
      <c r="U14" s="22">
        <f t="shared" ca="1" si="29"/>
        <v>0</v>
      </c>
      <c r="V14" s="22">
        <f t="shared" ca="1" si="30"/>
        <v>0</v>
      </c>
      <c r="W14" s="22">
        <f t="shared" ca="1" si="31"/>
        <v>0</v>
      </c>
      <c r="X14" s="22">
        <f t="shared" ca="1" si="32"/>
        <v>0</v>
      </c>
      <c r="Y14" s="22">
        <f t="shared" ca="1" si="33"/>
        <v>0</v>
      </c>
      <c r="Z14" s="46">
        <f t="shared" ca="1" si="34"/>
        <v>0</v>
      </c>
      <c r="AA14" s="46">
        <f t="shared" ca="1" si="35"/>
        <v>0</v>
      </c>
      <c r="AB14" s="24"/>
      <c r="AC14" s="24">
        <f ca="1">INDIRECT("'("&amp;$A$4&amp;")'!ac14")</f>
        <v>4</v>
      </c>
      <c r="AD14" s="24">
        <f ca="1">INDIRECT("'("&amp;$A$4&amp;")'!ad14")</f>
        <v>0</v>
      </c>
      <c r="AE14" s="24">
        <f ca="1">INDIRECT("'("&amp;$A$4&amp;")'!ae14")</f>
        <v>0</v>
      </c>
      <c r="AF14" s="24">
        <f ca="1">INDIRECT("'("&amp;$A$4&amp;")'!af14")</f>
        <v>0</v>
      </c>
      <c r="AG14" s="24">
        <f ca="1">INDIRECT("'("&amp;$A$4&amp;")'!ag14")</f>
        <v>0</v>
      </c>
      <c r="AH14" s="24">
        <f ca="1">INDIRECT("'("&amp;$A$4&amp;")'!ah14")</f>
        <v>5</v>
      </c>
      <c r="AI14" s="46">
        <f t="shared" ca="1" si="41"/>
        <v>0</v>
      </c>
      <c r="AJ14" s="46">
        <f t="shared" ca="1" si="42"/>
        <v>0.55555555555555558</v>
      </c>
      <c r="AK14" s="24"/>
      <c r="AL14" s="24">
        <f ca="1">INDIRECT("'("&amp;$A$4&amp;")'!al14")</f>
        <v>19</v>
      </c>
      <c r="AM14" s="24">
        <f ca="1">INDIRECT("'("&amp;$A$4&amp;")'!am14")</f>
        <v>0</v>
      </c>
      <c r="AN14" s="24">
        <f ca="1">INDIRECT("'("&amp;$A$4&amp;")'!an14")</f>
        <v>1</v>
      </c>
      <c r="AO14" s="24">
        <f ca="1">INDIRECT("'("&amp;$A$4&amp;")'!ao14")</f>
        <v>1</v>
      </c>
      <c r="AP14" s="24">
        <f ca="1">INDIRECT("'("&amp;$A$4&amp;")'!ag14")</f>
        <v>0</v>
      </c>
      <c r="AQ14" s="24">
        <f ca="1">INDIRECT("'("&amp;$A$4&amp;")'!aq14")</f>
        <v>2</v>
      </c>
      <c r="AR14" s="46">
        <f t="shared" ca="1" si="48"/>
        <v>9.5238095238095233E-2</v>
      </c>
      <c r="AS14" s="46">
        <f t="shared" ca="1" si="49"/>
        <v>8.6956521739130432E-2</v>
      </c>
      <c r="AT14" s="24"/>
      <c r="AU14" s="22">
        <f t="shared" ca="1" si="50"/>
        <v>60</v>
      </c>
      <c r="AV14" s="22">
        <f t="shared" ca="1" si="51"/>
        <v>0</v>
      </c>
      <c r="AW14" s="22">
        <f t="shared" ca="1" si="52"/>
        <v>1</v>
      </c>
      <c r="AX14" s="22">
        <f t="shared" ca="1" si="53"/>
        <v>1</v>
      </c>
      <c r="AY14" s="22">
        <f t="shared" ca="1" si="54"/>
        <v>0</v>
      </c>
      <c r="AZ14" s="22">
        <f t="shared" ca="1" si="55"/>
        <v>7</v>
      </c>
      <c r="BA14" s="46">
        <f t="shared" ca="1" si="56"/>
        <v>3.2258064516129031E-2</v>
      </c>
      <c r="BB14" s="46">
        <f t="shared" ca="1" si="57"/>
        <v>0.10144927536231885</v>
      </c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4" s="8" customFormat="1" ht="15" customHeight="1" x14ac:dyDescent="0.35">
      <c r="A15" s="2" t="s">
        <v>22</v>
      </c>
      <c r="B15" s="24">
        <f ca="1">INDIRECT("'("&amp;$A$4&amp;")'!b15")</f>
        <v>18</v>
      </c>
      <c r="C15" s="24">
        <f ca="1">INDIRECT("'("&amp;$A$4&amp;")'!c15")</f>
        <v>0</v>
      </c>
      <c r="D15" s="24">
        <f ca="1">INDIRECT("'("&amp;$A$4&amp;")'!d15")</f>
        <v>1</v>
      </c>
      <c r="E15" s="24">
        <f ca="1">INDIRECT("'("&amp;$A$4&amp;")'!e15")</f>
        <v>0</v>
      </c>
      <c r="F15" s="24">
        <f ca="1">INDIRECT("'("&amp;$A$4&amp;")'!f15")</f>
        <v>0</v>
      </c>
      <c r="G15" s="24">
        <f ca="1">INDIRECT("'("&amp;$A$4&amp;")'!g15")</f>
        <v>0</v>
      </c>
      <c r="H15" s="46">
        <f t="shared" ca="1" si="19"/>
        <v>5.2631578947368418E-2</v>
      </c>
      <c r="I15" s="46">
        <f t="shared" ca="1" si="20"/>
        <v>0</v>
      </c>
      <c r="J15" s="24"/>
      <c r="K15" s="24">
        <f ca="1">INDIRECT("'("&amp;$A$4&amp;")'!k15")</f>
        <v>21</v>
      </c>
      <c r="L15" s="24">
        <f ca="1">INDIRECT("'("&amp;$A$4&amp;")'!l15")</f>
        <v>0</v>
      </c>
      <c r="M15" s="24">
        <f ca="1">INDIRECT("'("&amp;$A$4&amp;")'!m15")</f>
        <v>0</v>
      </c>
      <c r="N15" s="24">
        <f ca="1">INDIRECT("'("&amp;$A$4&amp;")'!n15")</f>
        <v>0</v>
      </c>
      <c r="O15" s="24">
        <f ca="1">INDIRECT("'("&amp;$A$4&amp;")'!o15")</f>
        <v>0</v>
      </c>
      <c r="P15" s="24">
        <f ca="1">INDIRECT("'("&amp;$A$4&amp;")'!p15")</f>
        <v>0</v>
      </c>
      <c r="Q15" s="46">
        <f t="shared" ca="1" si="26"/>
        <v>0</v>
      </c>
      <c r="R15" s="46">
        <f t="shared" ca="1" si="27"/>
        <v>0</v>
      </c>
      <c r="S15" s="24"/>
      <c r="T15" s="22">
        <f t="shared" ca="1" si="28"/>
        <v>39</v>
      </c>
      <c r="U15" s="22">
        <f t="shared" ca="1" si="29"/>
        <v>0</v>
      </c>
      <c r="V15" s="22">
        <f t="shared" ca="1" si="30"/>
        <v>1</v>
      </c>
      <c r="W15" s="22">
        <f t="shared" ca="1" si="31"/>
        <v>0</v>
      </c>
      <c r="X15" s="22">
        <f t="shared" ca="1" si="32"/>
        <v>0</v>
      </c>
      <c r="Y15" s="22">
        <f t="shared" ca="1" si="33"/>
        <v>0</v>
      </c>
      <c r="Z15" s="46">
        <f t="shared" ca="1" si="34"/>
        <v>2.5000000000000001E-2</v>
      </c>
      <c r="AA15" s="46">
        <f t="shared" ca="1" si="35"/>
        <v>0</v>
      </c>
      <c r="AB15" s="24"/>
      <c r="AC15" s="24">
        <f ca="1">INDIRECT("'("&amp;$A$4&amp;")'!ac15")</f>
        <v>0</v>
      </c>
      <c r="AD15" s="24">
        <f ca="1">INDIRECT("'("&amp;$A$4&amp;")'!ad15")</f>
        <v>0</v>
      </c>
      <c r="AE15" s="24">
        <f ca="1">INDIRECT("'("&amp;$A$4&amp;")'!ae15")</f>
        <v>0</v>
      </c>
      <c r="AF15" s="24">
        <f ca="1">INDIRECT("'("&amp;$A$4&amp;")'!af15")</f>
        <v>0</v>
      </c>
      <c r="AG15" s="24">
        <f ca="1">INDIRECT("'("&amp;$A$4&amp;")'!ag15")</f>
        <v>0</v>
      </c>
      <c r="AH15" s="24">
        <f ca="1">INDIRECT("'("&amp;$A$4&amp;")'!ah15")</f>
        <v>0</v>
      </c>
      <c r="AI15" s="46" t="str">
        <f t="shared" ca="1" si="41"/>
        <v>-</v>
      </c>
      <c r="AJ15" s="46" t="str">
        <f t="shared" ca="1" si="42"/>
        <v>-</v>
      </c>
      <c r="AK15" s="24"/>
      <c r="AL15" s="24">
        <f ca="1">INDIRECT("'("&amp;$A$4&amp;")'!al15")</f>
        <v>37</v>
      </c>
      <c r="AM15" s="24">
        <f ca="1">INDIRECT("'("&amp;$A$4&amp;")'!am15")</f>
        <v>0</v>
      </c>
      <c r="AN15" s="24">
        <f ca="1">INDIRECT("'("&amp;$A$4&amp;")'!an15")</f>
        <v>0</v>
      </c>
      <c r="AO15" s="24">
        <f ca="1">INDIRECT("'("&amp;$A$4&amp;")'!ao15")</f>
        <v>0</v>
      </c>
      <c r="AP15" s="24">
        <f ca="1">INDIRECT("'("&amp;$A$4&amp;")'!ag15")</f>
        <v>0</v>
      </c>
      <c r="AQ15" s="24">
        <f ca="1">INDIRECT("'("&amp;$A$4&amp;")'!aq15")</f>
        <v>1</v>
      </c>
      <c r="AR15" s="46">
        <f t="shared" ca="1" si="48"/>
        <v>0</v>
      </c>
      <c r="AS15" s="46">
        <f t="shared" ca="1" si="49"/>
        <v>2.6315789473684209E-2</v>
      </c>
      <c r="AT15" s="24"/>
      <c r="AU15" s="22">
        <f t="shared" ca="1" si="50"/>
        <v>76</v>
      </c>
      <c r="AV15" s="22">
        <f t="shared" ca="1" si="51"/>
        <v>0</v>
      </c>
      <c r="AW15" s="22">
        <f t="shared" ca="1" si="52"/>
        <v>1</v>
      </c>
      <c r="AX15" s="22">
        <f t="shared" ca="1" si="53"/>
        <v>0</v>
      </c>
      <c r="AY15" s="22">
        <f t="shared" ca="1" si="54"/>
        <v>0</v>
      </c>
      <c r="AZ15" s="22">
        <f t="shared" ca="1" si="55"/>
        <v>1</v>
      </c>
      <c r="BA15" s="46">
        <f t="shared" ca="1" si="56"/>
        <v>1.2987012987012988E-2</v>
      </c>
      <c r="BB15" s="46">
        <f t="shared" ca="1" si="57"/>
        <v>1.282051282051282E-2</v>
      </c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4" s="8" customFormat="1" ht="15" customHeight="1" x14ac:dyDescent="0.35">
      <c r="A16" s="2" t="s">
        <v>23</v>
      </c>
      <c r="B16" s="24">
        <f ca="1">INDIRECT("'("&amp;$A$4&amp;")'!b16")</f>
        <v>22</v>
      </c>
      <c r="C16" s="24">
        <f ca="1">INDIRECT("'("&amp;$A$4&amp;")'!c16")</f>
        <v>0</v>
      </c>
      <c r="D16" s="24">
        <f ca="1">INDIRECT("'("&amp;$A$4&amp;")'!d16")</f>
        <v>0</v>
      </c>
      <c r="E16" s="24">
        <f ca="1">INDIRECT("'("&amp;$A$4&amp;")'!e16")</f>
        <v>0</v>
      </c>
      <c r="F16" s="24">
        <f ca="1">INDIRECT("'("&amp;$A$4&amp;")'!f16")</f>
        <v>0</v>
      </c>
      <c r="G16" s="24">
        <f ca="1">INDIRECT("'("&amp;$A$4&amp;")'!g16")</f>
        <v>0</v>
      </c>
      <c r="H16" s="46">
        <f t="shared" ca="1" si="19"/>
        <v>0</v>
      </c>
      <c r="I16" s="46">
        <f t="shared" ca="1" si="20"/>
        <v>0</v>
      </c>
      <c r="J16" s="24"/>
      <c r="K16" s="24">
        <f ca="1">INDIRECT("'("&amp;$A$4&amp;")'!k16")</f>
        <v>11</v>
      </c>
      <c r="L16" s="24">
        <f ca="1">INDIRECT("'("&amp;$A$4&amp;")'!l16")</f>
        <v>0</v>
      </c>
      <c r="M16" s="24">
        <f ca="1">INDIRECT("'("&amp;$A$4&amp;")'!m16")</f>
        <v>0</v>
      </c>
      <c r="N16" s="24">
        <f ca="1">INDIRECT("'("&amp;$A$4&amp;")'!n16")</f>
        <v>0</v>
      </c>
      <c r="O16" s="24">
        <f ca="1">INDIRECT("'("&amp;$A$4&amp;")'!o16")</f>
        <v>0</v>
      </c>
      <c r="P16" s="24">
        <f ca="1">INDIRECT("'("&amp;$A$4&amp;")'!p16")</f>
        <v>0</v>
      </c>
      <c r="Q16" s="46">
        <f t="shared" ca="1" si="26"/>
        <v>0</v>
      </c>
      <c r="R16" s="46">
        <f t="shared" ca="1" si="27"/>
        <v>0</v>
      </c>
      <c r="S16" s="24"/>
      <c r="T16" s="22">
        <f t="shared" ca="1" si="28"/>
        <v>33</v>
      </c>
      <c r="U16" s="22">
        <f t="shared" ca="1" si="29"/>
        <v>0</v>
      </c>
      <c r="V16" s="22">
        <f t="shared" ca="1" si="30"/>
        <v>0</v>
      </c>
      <c r="W16" s="22">
        <f t="shared" ca="1" si="31"/>
        <v>0</v>
      </c>
      <c r="X16" s="22">
        <f t="shared" ca="1" si="32"/>
        <v>0</v>
      </c>
      <c r="Y16" s="22">
        <f t="shared" ca="1" si="33"/>
        <v>0</v>
      </c>
      <c r="Z16" s="46">
        <f t="shared" ca="1" si="34"/>
        <v>0</v>
      </c>
      <c r="AA16" s="46">
        <f t="shared" ca="1" si="35"/>
        <v>0</v>
      </c>
      <c r="AB16" s="24"/>
      <c r="AC16" s="24">
        <f ca="1">INDIRECT("'("&amp;$A$4&amp;")'!ac16")</f>
        <v>1</v>
      </c>
      <c r="AD16" s="24">
        <f ca="1">INDIRECT("'("&amp;$A$4&amp;")'!ad16")</f>
        <v>0</v>
      </c>
      <c r="AE16" s="24">
        <f ca="1">INDIRECT("'("&amp;$A$4&amp;")'!ae16")</f>
        <v>0</v>
      </c>
      <c r="AF16" s="24">
        <f ca="1">INDIRECT("'("&amp;$A$4&amp;")'!af16")</f>
        <v>0</v>
      </c>
      <c r="AG16" s="24">
        <f ca="1">INDIRECT("'("&amp;$A$4&amp;")'!ag16")</f>
        <v>0</v>
      </c>
      <c r="AH16" s="24">
        <f ca="1">INDIRECT("'("&amp;$A$4&amp;")'!ah16")</f>
        <v>0</v>
      </c>
      <c r="AI16" s="46">
        <f t="shared" ca="1" si="41"/>
        <v>0</v>
      </c>
      <c r="AJ16" s="46">
        <f t="shared" ca="1" si="42"/>
        <v>0</v>
      </c>
      <c r="AK16" s="24"/>
      <c r="AL16" s="24">
        <f ca="1">INDIRECT("'("&amp;$A$4&amp;")'!al16")</f>
        <v>13</v>
      </c>
      <c r="AM16" s="24">
        <f ca="1">INDIRECT("'("&amp;$A$4&amp;")'!am16")</f>
        <v>0</v>
      </c>
      <c r="AN16" s="24">
        <f ca="1">INDIRECT("'("&amp;$A$4&amp;")'!an16")</f>
        <v>0</v>
      </c>
      <c r="AO16" s="24">
        <f ca="1">INDIRECT("'("&amp;$A$4&amp;")'!ao16")</f>
        <v>0</v>
      </c>
      <c r="AP16" s="24">
        <f ca="1">INDIRECT("'("&amp;$A$4&amp;")'!ag16")</f>
        <v>0</v>
      </c>
      <c r="AQ16" s="24">
        <f ca="1">INDIRECT("'("&amp;$A$4&amp;")'!aq16")</f>
        <v>0</v>
      </c>
      <c r="AR16" s="46">
        <f t="shared" ca="1" si="48"/>
        <v>0</v>
      </c>
      <c r="AS16" s="46">
        <f t="shared" ca="1" si="49"/>
        <v>0</v>
      </c>
      <c r="AT16" s="24"/>
      <c r="AU16" s="22">
        <f t="shared" ca="1" si="50"/>
        <v>47</v>
      </c>
      <c r="AV16" s="22">
        <f t="shared" ca="1" si="51"/>
        <v>0</v>
      </c>
      <c r="AW16" s="22">
        <f t="shared" ca="1" si="52"/>
        <v>0</v>
      </c>
      <c r="AX16" s="22">
        <f t="shared" ca="1" si="53"/>
        <v>0</v>
      </c>
      <c r="AY16" s="22">
        <f t="shared" ca="1" si="54"/>
        <v>0</v>
      </c>
      <c r="AZ16" s="22">
        <f t="shared" ca="1" si="55"/>
        <v>0</v>
      </c>
      <c r="BA16" s="46">
        <f t="shared" ca="1" si="56"/>
        <v>0</v>
      </c>
      <c r="BB16" s="46">
        <f t="shared" ca="1" si="57"/>
        <v>0</v>
      </c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s="8" customFormat="1" ht="15" customHeight="1" x14ac:dyDescent="0.35">
      <c r="A17" s="2" t="s">
        <v>24</v>
      </c>
      <c r="B17" s="24">
        <f ca="1">INDIRECT("'("&amp;$A$4&amp;")'!b17")</f>
        <v>0</v>
      </c>
      <c r="C17" s="24">
        <f ca="1">INDIRECT("'("&amp;$A$4&amp;")'!c17")</f>
        <v>0</v>
      </c>
      <c r="D17" s="24">
        <f ca="1">INDIRECT("'("&amp;$A$4&amp;")'!d17")</f>
        <v>0</v>
      </c>
      <c r="E17" s="24">
        <f ca="1">INDIRECT("'("&amp;$A$4&amp;")'!e17")</f>
        <v>0</v>
      </c>
      <c r="F17" s="24">
        <f ca="1">INDIRECT("'("&amp;$A$4&amp;")'!f17")</f>
        <v>0</v>
      </c>
      <c r="G17" s="24">
        <f ca="1">INDIRECT("'("&amp;$A$4&amp;")'!g17")</f>
        <v>5</v>
      </c>
      <c r="H17" s="46" t="str">
        <f t="shared" ca="1" si="19"/>
        <v>-</v>
      </c>
      <c r="I17" s="46">
        <f t="shared" ca="1" si="20"/>
        <v>1</v>
      </c>
      <c r="J17" s="24"/>
      <c r="K17" s="24">
        <f ca="1">INDIRECT("'("&amp;$A$4&amp;")'!k17")</f>
        <v>8</v>
      </c>
      <c r="L17" s="24">
        <f ca="1">INDIRECT("'("&amp;$A$4&amp;")'!l17")</f>
        <v>0</v>
      </c>
      <c r="M17" s="24">
        <f ca="1">INDIRECT("'("&amp;$A$4&amp;")'!m17")</f>
        <v>0</v>
      </c>
      <c r="N17" s="24">
        <f ca="1">INDIRECT("'("&amp;$A$4&amp;")'!n17")</f>
        <v>0</v>
      </c>
      <c r="O17" s="24">
        <f ca="1">INDIRECT("'("&amp;$A$4&amp;")'!o17")</f>
        <v>0</v>
      </c>
      <c r="P17" s="24">
        <f ca="1">INDIRECT("'("&amp;$A$4&amp;")'!p17")</f>
        <v>15</v>
      </c>
      <c r="Q17" s="46">
        <f t="shared" ca="1" si="26"/>
        <v>0</v>
      </c>
      <c r="R17" s="46">
        <f t="shared" ca="1" si="27"/>
        <v>0.65217391304347827</v>
      </c>
      <c r="S17" s="24"/>
      <c r="T17" s="22">
        <f t="shared" ca="1" si="28"/>
        <v>8</v>
      </c>
      <c r="U17" s="22">
        <f t="shared" ca="1" si="29"/>
        <v>0</v>
      </c>
      <c r="V17" s="22">
        <f t="shared" ca="1" si="30"/>
        <v>0</v>
      </c>
      <c r="W17" s="22">
        <f t="shared" ca="1" si="31"/>
        <v>0</v>
      </c>
      <c r="X17" s="22">
        <f t="shared" ca="1" si="32"/>
        <v>0</v>
      </c>
      <c r="Y17" s="22">
        <f t="shared" ca="1" si="33"/>
        <v>20</v>
      </c>
      <c r="Z17" s="46">
        <f t="shared" ca="1" si="34"/>
        <v>0</v>
      </c>
      <c r="AA17" s="46">
        <f t="shared" ca="1" si="35"/>
        <v>0.7142857142857143</v>
      </c>
      <c r="AB17" s="24"/>
      <c r="AC17" s="24">
        <f ca="1">INDIRECT("'("&amp;$A$4&amp;")'!ac17")</f>
        <v>0</v>
      </c>
      <c r="AD17" s="24">
        <f ca="1">INDIRECT("'("&amp;$A$4&amp;")'!ad17")</f>
        <v>0</v>
      </c>
      <c r="AE17" s="24">
        <f ca="1">INDIRECT("'("&amp;$A$4&amp;")'!ae17")</f>
        <v>0</v>
      </c>
      <c r="AF17" s="24">
        <f ca="1">INDIRECT("'("&amp;$A$4&amp;")'!af17")</f>
        <v>0</v>
      </c>
      <c r="AG17" s="24">
        <f ca="1">INDIRECT("'("&amp;$A$4&amp;")'!ag17")</f>
        <v>0</v>
      </c>
      <c r="AH17" s="24">
        <f ca="1">INDIRECT("'("&amp;$A$4&amp;")'!ah17")</f>
        <v>3</v>
      </c>
      <c r="AI17" s="46" t="str">
        <f t="shared" ca="1" si="41"/>
        <v>-</v>
      </c>
      <c r="AJ17" s="46">
        <f t="shared" ca="1" si="42"/>
        <v>1</v>
      </c>
      <c r="AK17" s="24"/>
      <c r="AL17" s="24">
        <f ca="1">INDIRECT("'("&amp;$A$4&amp;")'!al17")</f>
        <v>1</v>
      </c>
      <c r="AM17" s="24">
        <f ca="1">INDIRECT("'("&amp;$A$4&amp;")'!am17")</f>
        <v>0</v>
      </c>
      <c r="AN17" s="24">
        <f ca="1">INDIRECT("'("&amp;$A$4&amp;")'!an17")</f>
        <v>0</v>
      </c>
      <c r="AO17" s="24">
        <f ca="1">INDIRECT("'("&amp;$A$4&amp;")'!ao17")</f>
        <v>0</v>
      </c>
      <c r="AP17" s="24">
        <f ca="1">INDIRECT("'("&amp;$A$4&amp;")'!ag17")</f>
        <v>0</v>
      </c>
      <c r="AQ17" s="24">
        <f ca="1">INDIRECT("'("&amp;$A$4&amp;")'!aq17")</f>
        <v>6</v>
      </c>
      <c r="AR17" s="46">
        <f t="shared" ca="1" si="48"/>
        <v>0</v>
      </c>
      <c r="AS17" s="46">
        <f t="shared" ca="1" si="49"/>
        <v>0.8571428571428571</v>
      </c>
      <c r="AT17" s="24"/>
      <c r="AU17" s="22">
        <f t="shared" ca="1" si="50"/>
        <v>9</v>
      </c>
      <c r="AV17" s="22">
        <f t="shared" ca="1" si="51"/>
        <v>0</v>
      </c>
      <c r="AW17" s="22">
        <f t="shared" ca="1" si="52"/>
        <v>0</v>
      </c>
      <c r="AX17" s="22">
        <f t="shared" ca="1" si="53"/>
        <v>0</v>
      </c>
      <c r="AY17" s="22">
        <f t="shared" ca="1" si="54"/>
        <v>0</v>
      </c>
      <c r="AZ17" s="22">
        <f t="shared" ca="1" si="55"/>
        <v>29</v>
      </c>
      <c r="BA17" s="46">
        <f t="shared" ca="1" si="56"/>
        <v>0</v>
      </c>
      <c r="BB17" s="46">
        <f t="shared" ca="1" si="57"/>
        <v>0.76315789473684215</v>
      </c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 s="8" customFormat="1" ht="15" customHeight="1" x14ac:dyDescent="0.35">
      <c r="A18" s="2" t="s">
        <v>25</v>
      </c>
      <c r="B18" s="24">
        <f ca="1">INDIRECT("'("&amp;$A$4&amp;")'!b18")</f>
        <v>1</v>
      </c>
      <c r="C18" s="24">
        <f ca="1">INDIRECT("'("&amp;$A$4&amp;")'!c18")</f>
        <v>0</v>
      </c>
      <c r="D18" s="24">
        <f ca="1">INDIRECT("'("&amp;$A$4&amp;")'!d18")</f>
        <v>0</v>
      </c>
      <c r="E18" s="24">
        <f ca="1">INDIRECT("'("&amp;$A$4&amp;")'!e18")</f>
        <v>0</v>
      </c>
      <c r="F18" s="24">
        <f ca="1">INDIRECT("'("&amp;$A$4&amp;")'!f18")</f>
        <v>0</v>
      </c>
      <c r="G18" s="24">
        <f ca="1">INDIRECT("'("&amp;$A$4&amp;")'!g18")</f>
        <v>0</v>
      </c>
      <c r="H18" s="46">
        <f t="shared" ca="1" si="19"/>
        <v>0</v>
      </c>
      <c r="I18" s="46">
        <f t="shared" ca="1" si="20"/>
        <v>0</v>
      </c>
      <c r="J18" s="24"/>
      <c r="K18" s="24">
        <f ca="1">INDIRECT("'("&amp;$A$4&amp;")'!k18")</f>
        <v>6</v>
      </c>
      <c r="L18" s="24">
        <f ca="1">INDIRECT("'("&amp;$A$4&amp;")'!l18")</f>
        <v>0</v>
      </c>
      <c r="M18" s="24">
        <f ca="1">INDIRECT("'("&amp;$A$4&amp;")'!m18")</f>
        <v>1</v>
      </c>
      <c r="N18" s="24">
        <f ca="1">INDIRECT("'("&amp;$A$4&amp;")'!n18")</f>
        <v>0</v>
      </c>
      <c r="O18" s="24">
        <f ca="1">INDIRECT("'("&amp;$A$4&amp;")'!o18")</f>
        <v>0</v>
      </c>
      <c r="P18" s="24">
        <f ca="1">INDIRECT("'("&amp;$A$4&amp;")'!p18")</f>
        <v>27</v>
      </c>
      <c r="Q18" s="46">
        <f t="shared" ca="1" si="26"/>
        <v>0.14285714285714285</v>
      </c>
      <c r="R18" s="46">
        <f t="shared" ca="1" si="27"/>
        <v>0.79411764705882348</v>
      </c>
      <c r="S18" s="24"/>
      <c r="T18" s="22">
        <f t="shared" ca="1" si="28"/>
        <v>7</v>
      </c>
      <c r="U18" s="22">
        <f t="shared" ca="1" si="29"/>
        <v>0</v>
      </c>
      <c r="V18" s="22">
        <f t="shared" ca="1" si="30"/>
        <v>1</v>
      </c>
      <c r="W18" s="22">
        <f t="shared" ca="1" si="31"/>
        <v>0</v>
      </c>
      <c r="X18" s="22">
        <f t="shared" ca="1" si="32"/>
        <v>0</v>
      </c>
      <c r="Y18" s="22">
        <f t="shared" ca="1" si="33"/>
        <v>27</v>
      </c>
      <c r="Z18" s="46">
        <f t="shared" ca="1" si="34"/>
        <v>0.125</v>
      </c>
      <c r="AA18" s="46">
        <f t="shared" ca="1" si="35"/>
        <v>0.77142857142857146</v>
      </c>
      <c r="AB18" s="24"/>
      <c r="AC18" s="24">
        <f ca="1">INDIRECT("'("&amp;$A$4&amp;")'!ac18")</f>
        <v>0</v>
      </c>
      <c r="AD18" s="24">
        <f ca="1">INDIRECT("'("&amp;$A$4&amp;")'!ad18")</f>
        <v>0</v>
      </c>
      <c r="AE18" s="24">
        <f ca="1">INDIRECT("'("&amp;$A$4&amp;")'!ae18")</f>
        <v>0</v>
      </c>
      <c r="AF18" s="24">
        <f ca="1">INDIRECT("'("&amp;$A$4&amp;")'!af18")</f>
        <v>0</v>
      </c>
      <c r="AG18" s="24">
        <f ca="1">INDIRECT("'("&amp;$A$4&amp;")'!ag18")</f>
        <v>0</v>
      </c>
      <c r="AH18" s="24">
        <f ca="1">INDIRECT("'("&amp;$A$4&amp;")'!ah18")</f>
        <v>0</v>
      </c>
      <c r="AI18" s="46" t="str">
        <f t="shared" ca="1" si="41"/>
        <v>-</v>
      </c>
      <c r="AJ18" s="46" t="str">
        <f t="shared" ca="1" si="42"/>
        <v>-</v>
      </c>
      <c r="AK18" s="24"/>
      <c r="AL18" s="24">
        <f ca="1">INDIRECT("'("&amp;$A$4&amp;")'!al18")</f>
        <v>1</v>
      </c>
      <c r="AM18" s="24">
        <f ca="1">INDIRECT("'("&amp;$A$4&amp;")'!am18")</f>
        <v>0</v>
      </c>
      <c r="AN18" s="24">
        <f ca="1">INDIRECT("'("&amp;$A$4&amp;")'!an18")</f>
        <v>0</v>
      </c>
      <c r="AO18" s="24">
        <f ca="1">INDIRECT("'("&amp;$A$4&amp;")'!ao18")</f>
        <v>0</v>
      </c>
      <c r="AP18" s="24">
        <f ca="1">INDIRECT("'("&amp;$A$4&amp;")'!ag18")</f>
        <v>0</v>
      </c>
      <c r="AQ18" s="24">
        <f ca="1">INDIRECT("'("&amp;$A$4&amp;")'!aq18")</f>
        <v>0</v>
      </c>
      <c r="AR18" s="46">
        <f t="shared" ca="1" si="48"/>
        <v>0</v>
      </c>
      <c r="AS18" s="46">
        <f t="shared" ca="1" si="49"/>
        <v>0</v>
      </c>
      <c r="AT18" s="24"/>
      <c r="AU18" s="22">
        <f t="shared" ca="1" si="50"/>
        <v>8</v>
      </c>
      <c r="AV18" s="22">
        <f t="shared" ca="1" si="51"/>
        <v>0</v>
      </c>
      <c r="AW18" s="22">
        <f t="shared" ca="1" si="52"/>
        <v>1</v>
      </c>
      <c r="AX18" s="22">
        <f t="shared" ca="1" si="53"/>
        <v>0</v>
      </c>
      <c r="AY18" s="22">
        <f t="shared" ca="1" si="54"/>
        <v>0</v>
      </c>
      <c r="AZ18" s="22">
        <f t="shared" ca="1" si="55"/>
        <v>27</v>
      </c>
      <c r="BA18" s="46">
        <f t="shared" ca="1" si="56"/>
        <v>0.1111111111111111</v>
      </c>
      <c r="BB18" s="46">
        <f t="shared" ca="1" si="57"/>
        <v>0.75</v>
      </c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s="8" customFormat="1" ht="15" customHeight="1" x14ac:dyDescent="0.35">
      <c r="A19" s="26" t="s">
        <v>26</v>
      </c>
      <c r="B19" s="24">
        <f ca="1">INDIRECT("'("&amp;$A$4&amp;")'!b19")</f>
        <v>2</v>
      </c>
      <c r="C19" s="24">
        <f ca="1">INDIRECT("'("&amp;$A$4&amp;")'!c19")</f>
        <v>0</v>
      </c>
      <c r="D19" s="24">
        <f ca="1">INDIRECT("'("&amp;$A$4&amp;")'!d19")</f>
        <v>0</v>
      </c>
      <c r="E19" s="24">
        <f ca="1">INDIRECT("'("&amp;$A$4&amp;")'!e19")</f>
        <v>0</v>
      </c>
      <c r="F19" s="24">
        <f ca="1">INDIRECT("'("&amp;$A$4&amp;")'!f19")</f>
        <v>0</v>
      </c>
      <c r="G19" s="24">
        <f ca="1">INDIRECT("'("&amp;$A$4&amp;")'!g19")</f>
        <v>1</v>
      </c>
      <c r="H19" s="46">
        <f t="shared" ca="1" si="19"/>
        <v>0</v>
      </c>
      <c r="I19" s="46">
        <f t="shared" ca="1" si="20"/>
        <v>0.33333333333333331</v>
      </c>
      <c r="J19" s="24"/>
      <c r="K19" s="24">
        <f ca="1">INDIRECT("'("&amp;$A$4&amp;")'!k19")</f>
        <v>17</v>
      </c>
      <c r="L19" s="24">
        <f ca="1">INDIRECT("'("&amp;$A$4&amp;")'!l19")</f>
        <v>0</v>
      </c>
      <c r="M19" s="24">
        <f ca="1">INDIRECT("'("&amp;$A$4&amp;")'!m19")</f>
        <v>0</v>
      </c>
      <c r="N19" s="24">
        <f ca="1">INDIRECT("'("&amp;$A$4&amp;")'!n19")</f>
        <v>0</v>
      </c>
      <c r="O19" s="24">
        <f ca="1">INDIRECT("'("&amp;$A$4&amp;")'!o19")</f>
        <v>0</v>
      </c>
      <c r="P19" s="24">
        <f ca="1">INDIRECT("'("&amp;$A$4&amp;")'!p19")</f>
        <v>11</v>
      </c>
      <c r="Q19" s="46">
        <f t="shared" ca="1" si="26"/>
        <v>0</v>
      </c>
      <c r="R19" s="46">
        <f t="shared" ca="1" si="27"/>
        <v>0.39285714285714285</v>
      </c>
      <c r="S19" s="24"/>
      <c r="T19" s="22">
        <f t="shared" ca="1" si="28"/>
        <v>19</v>
      </c>
      <c r="U19" s="22">
        <f t="shared" ca="1" si="29"/>
        <v>0</v>
      </c>
      <c r="V19" s="22">
        <f t="shared" ca="1" si="30"/>
        <v>0</v>
      </c>
      <c r="W19" s="22">
        <f t="shared" ca="1" si="31"/>
        <v>0</v>
      </c>
      <c r="X19" s="22">
        <f t="shared" ca="1" si="32"/>
        <v>0</v>
      </c>
      <c r="Y19" s="22">
        <f t="shared" ca="1" si="33"/>
        <v>12</v>
      </c>
      <c r="Z19" s="46">
        <f t="shared" ca="1" si="34"/>
        <v>0</v>
      </c>
      <c r="AA19" s="46">
        <f t="shared" ca="1" si="35"/>
        <v>0.38709677419354838</v>
      </c>
      <c r="AB19" s="24"/>
      <c r="AC19" s="24">
        <f ca="1">INDIRECT("'("&amp;$A$4&amp;")'!ac19")</f>
        <v>2</v>
      </c>
      <c r="AD19" s="24">
        <f ca="1">INDIRECT("'("&amp;$A$4&amp;")'!ad19")</f>
        <v>0</v>
      </c>
      <c r="AE19" s="24">
        <f ca="1">INDIRECT("'("&amp;$A$4&amp;")'!ae19")</f>
        <v>0</v>
      </c>
      <c r="AF19" s="24">
        <f ca="1">INDIRECT("'("&amp;$A$4&amp;")'!af19")</f>
        <v>0</v>
      </c>
      <c r="AG19" s="24">
        <f ca="1">INDIRECT("'("&amp;$A$4&amp;")'!ag19")</f>
        <v>0</v>
      </c>
      <c r="AH19" s="24">
        <f ca="1">INDIRECT("'("&amp;$A$4&amp;")'!ah19")</f>
        <v>2</v>
      </c>
      <c r="AI19" s="46">
        <f t="shared" ca="1" si="41"/>
        <v>0</v>
      </c>
      <c r="AJ19" s="46">
        <f t="shared" ca="1" si="42"/>
        <v>0.5</v>
      </c>
      <c r="AK19" s="24"/>
      <c r="AL19" s="24">
        <f ca="1">INDIRECT("'("&amp;$A$4&amp;")'!al19")</f>
        <v>8</v>
      </c>
      <c r="AM19" s="24">
        <f ca="1">INDIRECT("'("&amp;$A$4&amp;")'!am19")</f>
        <v>0</v>
      </c>
      <c r="AN19" s="24">
        <f ca="1">INDIRECT("'("&amp;$A$4&amp;")'!an19")</f>
        <v>1</v>
      </c>
      <c r="AO19" s="24">
        <f ca="1">INDIRECT("'("&amp;$A$4&amp;")'!ao19")</f>
        <v>0</v>
      </c>
      <c r="AP19" s="24">
        <f ca="1">INDIRECT("'("&amp;$A$4&amp;")'!ag19")</f>
        <v>0</v>
      </c>
      <c r="AQ19" s="24">
        <f ca="1">INDIRECT("'("&amp;$A$4&amp;")'!aq19")</f>
        <v>5</v>
      </c>
      <c r="AR19" s="46">
        <f t="shared" ca="1" si="48"/>
        <v>0.1111111111111111</v>
      </c>
      <c r="AS19" s="46">
        <f t="shared" ca="1" si="49"/>
        <v>0.35714285714285715</v>
      </c>
      <c r="AT19" s="24"/>
      <c r="AU19" s="22">
        <f t="shared" ca="1" si="50"/>
        <v>29</v>
      </c>
      <c r="AV19" s="22">
        <f t="shared" ca="1" si="51"/>
        <v>0</v>
      </c>
      <c r="AW19" s="22">
        <f t="shared" ca="1" si="52"/>
        <v>1</v>
      </c>
      <c r="AX19" s="22">
        <f t="shared" ca="1" si="53"/>
        <v>0</v>
      </c>
      <c r="AY19" s="22">
        <f t="shared" ca="1" si="54"/>
        <v>0</v>
      </c>
      <c r="AZ19" s="22">
        <f t="shared" ca="1" si="55"/>
        <v>19</v>
      </c>
      <c r="BA19" s="46">
        <f t="shared" ca="1" si="56"/>
        <v>3.3333333333333333E-2</v>
      </c>
      <c r="BB19" s="46">
        <f t="shared" ca="1" si="57"/>
        <v>0.38775510204081631</v>
      </c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 s="8" customFormat="1" ht="15" customHeight="1" x14ac:dyDescent="0.35">
      <c r="A20" s="26" t="s">
        <v>27</v>
      </c>
      <c r="B20" s="24">
        <f ca="1">INDIRECT("'("&amp;$A$4&amp;")'!b20")</f>
        <v>34</v>
      </c>
      <c r="C20" s="24">
        <f ca="1">INDIRECT("'("&amp;$A$4&amp;")'!c20")</f>
        <v>0</v>
      </c>
      <c r="D20" s="24">
        <f ca="1">INDIRECT("'("&amp;$A$4&amp;")'!d20")</f>
        <v>0</v>
      </c>
      <c r="E20" s="24">
        <f ca="1">INDIRECT("'("&amp;$A$4&amp;")'!e20")</f>
        <v>0</v>
      </c>
      <c r="F20" s="24">
        <f ca="1">INDIRECT("'("&amp;$A$4&amp;")'!f20")</f>
        <v>0</v>
      </c>
      <c r="G20" s="24">
        <f ca="1">INDIRECT("'("&amp;$A$4&amp;")'!g20")</f>
        <v>1</v>
      </c>
      <c r="H20" s="46">
        <f t="shared" ca="1" si="19"/>
        <v>0</v>
      </c>
      <c r="I20" s="46">
        <f t="shared" ca="1" si="20"/>
        <v>2.8571428571428571E-2</v>
      </c>
      <c r="J20" s="24"/>
      <c r="K20" s="24">
        <f ca="1">INDIRECT("'("&amp;$A$4&amp;")'!k20")</f>
        <v>73</v>
      </c>
      <c r="L20" s="24">
        <f ca="1">INDIRECT("'("&amp;$A$4&amp;")'!l20")</f>
        <v>1</v>
      </c>
      <c r="M20" s="24">
        <f ca="1">INDIRECT("'("&amp;$A$4&amp;")'!m20")</f>
        <v>0</v>
      </c>
      <c r="N20" s="24">
        <f ca="1">INDIRECT("'("&amp;$A$4&amp;")'!n20")</f>
        <v>0</v>
      </c>
      <c r="O20" s="24">
        <f ca="1">INDIRECT("'("&amp;$A$4&amp;")'!o20")</f>
        <v>0</v>
      </c>
      <c r="P20" s="24">
        <f ca="1">INDIRECT("'("&amp;$A$4&amp;")'!p20")</f>
        <v>34</v>
      </c>
      <c r="Q20" s="46">
        <f t="shared" ca="1" si="26"/>
        <v>1.3513513513513514E-2</v>
      </c>
      <c r="R20" s="46">
        <f t="shared" ca="1" si="27"/>
        <v>0.31481481481481483</v>
      </c>
      <c r="S20" s="24"/>
      <c r="T20" s="22">
        <f t="shared" ca="1" si="28"/>
        <v>107</v>
      </c>
      <c r="U20" s="22">
        <f t="shared" ca="1" si="29"/>
        <v>1</v>
      </c>
      <c r="V20" s="22">
        <f t="shared" ca="1" si="30"/>
        <v>0</v>
      </c>
      <c r="W20" s="22">
        <f t="shared" ca="1" si="31"/>
        <v>0</v>
      </c>
      <c r="X20" s="22">
        <f t="shared" ca="1" si="32"/>
        <v>0</v>
      </c>
      <c r="Y20" s="22">
        <f t="shared" ca="1" si="33"/>
        <v>35</v>
      </c>
      <c r="Z20" s="46">
        <f t="shared" ca="1" si="34"/>
        <v>9.2592592592592587E-3</v>
      </c>
      <c r="AA20" s="46">
        <f t="shared" ca="1" si="35"/>
        <v>0.24475524475524477</v>
      </c>
      <c r="AB20" s="24"/>
      <c r="AC20" s="24">
        <f ca="1">INDIRECT("'("&amp;$A$4&amp;")'!ac20")</f>
        <v>2</v>
      </c>
      <c r="AD20" s="24">
        <f ca="1">INDIRECT("'("&amp;$A$4&amp;")'!ad20")</f>
        <v>0</v>
      </c>
      <c r="AE20" s="24">
        <f ca="1">INDIRECT("'("&amp;$A$4&amp;")'!ae20")</f>
        <v>0</v>
      </c>
      <c r="AF20" s="24">
        <f ca="1">INDIRECT("'("&amp;$A$4&amp;")'!af20")</f>
        <v>0</v>
      </c>
      <c r="AG20" s="24">
        <f ca="1">INDIRECT("'("&amp;$A$4&amp;")'!ag20")</f>
        <v>0</v>
      </c>
      <c r="AH20" s="24">
        <f ca="1">INDIRECT("'("&amp;$A$4&amp;")'!ah20")</f>
        <v>0</v>
      </c>
      <c r="AI20" s="46">
        <f t="shared" ca="1" si="41"/>
        <v>0</v>
      </c>
      <c r="AJ20" s="46">
        <f t="shared" ca="1" si="42"/>
        <v>0</v>
      </c>
      <c r="AK20" s="24"/>
      <c r="AL20" s="24">
        <f ca="1">INDIRECT("'("&amp;$A$4&amp;")'!al20")</f>
        <v>19</v>
      </c>
      <c r="AM20" s="24">
        <f ca="1">INDIRECT("'("&amp;$A$4&amp;")'!am20")</f>
        <v>0</v>
      </c>
      <c r="AN20" s="24">
        <f ca="1">INDIRECT("'("&amp;$A$4&amp;")'!an20")</f>
        <v>0</v>
      </c>
      <c r="AO20" s="24">
        <f ca="1">INDIRECT("'("&amp;$A$4&amp;")'!ao20")</f>
        <v>0</v>
      </c>
      <c r="AP20" s="24">
        <f ca="1">INDIRECT("'("&amp;$A$4&amp;")'!ag20")</f>
        <v>0</v>
      </c>
      <c r="AQ20" s="24">
        <f ca="1">INDIRECT("'("&amp;$A$4&amp;")'!aq20")</f>
        <v>7</v>
      </c>
      <c r="AR20" s="46">
        <f t="shared" ca="1" si="48"/>
        <v>0</v>
      </c>
      <c r="AS20" s="46">
        <f t="shared" ca="1" si="49"/>
        <v>0.26923076923076922</v>
      </c>
      <c r="AT20" s="24"/>
      <c r="AU20" s="22">
        <f t="shared" ca="1" si="50"/>
        <v>128</v>
      </c>
      <c r="AV20" s="22">
        <f t="shared" ca="1" si="51"/>
        <v>1</v>
      </c>
      <c r="AW20" s="22">
        <f t="shared" ca="1" si="52"/>
        <v>0</v>
      </c>
      <c r="AX20" s="22">
        <f t="shared" ca="1" si="53"/>
        <v>0</v>
      </c>
      <c r="AY20" s="22">
        <f t="shared" ca="1" si="54"/>
        <v>0</v>
      </c>
      <c r="AZ20" s="22">
        <f t="shared" ca="1" si="55"/>
        <v>42</v>
      </c>
      <c r="BA20" s="46">
        <f t="shared" ca="1" si="56"/>
        <v>7.7519379844961239E-3</v>
      </c>
      <c r="BB20" s="46">
        <f t="shared" ca="1" si="57"/>
        <v>0.24561403508771928</v>
      </c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 s="8" customFormat="1" ht="15" customHeight="1" x14ac:dyDescent="0.35">
      <c r="A21" s="2" t="s">
        <v>28</v>
      </c>
      <c r="B21" s="24">
        <f ca="1">INDIRECT("'("&amp;$A$4&amp;")'!b21")</f>
        <v>11</v>
      </c>
      <c r="C21" s="24">
        <f ca="1">INDIRECT("'("&amp;$A$4&amp;")'!c21")</f>
        <v>0</v>
      </c>
      <c r="D21" s="24">
        <f ca="1">INDIRECT("'("&amp;$A$4&amp;")'!d21")</f>
        <v>0</v>
      </c>
      <c r="E21" s="24">
        <f ca="1">INDIRECT("'("&amp;$A$4&amp;")'!e21")</f>
        <v>0</v>
      </c>
      <c r="F21" s="24">
        <f ca="1">INDIRECT("'("&amp;$A$4&amp;")'!f21")</f>
        <v>0</v>
      </c>
      <c r="G21" s="24">
        <f ca="1">INDIRECT("'("&amp;$A$4&amp;")'!g21")</f>
        <v>10</v>
      </c>
      <c r="H21" s="46">
        <f t="shared" ca="1" si="19"/>
        <v>0</v>
      </c>
      <c r="I21" s="46">
        <f t="shared" ca="1" si="20"/>
        <v>0.47619047619047616</v>
      </c>
      <c r="J21" s="24"/>
      <c r="K21" s="24">
        <f ca="1">INDIRECT("'("&amp;$A$4&amp;")'!k21")</f>
        <v>46</v>
      </c>
      <c r="L21" s="24">
        <f ca="1">INDIRECT("'("&amp;$A$4&amp;")'!l21")</f>
        <v>0</v>
      </c>
      <c r="M21" s="24">
        <f ca="1">INDIRECT("'("&amp;$A$4&amp;")'!m21")</f>
        <v>0</v>
      </c>
      <c r="N21" s="24">
        <f ca="1">INDIRECT("'("&amp;$A$4&amp;")'!n21")</f>
        <v>0</v>
      </c>
      <c r="O21" s="24">
        <f ca="1">INDIRECT("'("&amp;$A$4&amp;")'!o21")</f>
        <v>1</v>
      </c>
      <c r="P21" s="24">
        <f ca="1">INDIRECT("'("&amp;$A$4&amp;")'!p21")</f>
        <v>31</v>
      </c>
      <c r="Q21" s="46">
        <f t="shared" ca="1" si="26"/>
        <v>2.1276595744680851E-2</v>
      </c>
      <c r="R21" s="46">
        <f t="shared" ca="1" si="27"/>
        <v>0.39743589743589741</v>
      </c>
      <c r="S21" s="24"/>
      <c r="T21" s="22">
        <f t="shared" ca="1" si="28"/>
        <v>57</v>
      </c>
      <c r="U21" s="22">
        <f t="shared" ca="1" si="29"/>
        <v>0</v>
      </c>
      <c r="V21" s="22">
        <f t="shared" ca="1" si="30"/>
        <v>0</v>
      </c>
      <c r="W21" s="22">
        <f t="shared" ca="1" si="31"/>
        <v>0</v>
      </c>
      <c r="X21" s="22">
        <f t="shared" ca="1" si="32"/>
        <v>1</v>
      </c>
      <c r="Y21" s="22">
        <f t="shared" ca="1" si="33"/>
        <v>41</v>
      </c>
      <c r="Z21" s="46">
        <f t="shared" ca="1" si="34"/>
        <v>1.7241379310344827E-2</v>
      </c>
      <c r="AA21" s="46">
        <f t="shared" ca="1" si="35"/>
        <v>0.41414141414141414</v>
      </c>
      <c r="AB21" s="24"/>
      <c r="AC21" s="24">
        <f ca="1">INDIRECT("'("&amp;$A$4&amp;")'!ac21")</f>
        <v>0</v>
      </c>
      <c r="AD21" s="24">
        <f ca="1">INDIRECT("'("&amp;$A$4&amp;")'!ad21")</f>
        <v>0</v>
      </c>
      <c r="AE21" s="24">
        <f ca="1">INDIRECT("'("&amp;$A$4&amp;")'!ae21")</f>
        <v>0</v>
      </c>
      <c r="AF21" s="24">
        <f ca="1">INDIRECT("'("&amp;$A$4&amp;")'!af21")</f>
        <v>0</v>
      </c>
      <c r="AG21" s="24">
        <f ca="1">INDIRECT("'("&amp;$A$4&amp;")'!ag21")</f>
        <v>0</v>
      </c>
      <c r="AH21" s="24">
        <f ca="1">INDIRECT("'("&amp;$A$4&amp;")'!ah21")</f>
        <v>4</v>
      </c>
      <c r="AI21" s="46" t="str">
        <f t="shared" ca="1" si="41"/>
        <v>-</v>
      </c>
      <c r="AJ21" s="46">
        <f t="shared" ca="1" si="42"/>
        <v>1</v>
      </c>
      <c r="AK21" s="24"/>
      <c r="AL21" s="24">
        <f ca="1">INDIRECT("'("&amp;$A$4&amp;")'!al21")</f>
        <v>11</v>
      </c>
      <c r="AM21" s="24">
        <f ca="1">INDIRECT("'("&amp;$A$4&amp;")'!am21")</f>
        <v>0</v>
      </c>
      <c r="AN21" s="24">
        <f ca="1">INDIRECT("'("&amp;$A$4&amp;")'!an21")</f>
        <v>0</v>
      </c>
      <c r="AO21" s="24">
        <f ca="1">INDIRECT("'("&amp;$A$4&amp;")'!ao21")</f>
        <v>0</v>
      </c>
      <c r="AP21" s="24">
        <f ca="1">INDIRECT("'("&amp;$A$4&amp;")'!ag21")</f>
        <v>0</v>
      </c>
      <c r="AQ21" s="24">
        <f ca="1">INDIRECT("'("&amp;$A$4&amp;")'!aq21")</f>
        <v>14</v>
      </c>
      <c r="AR21" s="46">
        <f t="shared" ca="1" si="48"/>
        <v>0</v>
      </c>
      <c r="AS21" s="46">
        <f t="shared" ca="1" si="49"/>
        <v>0.56000000000000005</v>
      </c>
      <c r="AT21" s="24"/>
      <c r="AU21" s="22">
        <f t="shared" ca="1" si="50"/>
        <v>68</v>
      </c>
      <c r="AV21" s="22">
        <f t="shared" ca="1" si="51"/>
        <v>0</v>
      </c>
      <c r="AW21" s="22">
        <f t="shared" ca="1" si="52"/>
        <v>0</v>
      </c>
      <c r="AX21" s="22">
        <f t="shared" ca="1" si="53"/>
        <v>0</v>
      </c>
      <c r="AY21" s="22">
        <f t="shared" ca="1" si="54"/>
        <v>1</v>
      </c>
      <c r="AZ21" s="22">
        <f t="shared" ca="1" si="55"/>
        <v>59</v>
      </c>
      <c r="BA21" s="46">
        <f t="shared" ca="1" si="56"/>
        <v>1.4492753623188406E-2</v>
      </c>
      <c r="BB21" s="46">
        <f t="shared" ca="1" si="57"/>
        <v>0.4609375</v>
      </c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 s="8" customFormat="1" ht="15" customHeight="1" x14ac:dyDescent="0.35">
      <c r="A22" s="2" t="s">
        <v>29</v>
      </c>
      <c r="B22" s="24">
        <f ca="1">INDIRECT("'("&amp;$A$4&amp;")'!b22")</f>
        <v>14</v>
      </c>
      <c r="C22" s="24">
        <f ca="1">INDIRECT("'("&amp;$A$4&amp;")'!c22")</f>
        <v>0</v>
      </c>
      <c r="D22" s="24">
        <f ca="1">INDIRECT("'("&amp;$A$4&amp;")'!d22")</f>
        <v>0</v>
      </c>
      <c r="E22" s="24">
        <f ca="1">INDIRECT("'("&amp;$A$4&amp;")'!e22")</f>
        <v>0</v>
      </c>
      <c r="F22" s="24">
        <f ca="1">INDIRECT("'("&amp;$A$4&amp;")'!f22")</f>
        <v>0</v>
      </c>
      <c r="G22" s="24">
        <f ca="1">INDIRECT("'("&amp;$A$4&amp;")'!g22")</f>
        <v>8</v>
      </c>
      <c r="H22" s="46">
        <f t="shared" ca="1" si="19"/>
        <v>0</v>
      </c>
      <c r="I22" s="46">
        <f t="shared" ca="1" si="20"/>
        <v>0.36363636363636365</v>
      </c>
      <c r="J22" s="24"/>
      <c r="K22" s="24">
        <f ca="1">INDIRECT("'("&amp;$A$4&amp;")'!k22")</f>
        <v>7</v>
      </c>
      <c r="L22" s="24">
        <f ca="1">INDIRECT("'("&amp;$A$4&amp;")'!l22")</f>
        <v>0</v>
      </c>
      <c r="M22" s="24">
        <f ca="1">INDIRECT("'("&amp;$A$4&amp;")'!m22")</f>
        <v>0</v>
      </c>
      <c r="N22" s="24">
        <f ca="1">INDIRECT("'("&amp;$A$4&amp;")'!n22")</f>
        <v>0</v>
      </c>
      <c r="O22" s="24">
        <f ca="1">INDIRECT("'("&amp;$A$4&amp;")'!o22")</f>
        <v>0</v>
      </c>
      <c r="P22" s="24">
        <f ca="1">INDIRECT("'("&amp;$A$4&amp;")'!p22")</f>
        <v>20</v>
      </c>
      <c r="Q22" s="46">
        <f t="shared" ca="1" si="26"/>
        <v>0</v>
      </c>
      <c r="R22" s="46">
        <f t="shared" ca="1" si="27"/>
        <v>0.7407407407407407</v>
      </c>
      <c r="S22" s="24"/>
      <c r="T22" s="22">
        <f t="shared" ca="1" si="28"/>
        <v>21</v>
      </c>
      <c r="U22" s="22">
        <f t="shared" ca="1" si="29"/>
        <v>0</v>
      </c>
      <c r="V22" s="22">
        <f t="shared" ca="1" si="30"/>
        <v>0</v>
      </c>
      <c r="W22" s="22">
        <f t="shared" ca="1" si="31"/>
        <v>0</v>
      </c>
      <c r="X22" s="22">
        <f t="shared" ca="1" si="32"/>
        <v>0</v>
      </c>
      <c r="Y22" s="22">
        <f t="shared" ca="1" si="33"/>
        <v>28</v>
      </c>
      <c r="Z22" s="46">
        <f t="shared" ca="1" si="34"/>
        <v>0</v>
      </c>
      <c r="AA22" s="46">
        <f t="shared" ca="1" si="35"/>
        <v>0.5714285714285714</v>
      </c>
      <c r="AB22" s="24"/>
      <c r="AC22" s="24">
        <f ca="1">INDIRECT("'("&amp;$A$4&amp;")'!ac22")</f>
        <v>0</v>
      </c>
      <c r="AD22" s="24">
        <f ca="1">INDIRECT("'("&amp;$A$4&amp;")'!ad22")</f>
        <v>0</v>
      </c>
      <c r="AE22" s="24">
        <f ca="1">INDIRECT("'("&amp;$A$4&amp;")'!ae22")</f>
        <v>0</v>
      </c>
      <c r="AF22" s="24">
        <f ca="1">INDIRECT("'("&amp;$A$4&amp;")'!af22")</f>
        <v>0</v>
      </c>
      <c r="AG22" s="24">
        <f ca="1">INDIRECT("'("&amp;$A$4&amp;")'!ag22")</f>
        <v>0</v>
      </c>
      <c r="AH22" s="24">
        <f ca="1">INDIRECT("'("&amp;$A$4&amp;")'!ah22")</f>
        <v>0</v>
      </c>
      <c r="AI22" s="46" t="str">
        <f t="shared" ca="1" si="41"/>
        <v>-</v>
      </c>
      <c r="AJ22" s="46" t="str">
        <f t="shared" ca="1" si="42"/>
        <v>-</v>
      </c>
      <c r="AK22" s="24"/>
      <c r="AL22" s="24">
        <f ca="1">INDIRECT("'("&amp;$A$4&amp;")'!al22")</f>
        <v>6</v>
      </c>
      <c r="AM22" s="24">
        <f ca="1">INDIRECT("'("&amp;$A$4&amp;")'!am22")</f>
        <v>0</v>
      </c>
      <c r="AN22" s="24">
        <f ca="1">INDIRECT("'("&amp;$A$4&amp;")'!an22")</f>
        <v>0</v>
      </c>
      <c r="AO22" s="24">
        <f ca="1">INDIRECT("'("&amp;$A$4&amp;")'!ao22")</f>
        <v>0</v>
      </c>
      <c r="AP22" s="24">
        <f ca="1">INDIRECT("'("&amp;$A$4&amp;")'!ag22")</f>
        <v>0</v>
      </c>
      <c r="AQ22" s="24">
        <f ca="1">INDIRECT("'("&amp;$A$4&amp;")'!aq22")</f>
        <v>12</v>
      </c>
      <c r="AR22" s="46">
        <f t="shared" ca="1" si="48"/>
        <v>0</v>
      </c>
      <c r="AS22" s="46">
        <f t="shared" ca="1" si="49"/>
        <v>0.66666666666666663</v>
      </c>
      <c r="AT22" s="24"/>
      <c r="AU22" s="22">
        <f t="shared" ca="1" si="50"/>
        <v>27</v>
      </c>
      <c r="AV22" s="22">
        <f t="shared" ca="1" si="51"/>
        <v>0</v>
      </c>
      <c r="AW22" s="22">
        <f t="shared" ca="1" si="52"/>
        <v>0</v>
      </c>
      <c r="AX22" s="22">
        <f t="shared" ca="1" si="53"/>
        <v>0</v>
      </c>
      <c r="AY22" s="22">
        <f t="shared" ca="1" si="54"/>
        <v>0</v>
      </c>
      <c r="AZ22" s="22">
        <f t="shared" ca="1" si="55"/>
        <v>40</v>
      </c>
      <c r="BA22" s="46">
        <f t="shared" ca="1" si="56"/>
        <v>0</v>
      </c>
      <c r="BB22" s="46">
        <f t="shared" ca="1" si="57"/>
        <v>0.59701492537313428</v>
      </c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s="8" customFormat="1" ht="15" customHeight="1" x14ac:dyDescent="0.35">
      <c r="A23" s="2" t="s">
        <v>30</v>
      </c>
      <c r="B23" s="24">
        <f ca="1">INDIRECT("'("&amp;$A$4&amp;")'!b23")</f>
        <v>8</v>
      </c>
      <c r="C23" s="24">
        <f ca="1">INDIRECT("'("&amp;$A$4&amp;")'!c23")</f>
        <v>0</v>
      </c>
      <c r="D23" s="24">
        <f ca="1">INDIRECT("'("&amp;$A$4&amp;")'!d23")</f>
        <v>0</v>
      </c>
      <c r="E23" s="24">
        <f ca="1">INDIRECT("'("&amp;$A$4&amp;")'!e23")</f>
        <v>0</v>
      </c>
      <c r="F23" s="24">
        <f ca="1">INDIRECT("'("&amp;$A$4&amp;")'!f23")</f>
        <v>0</v>
      </c>
      <c r="G23" s="24">
        <f ca="1">INDIRECT("'("&amp;$A$4&amp;")'!g23")</f>
        <v>0</v>
      </c>
      <c r="H23" s="46">
        <f t="shared" ca="1" si="19"/>
        <v>0</v>
      </c>
      <c r="I23" s="46">
        <f t="shared" ca="1" si="20"/>
        <v>0</v>
      </c>
      <c r="J23" s="24"/>
      <c r="K23" s="24">
        <f ca="1">INDIRECT("'("&amp;$A$4&amp;")'!k23")</f>
        <v>19</v>
      </c>
      <c r="L23" s="24">
        <f ca="1">INDIRECT("'("&amp;$A$4&amp;")'!l23")</f>
        <v>0</v>
      </c>
      <c r="M23" s="24">
        <f ca="1">INDIRECT("'("&amp;$A$4&amp;")'!m23")</f>
        <v>0</v>
      </c>
      <c r="N23" s="24">
        <f ca="1">INDIRECT("'("&amp;$A$4&amp;")'!n23")</f>
        <v>0</v>
      </c>
      <c r="O23" s="24">
        <f ca="1">INDIRECT("'("&amp;$A$4&amp;")'!o23")</f>
        <v>0</v>
      </c>
      <c r="P23" s="24">
        <f ca="1">INDIRECT("'("&amp;$A$4&amp;")'!p23")</f>
        <v>3</v>
      </c>
      <c r="Q23" s="46">
        <f t="shared" ca="1" si="26"/>
        <v>0</v>
      </c>
      <c r="R23" s="46">
        <f t="shared" ca="1" si="27"/>
        <v>0.13636363636363635</v>
      </c>
      <c r="S23" s="24"/>
      <c r="T23" s="22">
        <f t="shared" ca="1" si="28"/>
        <v>27</v>
      </c>
      <c r="U23" s="22">
        <f t="shared" ca="1" si="29"/>
        <v>0</v>
      </c>
      <c r="V23" s="22">
        <f t="shared" ca="1" si="30"/>
        <v>0</v>
      </c>
      <c r="W23" s="22">
        <f t="shared" ca="1" si="31"/>
        <v>0</v>
      </c>
      <c r="X23" s="22">
        <f t="shared" ca="1" si="32"/>
        <v>0</v>
      </c>
      <c r="Y23" s="22">
        <f t="shared" ca="1" si="33"/>
        <v>3</v>
      </c>
      <c r="Z23" s="46">
        <f t="shared" ca="1" si="34"/>
        <v>0</v>
      </c>
      <c r="AA23" s="46">
        <f t="shared" ca="1" si="35"/>
        <v>0.1</v>
      </c>
      <c r="AB23" s="24"/>
      <c r="AC23" s="24">
        <f ca="1">INDIRECT("'("&amp;$A$4&amp;")'!ac23")</f>
        <v>3</v>
      </c>
      <c r="AD23" s="24">
        <f ca="1">INDIRECT("'("&amp;$A$4&amp;")'!ad23")</f>
        <v>0</v>
      </c>
      <c r="AE23" s="24">
        <f ca="1">INDIRECT("'("&amp;$A$4&amp;")'!ae23")</f>
        <v>0</v>
      </c>
      <c r="AF23" s="24">
        <f ca="1">INDIRECT("'("&amp;$A$4&amp;")'!af23")</f>
        <v>0</v>
      </c>
      <c r="AG23" s="24">
        <f ca="1">INDIRECT("'("&amp;$A$4&amp;")'!ag23")</f>
        <v>0</v>
      </c>
      <c r="AH23" s="24">
        <f ca="1">INDIRECT("'("&amp;$A$4&amp;")'!ah23")</f>
        <v>1</v>
      </c>
      <c r="AI23" s="46">
        <f t="shared" ca="1" si="41"/>
        <v>0</v>
      </c>
      <c r="AJ23" s="46">
        <f t="shared" ca="1" si="42"/>
        <v>0.25</v>
      </c>
      <c r="AK23" s="24"/>
      <c r="AL23" s="24">
        <f ca="1">INDIRECT("'("&amp;$A$4&amp;")'!al23")</f>
        <v>13</v>
      </c>
      <c r="AM23" s="24">
        <f ca="1">INDIRECT("'("&amp;$A$4&amp;")'!am23")</f>
        <v>0</v>
      </c>
      <c r="AN23" s="24">
        <f ca="1">INDIRECT("'("&amp;$A$4&amp;")'!an23")</f>
        <v>0</v>
      </c>
      <c r="AO23" s="24">
        <f ca="1">INDIRECT("'("&amp;$A$4&amp;")'!ao23")</f>
        <v>0</v>
      </c>
      <c r="AP23" s="24">
        <f ca="1">INDIRECT("'("&amp;$A$4&amp;")'!ag23")</f>
        <v>0</v>
      </c>
      <c r="AQ23" s="24">
        <f ca="1">INDIRECT("'("&amp;$A$4&amp;")'!aq23")</f>
        <v>10</v>
      </c>
      <c r="AR23" s="46">
        <f t="shared" ca="1" si="48"/>
        <v>0</v>
      </c>
      <c r="AS23" s="46">
        <f t="shared" ca="1" si="49"/>
        <v>0.43478260869565216</v>
      </c>
      <c r="AT23" s="24"/>
      <c r="AU23" s="22">
        <f t="shared" ca="1" si="50"/>
        <v>43</v>
      </c>
      <c r="AV23" s="22">
        <f t="shared" ca="1" si="51"/>
        <v>0</v>
      </c>
      <c r="AW23" s="22">
        <f t="shared" ca="1" si="52"/>
        <v>0</v>
      </c>
      <c r="AX23" s="22">
        <f t="shared" ca="1" si="53"/>
        <v>0</v>
      </c>
      <c r="AY23" s="22">
        <f t="shared" ca="1" si="54"/>
        <v>0</v>
      </c>
      <c r="AZ23" s="22">
        <f t="shared" ca="1" si="55"/>
        <v>14</v>
      </c>
      <c r="BA23" s="46">
        <f t="shared" ca="1" si="56"/>
        <v>0</v>
      </c>
      <c r="BB23" s="46">
        <f t="shared" ca="1" si="57"/>
        <v>0.24561403508771928</v>
      </c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s="8" customFormat="1" ht="15" customHeight="1" x14ac:dyDescent="0.35">
      <c r="A24" s="2" t="s">
        <v>31</v>
      </c>
      <c r="B24" s="24">
        <f ca="1">INDIRECT("'("&amp;$A$4&amp;")'!b24")</f>
        <v>18</v>
      </c>
      <c r="C24" s="24">
        <f ca="1">INDIRECT("'("&amp;$A$4&amp;")'!c24")</f>
        <v>0</v>
      </c>
      <c r="D24" s="24">
        <f ca="1">INDIRECT("'("&amp;$A$4&amp;")'!d24")</f>
        <v>0</v>
      </c>
      <c r="E24" s="24">
        <f ca="1">INDIRECT("'("&amp;$A$4&amp;")'!e24")</f>
        <v>0</v>
      </c>
      <c r="F24" s="24">
        <f ca="1">INDIRECT("'("&amp;$A$4&amp;")'!f24")</f>
        <v>0</v>
      </c>
      <c r="G24" s="24">
        <f ca="1">INDIRECT("'("&amp;$A$4&amp;")'!g24")</f>
        <v>4</v>
      </c>
      <c r="H24" s="46">
        <f t="shared" ca="1" si="19"/>
        <v>0</v>
      </c>
      <c r="I24" s="46">
        <f t="shared" ca="1" si="20"/>
        <v>0.18181818181818182</v>
      </c>
      <c r="J24" s="24"/>
      <c r="K24" s="24">
        <f ca="1">INDIRECT("'("&amp;$A$4&amp;")'!k24")</f>
        <v>23</v>
      </c>
      <c r="L24" s="24">
        <f ca="1">INDIRECT("'("&amp;$A$4&amp;")'!l24")</f>
        <v>1</v>
      </c>
      <c r="M24" s="24">
        <f ca="1">INDIRECT("'("&amp;$A$4&amp;")'!m24")</f>
        <v>0</v>
      </c>
      <c r="N24" s="24">
        <f ca="1">INDIRECT("'("&amp;$A$4&amp;")'!n24")</f>
        <v>0</v>
      </c>
      <c r="O24" s="24">
        <f ca="1">INDIRECT("'("&amp;$A$4&amp;")'!o24")</f>
        <v>1</v>
      </c>
      <c r="P24" s="24">
        <f ca="1">INDIRECT("'("&amp;$A$4&amp;")'!p24")</f>
        <v>63</v>
      </c>
      <c r="Q24" s="46">
        <f t="shared" ca="1" si="26"/>
        <v>0.08</v>
      </c>
      <c r="R24" s="46">
        <f t="shared" ca="1" si="27"/>
        <v>0.71590909090909094</v>
      </c>
      <c r="S24" s="24"/>
      <c r="T24" s="22">
        <f t="shared" ca="1" si="28"/>
        <v>41</v>
      </c>
      <c r="U24" s="22">
        <f t="shared" ca="1" si="29"/>
        <v>1</v>
      </c>
      <c r="V24" s="22">
        <f t="shared" ca="1" si="30"/>
        <v>0</v>
      </c>
      <c r="W24" s="22">
        <f t="shared" ca="1" si="31"/>
        <v>0</v>
      </c>
      <c r="X24" s="22">
        <f t="shared" ca="1" si="32"/>
        <v>1</v>
      </c>
      <c r="Y24" s="22">
        <f t="shared" ca="1" si="33"/>
        <v>67</v>
      </c>
      <c r="Z24" s="46">
        <f t="shared" ca="1" si="34"/>
        <v>4.6511627906976744E-2</v>
      </c>
      <c r="AA24" s="46">
        <f t="shared" ca="1" si="35"/>
        <v>0.60909090909090913</v>
      </c>
      <c r="AB24" s="24"/>
      <c r="AC24" s="24">
        <f ca="1">INDIRECT("'("&amp;$A$4&amp;")'!ac24")</f>
        <v>0</v>
      </c>
      <c r="AD24" s="24">
        <f ca="1">INDIRECT("'("&amp;$A$4&amp;")'!ad24")</f>
        <v>0</v>
      </c>
      <c r="AE24" s="24">
        <f ca="1">INDIRECT("'("&amp;$A$4&amp;")'!ae24")</f>
        <v>0</v>
      </c>
      <c r="AF24" s="24">
        <f ca="1">INDIRECT("'("&amp;$A$4&amp;")'!af24")</f>
        <v>0</v>
      </c>
      <c r="AG24" s="24">
        <f ca="1">INDIRECT("'("&amp;$A$4&amp;")'!ag24")</f>
        <v>0</v>
      </c>
      <c r="AH24" s="24">
        <f ca="1">INDIRECT("'("&amp;$A$4&amp;")'!ah24")</f>
        <v>3</v>
      </c>
      <c r="AI24" s="46" t="str">
        <f t="shared" ca="1" si="41"/>
        <v>-</v>
      </c>
      <c r="AJ24" s="46">
        <f t="shared" ca="1" si="42"/>
        <v>1</v>
      </c>
      <c r="AK24" s="24"/>
      <c r="AL24" s="24">
        <f ca="1">INDIRECT("'("&amp;$A$4&amp;")'!al24")</f>
        <v>19</v>
      </c>
      <c r="AM24" s="24">
        <f ca="1">INDIRECT("'("&amp;$A$4&amp;")'!am24")</f>
        <v>0</v>
      </c>
      <c r="AN24" s="24">
        <f ca="1">INDIRECT("'("&amp;$A$4&amp;")'!an24")</f>
        <v>0</v>
      </c>
      <c r="AO24" s="24">
        <f ca="1">INDIRECT("'("&amp;$A$4&amp;")'!ao24")</f>
        <v>0</v>
      </c>
      <c r="AP24" s="24">
        <f ca="1">INDIRECT("'("&amp;$A$4&amp;")'!ag24")</f>
        <v>0</v>
      </c>
      <c r="AQ24" s="24">
        <f ca="1">INDIRECT("'("&amp;$A$4&amp;")'!aq24")</f>
        <v>41</v>
      </c>
      <c r="AR24" s="46">
        <f t="shared" ca="1" si="48"/>
        <v>0</v>
      </c>
      <c r="AS24" s="46">
        <f t="shared" ca="1" si="49"/>
        <v>0.68333333333333335</v>
      </c>
      <c r="AT24" s="24"/>
      <c r="AU24" s="22">
        <f t="shared" ca="1" si="50"/>
        <v>60</v>
      </c>
      <c r="AV24" s="22">
        <f t="shared" ca="1" si="51"/>
        <v>1</v>
      </c>
      <c r="AW24" s="22">
        <f t="shared" ca="1" si="52"/>
        <v>0</v>
      </c>
      <c r="AX24" s="22">
        <f t="shared" ca="1" si="53"/>
        <v>0</v>
      </c>
      <c r="AY24" s="22">
        <f t="shared" ca="1" si="54"/>
        <v>1</v>
      </c>
      <c r="AZ24" s="22">
        <f t="shared" ca="1" si="55"/>
        <v>111</v>
      </c>
      <c r="BA24" s="46">
        <f t="shared" ca="1" si="56"/>
        <v>3.2258064516129031E-2</v>
      </c>
      <c r="BB24" s="46">
        <f t="shared" ca="1" si="57"/>
        <v>0.64161849710982655</v>
      </c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s="8" customFormat="1" ht="15" customHeight="1" x14ac:dyDescent="0.35">
      <c r="A25" s="2" t="s">
        <v>32</v>
      </c>
      <c r="B25" s="24">
        <f ca="1">INDIRECT("'("&amp;$A$4&amp;")'!b25")</f>
        <v>20</v>
      </c>
      <c r="C25" s="24">
        <f ca="1">INDIRECT("'("&amp;$A$4&amp;")'!c25")</f>
        <v>1</v>
      </c>
      <c r="D25" s="24">
        <f ca="1">INDIRECT("'("&amp;$A$4&amp;")'!d25")</f>
        <v>1</v>
      </c>
      <c r="E25" s="24">
        <f ca="1">INDIRECT("'("&amp;$A$4&amp;")'!e25")</f>
        <v>0</v>
      </c>
      <c r="F25" s="24">
        <f ca="1">INDIRECT("'("&amp;$A$4&amp;")'!f25")</f>
        <v>0</v>
      </c>
      <c r="G25" s="24">
        <f ca="1">INDIRECT("'("&amp;$A$4&amp;")'!g25")</f>
        <v>13</v>
      </c>
      <c r="H25" s="46">
        <f t="shared" ca="1" si="19"/>
        <v>9.0909090909090912E-2</v>
      </c>
      <c r="I25" s="46">
        <f t="shared" ca="1" si="20"/>
        <v>0.37142857142857144</v>
      </c>
      <c r="J25" s="24"/>
      <c r="K25" s="24">
        <f ca="1">INDIRECT("'("&amp;$A$4&amp;")'!k25")</f>
        <v>37</v>
      </c>
      <c r="L25" s="24">
        <f ca="1">INDIRECT("'("&amp;$A$4&amp;")'!l25")</f>
        <v>0</v>
      </c>
      <c r="M25" s="24">
        <f ca="1">INDIRECT("'("&amp;$A$4&amp;")'!m25")</f>
        <v>0</v>
      </c>
      <c r="N25" s="24">
        <f ca="1">INDIRECT("'("&amp;$A$4&amp;")'!n25")</f>
        <v>0</v>
      </c>
      <c r="O25" s="24">
        <f ca="1">INDIRECT("'("&amp;$A$4&amp;")'!o25")</f>
        <v>0</v>
      </c>
      <c r="P25" s="24">
        <f ca="1">INDIRECT("'("&amp;$A$4&amp;")'!p25")</f>
        <v>1</v>
      </c>
      <c r="Q25" s="46">
        <f t="shared" ca="1" si="26"/>
        <v>0</v>
      </c>
      <c r="R25" s="46">
        <f t="shared" ca="1" si="27"/>
        <v>2.6315789473684209E-2</v>
      </c>
      <c r="S25" s="24"/>
      <c r="T25" s="22">
        <f t="shared" ca="1" si="28"/>
        <v>57</v>
      </c>
      <c r="U25" s="22">
        <f t="shared" ca="1" si="29"/>
        <v>1</v>
      </c>
      <c r="V25" s="22">
        <f t="shared" ca="1" si="30"/>
        <v>1</v>
      </c>
      <c r="W25" s="22">
        <f t="shared" ca="1" si="31"/>
        <v>0</v>
      </c>
      <c r="X25" s="22">
        <f t="shared" ca="1" si="32"/>
        <v>0</v>
      </c>
      <c r="Y25" s="22">
        <f t="shared" ca="1" si="33"/>
        <v>14</v>
      </c>
      <c r="Z25" s="46">
        <f t="shared" ca="1" si="34"/>
        <v>3.3898305084745763E-2</v>
      </c>
      <c r="AA25" s="46">
        <f t="shared" ca="1" si="35"/>
        <v>0.19178082191780821</v>
      </c>
      <c r="AB25" s="24"/>
      <c r="AC25" s="24">
        <f ca="1">INDIRECT("'("&amp;$A$4&amp;")'!ac25")</f>
        <v>5</v>
      </c>
      <c r="AD25" s="24">
        <f ca="1">INDIRECT("'("&amp;$A$4&amp;")'!ad25")</f>
        <v>0</v>
      </c>
      <c r="AE25" s="24">
        <f ca="1">INDIRECT("'("&amp;$A$4&amp;")'!ae25")</f>
        <v>0</v>
      </c>
      <c r="AF25" s="24">
        <f ca="1">INDIRECT("'("&amp;$A$4&amp;")'!af25")</f>
        <v>0</v>
      </c>
      <c r="AG25" s="24">
        <f ca="1">INDIRECT("'("&amp;$A$4&amp;")'!ag25")</f>
        <v>0</v>
      </c>
      <c r="AH25" s="24">
        <f ca="1">INDIRECT("'("&amp;$A$4&amp;")'!ah25")</f>
        <v>1</v>
      </c>
      <c r="AI25" s="46">
        <f t="shared" ca="1" si="41"/>
        <v>0</v>
      </c>
      <c r="AJ25" s="46">
        <f t="shared" ca="1" si="42"/>
        <v>0.16666666666666666</v>
      </c>
      <c r="AK25" s="24"/>
      <c r="AL25" s="24">
        <f ca="1">INDIRECT("'("&amp;$A$4&amp;")'!al25")</f>
        <v>6</v>
      </c>
      <c r="AM25" s="24">
        <f ca="1">INDIRECT("'("&amp;$A$4&amp;")'!am25")</f>
        <v>0</v>
      </c>
      <c r="AN25" s="24">
        <f ca="1">INDIRECT("'("&amp;$A$4&amp;")'!an25")</f>
        <v>0</v>
      </c>
      <c r="AO25" s="24">
        <f ca="1">INDIRECT("'("&amp;$A$4&amp;")'!ao25")</f>
        <v>0</v>
      </c>
      <c r="AP25" s="24">
        <f ca="1">INDIRECT("'("&amp;$A$4&amp;")'!ag25")</f>
        <v>0</v>
      </c>
      <c r="AQ25" s="24">
        <f ca="1">INDIRECT("'("&amp;$A$4&amp;")'!aq25")</f>
        <v>3</v>
      </c>
      <c r="AR25" s="46">
        <f t="shared" ca="1" si="48"/>
        <v>0</v>
      </c>
      <c r="AS25" s="46">
        <f t="shared" ca="1" si="49"/>
        <v>0.33333333333333331</v>
      </c>
      <c r="AT25" s="24"/>
      <c r="AU25" s="22">
        <f t="shared" ca="1" si="50"/>
        <v>68</v>
      </c>
      <c r="AV25" s="22">
        <f t="shared" ca="1" si="51"/>
        <v>1</v>
      </c>
      <c r="AW25" s="22">
        <f t="shared" ca="1" si="52"/>
        <v>1</v>
      </c>
      <c r="AX25" s="22">
        <f t="shared" ca="1" si="53"/>
        <v>0</v>
      </c>
      <c r="AY25" s="22">
        <f t="shared" ca="1" si="54"/>
        <v>0</v>
      </c>
      <c r="AZ25" s="22">
        <f t="shared" ca="1" si="55"/>
        <v>18</v>
      </c>
      <c r="BA25" s="46">
        <f t="shared" ca="1" si="56"/>
        <v>2.8571428571428571E-2</v>
      </c>
      <c r="BB25" s="46">
        <f t="shared" ca="1" si="57"/>
        <v>0.20454545454545456</v>
      </c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s="8" customFormat="1" ht="15" customHeight="1" x14ac:dyDescent="0.35">
      <c r="A26" s="2" t="s">
        <v>33</v>
      </c>
      <c r="B26" s="24">
        <f ca="1">INDIRECT("'("&amp;$A$4&amp;")'!b26")</f>
        <v>43</v>
      </c>
      <c r="C26" s="24">
        <f ca="1">INDIRECT("'("&amp;$A$4&amp;")'!c26")</f>
        <v>0</v>
      </c>
      <c r="D26" s="24">
        <f ca="1">INDIRECT("'("&amp;$A$4&amp;")'!d26")</f>
        <v>0</v>
      </c>
      <c r="E26" s="24">
        <f ca="1">INDIRECT("'("&amp;$A$4&amp;")'!e26")</f>
        <v>0</v>
      </c>
      <c r="F26" s="24">
        <f ca="1">INDIRECT("'("&amp;$A$4&amp;")'!f26")</f>
        <v>0</v>
      </c>
      <c r="G26" s="24">
        <f ca="1">INDIRECT("'("&amp;$A$4&amp;")'!g26")</f>
        <v>13</v>
      </c>
      <c r="H26" s="46">
        <f t="shared" ca="1" si="19"/>
        <v>0</v>
      </c>
      <c r="I26" s="46">
        <f t="shared" ca="1" si="20"/>
        <v>0.23214285714285715</v>
      </c>
      <c r="J26" s="24"/>
      <c r="K26" s="24">
        <f ca="1">INDIRECT("'("&amp;$A$4&amp;")'!k26")</f>
        <v>90</v>
      </c>
      <c r="L26" s="24">
        <f ca="1">INDIRECT("'("&amp;$A$4&amp;")'!l26")</f>
        <v>1</v>
      </c>
      <c r="M26" s="24">
        <f ca="1">INDIRECT("'("&amp;$A$4&amp;")'!m26")</f>
        <v>0</v>
      </c>
      <c r="N26" s="24">
        <f ca="1">INDIRECT("'("&amp;$A$4&amp;")'!n26")</f>
        <v>0</v>
      </c>
      <c r="O26" s="24">
        <f ca="1">INDIRECT("'("&amp;$A$4&amp;")'!o26")</f>
        <v>0</v>
      </c>
      <c r="P26" s="24">
        <f ca="1">INDIRECT("'("&amp;$A$4&amp;")'!p26")</f>
        <v>8</v>
      </c>
      <c r="Q26" s="46">
        <f t="shared" ca="1" si="26"/>
        <v>1.098901098901099E-2</v>
      </c>
      <c r="R26" s="46">
        <f t="shared" ca="1" si="27"/>
        <v>8.0808080808080815E-2</v>
      </c>
      <c r="S26" s="24"/>
      <c r="T26" s="22">
        <f t="shared" ca="1" si="28"/>
        <v>133</v>
      </c>
      <c r="U26" s="22">
        <f t="shared" ca="1" si="29"/>
        <v>1</v>
      </c>
      <c r="V26" s="22">
        <f t="shared" ca="1" si="30"/>
        <v>0</v>
      </c>
      <c r="W26" s="22">
        <f t="shared" ca="1" si="31"/>
        <v>0</v>
      </c>
      <c r="X26" s="22">
        <f t="shared" ca="1" si="32"/>
        <v>0</v>
      </c>
      <c r="Y26" s="22">
        <f t="shared" ca="1" si="33"/>
        <v>21</v>
      </c>
      <c r="Z26" s="46">
        <f t="shared" ca="1" si="34"/>
        <v>7.462686567164179E-3</v>
      </c>
      <c r="AA26" s="46">
        <f t="shared" ca="1" si="35"/>
        <v>0.13548387096774195</v>
      </c>
      <c r="AB26" s="24"/>
      <c r="AC26" s="24">
        <f ca="1">INDIRECT("'("&amp;$A$4&amp;")'!ac26")</f>
        <v>2</v>
      </c>
      <c r="AD26" s="24">
        <f ca="1">INDIRECT("'("&amp;$A$4&amp;")'!ad26")</f>
        <v>0</v>
      </c>
      <c r="AE26" s="24">
        <f ca="1">INDIRECT("'("&amp;$A$4&amp;")'!ae26")</f>
        <v>0</v>
      </c>
      <c r="AF26" s="24">
        <f ca="1">INDIRECT("'("&amp;$A$4&amp;")'!af26")</f>
        <v>0</v>
      </c>
      <c r="AG26" s="24">
        <f ca="1">INDIRECT("'("&amp;$A$4&amp;")'!ag26")</f>
        <v>0</v>
      </c>
      <c r="AH26" s="24">
        <f ca="1">INDIRECT("'("&amp;$A$4&amp;")'!ah26")</f>
        <v>0</v>
      </c>
      <c r="AI26" s="46">
        <f t="shared" ca="1" si="41"/>
        <v>0</v>
      </c>
      <c r="AJ26" s="46">
        <f t="shared" ca="1" si="42"/>
        <v>0</v>
      </c>
      <c r="AK26" s="24"/>
      <c r="AL26" s="24">
        <f ca="1">INDIRECT("'("&amp;$A$4&amp;")'!al26")</f>
        <v>46</v>
      </c>
      <c r="AM26" s="24">
        <f ca="1">INDIRECT("'("&amp;$A$4&amp;")'!am26")</f>
        <v>1</v>
      </c>
      <c r="AN26" s="24">
        <f ca="1">INDIRECT("'("&amp;$A$4&amp;")'!an26")</f>
        <v>1</v>
      </c>
      <c r="AO26" s="24">
        <f ca="1">INDIRECT("'("&amp;$A$4&amp;")'!ao26")</f>
        <v>1</v>
      </c>
      <c r="AP26" s="24">
        <f ca="1">INDIRECT("'("&amp;$A$4&amp;")'!ag26")</f>
        <v>0</v>
      </c>
      <c r="AQ26" s="24">
        <f ca="1">INDIRECT("'("&amp;$A$4&amp;")'!aq26")</f>
        <v>3</v>
      </c>
      <c r="AR26" s="46">
        <f t="shared" ca="1" si="48"/>
        <v>6.1224489795918366E-2</v>
      </c>
      <c r="AS26" s="46">
        <f t="shared" ca="1" si="49"/>
        <v>5.7692307692307696E-2</v>
      </c>
      <c r="AT26" s="24"/>
      <c r="AU26" s="22">
        <f t="shared" ca="1" si="50"/>
        <v>181</v>
      </c>
      <c r="AV26" s="22">
        <f t="shared" ca="1" si="51"/>
        <v>2</v>
      </c>
      <c r="AW26" s="22">
        <f t="shared" ca="1" si="52"/>
        <v>1</v>
      </c>
      <c r="AX26" s="22">
        <f t="shared" ca="1" si="53"/>
        <v>1</v>
      </c>
      <c r="AY26" s="22">
        <f t="shared" ca="1" si="54"/>
        <v>0</v>
      </c>
      <c r="AZ26" s="22">
        <f t="shared" ca="1" si="55"/>
        <v>24</v>
      </c>
      <c r="BA26" s="46">
        <f t="shared" ca="1" si="56"/>
        <v>2.1621621621621623E-2</v>
      </c>
      <c r="BB26" s="46">
        <f t="shared" ca="1" si="57"/>
        <v>0.11483253588516747</v>
      </c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s="8" customFormat="1" ht="15" customHeight="1" x14ac:dyDescent="0.35">
      <c r="A27" s="2" t="s">
        <v>34</v>
      </c>
      <c r="B27" s="24">
        <f ca="1">INDIRECT("'("&amp;$A$4&amp;")'!b27")</f>
        <v>21</v>
      </c>
      <c r="C27" s="24">
        <f ca="1">INDIRECT("'("&amp;$A$4&amp;")'!c27")</f>
        <v>0</v>
      </c>
      <c r="D27" s="24">
        <f ca="1">INDIRECT("'("&amp;$A$4&amp;")'!d27")</f>
        <v>0</v>
      </c>
      <c r="E27" s="24">
        <f ca="1">INDIRECT("'("&amp;$A$4&amp;")'!e27")</f>
        <v>0</v>
      </c>
      <c r="F27" s="24">
        <f ca="1">INDIRECT("'("&amp;$A$4&amp;")'!f27")</f>
        <v>0</v>
      </c>
      <c r="G27" s="24">
        <f ca="1">INDIRECT("'("&amp;$A$4&amp;")'!g27")</f>
        <v>0</v>
      </c>
      <c r="H27" s="46">
        <f t="shared" ca="1" si="19"/>
        <v>0</v>
      </c>
      <c r="I27" s="46">
        <f t="shared" ca="1" si="20"/>
        <v>0</v>
      </c>
      <c r="J27" s="24"/>
      <c r="K27" s="24">
        <f ca="1">INDIRECT("'("&amp;$A$4&amp;")'!k27")</f>
        <v>34</v>
      </c>
      <c r="L27" s="24">
        <f ca="1">INDIRECT("'("&amp;$A$4&amp;")'!l27")</f>
        <v>1</v>
      </c>
      <c r="M27" s="24">
        <f ca="1">INDIRECT("'("&amp;$A$4&amp;")'!m27")</f>
        <v>0</v>
      </c>
      <c r="N27" s="24">
        <f ca="1">INDIRECT("'("&amp;$A$4&amp;")'!n27")</f>
        <v>0</v>
      </c>
      <c r="O27" s="24">
        <f ca="1">INDIRECT("'("&amp;$A$4&amp;")'!o27")</f>
        <v>0</v>
      </c>
      <c r="P27" s="24">
        <f ca="1">INDIRECT("'("&amp;$A$4&amp;")'!p27")</f>
        <v>2</v>
      </c>
      <c r="Q27" s="46">
        <f t="shared" ca="1" si="26"/>
        <v>2.8571428571428571E-2</v>
      </c>
      <c r="R27" s="46">
        <f t="shared" ca="1" si="27"/>
        <v>5.4054054054054057E-2</v>
      </c>
      <c r="S27" s="24"/>
      <c r="T27" s="22">
        <f t="shared" ca="1" si="28"/>
        <v>55</v>
      </c>
      <c r="U27" s="22">
        <f t="shared" ca="1" si="29"/>
        <v>1</v>
      </c>
      <c r="V27" s="22">
        <f t="shared" ca="1" si="30"/>
        <v>0</v>
      </c>
      <c r="W27" s="22">
        <f t="shared" ca="1" si="31"/>
        <v>0</v>
      </c>
      <c r="X27" s="22">
        <f t="shared" ca="1" si="32"/>
        <v>0</v>
      </c>
      <c r="Y27" s="22">
        <f t="shared" ca="1" si="33"/>
        <v>2</v>
      </c>
      <c r="Z27" s="46">
        <f t="shared" ca="1" si="34"/>
        <v>1.7857142857142856E-2</v>
      </c>
      <c r="AA27" s="46">
        <f t="shared" ca="1" si="35"/>
        <v>3.4482758620689655E-2</v>
      </c>
      <c r="AB27" s="24"/>
      <c r="AC27" s="24">
        <f ca="1">INDIRECT("'("&amp;$A$4&amp;")'!ac27")</f>
        <v>2</v>
      </c>
      <c r="AD27" s="24">
        <f ca="1">INDIRECT("'("&amp;$A$4&amp;")'!ad27")</f>
        <v>0</v>
      </c>
      <c r="AE27" s="24">
        <f ca="1">INDIRECT("'("&amp;$A$4&amp;")'!ae27")</f>
        <v>0</v>
      </c>
      <c r="AF27" s="24">
        <f ca="1">INDIRECT("'("&amp;$A$4&amp;")'!af27")</f>
        <v>0</v>
      </c>
      <c r="AG27" s="24">
        <f ca="1">INDIRECT("'("&amp;$A$4&amp;")'!ag27")</f>
        <v>0</v>
      </c>
      <c r="AH27" s="24">
        <f ca="1">INDIRECT("'("&amp;$A$4&amp;")'!ah27")</f>
        <v>0</v>
      </c>
      <c r="AI27" s="46">
        <f t="shared" ca="1" si="41"/>
        <v>0</v>
      </c>
      <c r="AJ27" s="46">
        <f t="shared" ca="1" si="42"/>
        <v>0</v>
      </c>
      <c r="AK27" s="24"/>
      <c r="AL27" s="24">
        <f ca="1">INDIRECT("'("&amp;$A$4&amp;")'!al27")</f>
        <v>12</v>
      </c>
      <c r="AM27" s="24">
        <f ca="1">INDIRECT("'("&amp;$A$4&amp;")'!am27")</f>
        <v>0</v>
      </c>
      <c r="AN27" s="24">
        <f ca="1">INDIRECT("'("&amp;$A$4&amp;")'!an27")</f>
        <v>0</v>
      </c>
      <c r="AO27" s="24">
        <f ca="1">INDIRECT("'("&amp;$A$4&amp;")'!ao27")</f>
        <v>0</v>
      </c>
      <c r="AP27" s="24">
        <f ca="1">INDIRECT("'("&amp;$A$4&amp;")'!ag27")</f>
        <v>0</v>
      </c>
      <c r="AQ27" s="24">
        <f ca="1">INDIRECT("'("&amp;$A$4&amp;")'!aq27")</f>
        <v>2</v>
      </c>
      <c r="AR27" s="46">
        <f t="shared" ca="1" si="48"/>
        <v>0</v>
      </c>
      <c r="AS27" s="46">
        <f t="shared" ca="1" si="49"/>
        <v>0.14285714285714285</v>
      </c>
      <c r="AT27" s="24"/>
      <c r="AU27" s="22">
        <f t="shared" ca="1" si="50"/>
        <v>69</v>
      </c>
      <c r="AV27" s="22">
        <f t="shared" ca="1" si="51"/>
        <v>1</v>
      </c>
      <c r="AW27" s="22">
        <f t="shared" ca="1" si="52"/>
        <v>0</v>
      </c>
      <c r="AX27" s="22">
        <f t="shared" ca="1" si="53"/>
        <v>0</v>
      </c>
      <c r="AY27" s="22">
        <f t="shared" ca="1" si="54"/>
        <v>0</v>
      </c>
      <c r="AZ27" s="22">
        <f t="shared" ca="1" si="55"/>
        <v>4</v>
      </c>
      <c r="BA27" s="46">
        <f t="shared" ca="1" si="56"/>
        <v>1.4285714285714285E-2</v>
      </c>
      <c r="BB27" s="46">
        <f t="shared" ca="1" si="57"/>
        <v>5.4054054054054057E-2</v>
      </c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s="8" customFormat="1" ht="15" customHeight="1" x14ac:dyDescent="0.35">
      <c r="A28" s="2" t="s">
        <v>35</v>
      </c>
      <c r="B28" s="24">
        <f ca="1">INDIRECT("'("&amp;$A$4&amp;")'!b28")</f>
        <v>34</v>
      </c>
      <c r="C28" s="24">
        <f ca="1">INDIRECT("'("&amp;$A$4&amp;")'!c28")</f>
        <v>2</v>
      </c>
      <c r="D28" s="24">
        <f ca="1">INDIRECT("'("&amp;$A$4&amp;")'!d28")</f>
        <v>0</v>
      </c>
      <c r="E28" s="24">
        <f ca="1">INDIRECT("'("&amp;$A$4&amp;")'!e28")</f>
        <v>0</v>
      </c>
      <c r="F28" s="24">
        <f ca="1">INDIRECT("'("&amp;$A$4&amp;")'!f28")</f>
        <v>0</v>
      </c>
      <c r="G28" s="24">
        <f ca="1">INDIRECT("'("&amp;$A$4&amp;")'!g28")</f>
        <v>1</v>
      </c>
      <c r="H28" s="46">
        <f t="shared" ca="1" si="19"/>
        <v>5.5555555555555552E-2</v>
      </c>
      <c r="I28" s="46">
        <f t="shared" ca="1" si="20"/>
        <v>2.7027027027027029E-2</v>
      </c>
      <c r="J28" s="24"/>
      <c r="K28" s="24">
        <f ca="1">INDIRECT("'("&amp;$A$4&amp;")'!k28")</f>
        <v>35</v>
      </c>
      <c r="L28" s="24">
        <f ca="1">INDIRECT("'("&amp;$A$4&amp;")'!l28")</f>
        <v>0</v>
      </c>
      <c r="M28" s="24">
        <f ca="1">INDIRECT("'("&amp;$A$4&amp;")'!m28")</f>
        <v>0</v>
      </c>
      <c r="N28" s="24">
        <f ca="1">INDIRECT("'("&amp;$A$4&amp;")'!n28")</f>
        <v>0</v>
      </c>
      <c r="O28" s="24">
        <f ca="1">INDIRECT("'("&amp;$A$4&amp;")'!o28")</f>
        <v>0</v>
      </c>
      <c r="P28" s="24">
        <f ca="1">INDIRECT("'("&amp;$A$4&amp;")'!p28")</f>
        <v>0</v>
      </c>
      <c r="Q28" s="46">
        <f t="shared" ca="1" si="26"/>
        <v>0</v>
      </c>
      <c r="R28" s="46">
        <f t="shared" ca="1" si="27"/>
        <v>0</v>
      </c>
      <c r="S28" s="24"/>
      <c r="T28" s="22">
        <f t="shared" ca="1" si="28"/>
        <v>69</v>
      </c>
      <c r="U28" s="22">
        <f t="shared" ca="1" si="29"/>
        <v>2</v>
      </c>
      <c r="V28" s="22">
        <f t="shared" ca="1" si="30"/>
        <v>0</v>
      </c>
      <c r="W28" s="22">
        <f t="shared" ca="1" si="31"/>
        <v>0</v>
      </c>
      <c r="X28" s="22">
        <f t="shared" ca="1" si="32"/>
        <v>0</v>
      </c>
      <c r="Y28" s="22">
        <f t="shared" ca="1" si="33"/>
        <v>1</v>
      </c>
      <c r="Z28" s="46">
        <f t="shared" ca="1" si="34"/>
        <v>2.8169014084507043E-2</v>
      </c>
      <c r="AA28" s="46">
        <f t="shared" ca="1" si="35"/>
        <v>1.3888888888888888E-2</v>
      </c>
      <c r="AB28" s="24"/>
      <c r="AC28" s="24">
        <f ca="1">INDIRECT("'("&amp;$A$4&amp;")'!ac28")</f>
        <v>0</v>
      </c>
      <c r="AD28" s="24">
        <f ca="1">INDIRECT("'("&amp;$A$4&amp;")'!ad28")</f>
        <v>0</v>
      </c>
      <c r="AE28" s="24">
        <f ca="1">INDIRECT("'("&amp;$A$4&amp;")'!ae28")</f>
        <v>0</v>
      </c>
      <c r="AF28" s="24">
        <f ca="1">INDIRECT("'("&amp;$A$4&amp;")'!af28")</f>
        <v>0</v>
      </c>
      <c r="AG28" s="24">
        <f ca="1">INDIRECT("'("&amp;$A$4&amp;")'!ag28")</f>
        <v>0</v>
      </c>
      <c r="AH28" s="24">
        <f ca="1">INDIRECT("'("&amp;$A$4&amp;")'!ah28")</f>
        <v>0</v>
      </c>
      <c r="AI28" s="46" t="str">
        <f t="shared" ca="1" si="41"/>
        <v>-</v>
      </c>
      <c r="AJ28" s="46" t="str">
        <f t="shared" ca="1" si="42"/>
        <v>-</v>
      </c>
      <c r="AK28" s="24"/>
      <c r="AL28" s="24">
        <f ca="1">INDIRECT("'("&amp;$A$4&amp;")'!al28")</f>
        <v>16</v>
      </c>
      <c r="AM28" s="24">
        <f ca="1">INDIRECT("'("&amp;$A$4&amp;")'!am28")</f>
        <v>2</v>
      </c>
      <c r="AN28" s="24">
        <f ca="1">INDIRECT("'("&amp;$A$4&amp;")'!an28")</f>
        <v>0</v>
      </c>
      <c r="AO28" s="24">
        <f ca="1">INDIRECT("'("&amp;$A$4&amp;")'!ao28")</f>
        <v>1</v>
      </c>
      <c r="AP28" s="24">
        <f ca="1">INDIRECT("'("&amp;$A$4&amp;")'!ag28")</f>
        <v>0</v>
      </c>
      <c r="AQ28" s="24">
        <f ca="1">INDIRECT("'("&amp;$A$4&amp;")'!aq28")</f>
        <v>0</v>
      </c>
      <c r="AR28" s="46">
        <f t="shared" ca="1" si="48"/>
        <v>0.15789473684210525</v>
      </c>
      <c r="AS28" s="46">
        <f t="shared" ca="1" si="49"/>
        <v>0</v>
      </c>
      <c r="AT28" s="24"/>
      <c r="AU28" s="22">
        <f t="shared" ca="1" si="50"/>
        <v>85</v>
      </c>
      <c r="AV28" s="22">
        <f t="shared" ca="1" si="51"/>
        <v>4</v>
      </c>
      <c r="AW28" s="22">
        <f t="shared" ca="1" si="52"/>
        <v>0</v>
      </c>
      <c r="AX28" s="22">
        <f t="shared" ca="1" si="53"/>
        <v>1</v>
      </c>
      <c r="AY28" s="22">
        <f t="shared" ca="1" si="54"/>
        <v>0</v>
      </c>
      <c r="AZ28" s="22">
        <f t="shared" ca="1" si="55"/>
        <v>1</v>
      </c>
      <c r="BA28" s="46">
        <f t="shared" ca="1" si="56"/>
        <v>5.5555555555555552E-2</v>
      </c>
      <c r="BB28" s="46">
        <f t="shared" ca="1" si="57"/>
        <v>1.098901098901099E-2</v>
      </c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s="8" customFormat="1" ht="15" customHeight="1" x14ac:dyDescent="0.35">
      <c r="A29" s="2" t="s">
        <v>36</v>
      </c>
      <c r="B29" s="24">
        <f ca="1">INDIRECT("'("&amp;$A$4&amp;")'!b29")</f>
        <v>22</v>
      </c>
      <c r="C29" s="24">
        <f ca="1">INDIRECT("'("&amp;$A$4&amp;")'!c29")</f>
        <v>0</v>
      </c>
      <c r="D29" s="24">
        <f ca="1">INDIRECT("'("&amp;$A$4&amp;")'!d29")</f>
        <v>0</v>
      </c>
      <c r="E29" s="24">
        <f ca="1">INDIRECT("'("&amp;$A$4&amp;")'!e29")</f>
        <v>0</v>
      </c>
      <c r="F29" s="24">
        <f ca="1">INDIRECT("'("&amp;$A$4&amp;")'!f29")</f>
        <v>0</v>
      </c>
      <c r="G29" s="24">
        <f ca="1">INDIRECT("'("&amp;$A$4&amp;")'!g29")</f>
        <v>0</v>
      </c>
      <c r="H29" s="46">
        <f t="shared" ca="1" si="19"/>
        <v>0</v>
      </c>
      <c r="I29" s="46">
        <f t="shared" ca="1" si="20"/>
        <v>0</v>
      </c>
      <c r="J29" s="24"/>
      <c r="K29" s="24">
        <f ca="1">INDIRECT("'("&amp;$A$4&amp;")'!k29")</f>
        <v>46</v>
      </c>
      <c r="L29" s="24">
        <f ca="1">INDIRECT("'("&amp;$A$4&amp;")'!l29")</f>
        <v>0</v>
      </c>
      <c r="M29" s="24">
        <f ca="1">INDIRECT("'("&amp;$A$4&amp;")'!m29")</f>
        <v>0</v>
      </c>
      <c r="N29" s="24">
        <f ca="1">INDIRECT("'("&amp;$A$4&amp;")'!n29")</f>
        <v>0</v>
      </c>
      <c r="O29" s="24">
        <f ca="1">INDIRECT("'("&amp;$A$4&amp;")'!o29")</f>
        <v>0</v>
      </c>
      <c r="P29" s="24">
        <f ca="1">INDIRECT("'("&amp;$A$4&amp;")'!p29")</f>
        <v>0</v>
      </c>
      <c r="Q29" s="46">
        <f t="shared" ca="1" si="26"/>
        <v>0</v>
      </c>
      <c r="R29" s="46">
        <f t="shared" ca="1" si="27"/>
        <v>0</v>
      </c>
      <c r="S29" s="24"/>
      <c r="T29" s="22">
        <f t="shared" ca="1" si="28"/>
        <v>68</v>
      </c>
      <c r="U29" s="22">
        <f t="shared" ca="1" si="29"/>
        <v>0</v>
      </c>
      <c r="V29" s="22">
        <f t="shared" ca="1" si="30"/>
        <v>0</v>
      </c>
      <c r="W29" s="22">
        <f t="shared" ca="1" si="31"/>
        <v>0</v>
      </c>
      <c r="X29" s="22">
        <f t="shared" ca="1" si="32"/>
        <v>0</v>
      </c>
      <c r="Y29" s="22">
        <f t="shared" ca="1" si="33"/>
        <v>0</v>
      </c>
      <c r="Z29" s="46">
        <f t="shared" ca="1" si="34"/>
        <v>0</v>
      </c>
      <c r="AA29" s="46">
        <f t="shared" ca="1" si="35"/>
        <v>0</v>
      </c>
      <c r="AB29" s="24"/>
      <c r="AC29" s="24">
        <f ca="1">INDIRECT("'("&amp;$A$4&amp;")'!ac29")</f>
        <v>2</v>
      </c>
      <c r="AD29" s="24">
        <f ca="1">INDIRECT("'("&amp;$A$4&amp;")'!ad29")</f>
        <v>0</v>
      </c>
      <c r="AE29" s="24">
        <f ca="1">INDIRECT("'("&amp;$A$4&amp;")'!ae29")</f>
        <v>0</v>
      </c>
      <c r="AF29" s="24">
        <f ca="1">INDIRECT("'("&amp;$A$4&amp;")'!af29")</f>
        <v>0</v>
      </c>
      <c r="AG29" s="24">
        <f ca="1">INDIRECT("'("&amp;$A$4&amp;")'!ag29")</f>
        <v>0</v>
      </c>
      <c r="AH29" s="24">
        <f ca="1">INDIRECT("'("&amp;$A$4&amp;")'!ah29")</f>
        <v>0</v>
      </c>
      <c r="AI29" s="46">
        <f t="shared" ca="1" si="41"/>
        <v>0</v>
      </c>
      <c r="AJ29" s="46">
        <f t="shared" ca="1" si="42"/>
        <v>0</v>
      </c>
      <c r="AK29" s="24"/>
      <c r="AL29" s="24">
        <f ca="1">INDIRECT("'("&amp;$A$4&amp;")'!al29")</f>
        <v>27</v>
      </c>
      <c r="AM29" s="24">
        <f ca="1">INDIRECT("'("&amp;$A$4&amp;")'!am29")</f>
        <v>5</v>
      </c>
      <c r="AN29" s="24">
        <f ca="1">INDIRECT("'("&amp;$A$4&amp;")'!an29")</f>
        <v>2</v>
      </c>
      <c r="AO29" s="24">
        <f ca="1">INDIRECT("'("&amp;$A$4&amp;")'!ao29")</f>
        <v>0</v>
      </c>
      <c r="AP29" s="24">
        <f ca="1">INDIRECT("'("&amp;$A$4&amp;")'!ag29")</f>
        <v>0</v>
      </c>
      <c r="AQ29" s="24">
        <f ca="1">INDIRECT("'("&amp;$A$4&amp;")'!aq29")</f>
        <v>0</v>
      </c>
      <c r="AR29" s="46">
        <f t="shared" ca="1" si="48"/>
        <v>0.20588235294117646</v>
      </c>
      <c r="AS29" s="46">
        <f t="shared" ca="1" si="49"/>
        <v>0</v>
      </c>
      <c r="AT29" s="24"/>
      <c r="AU29" s="22">
        <f t="shared" ca="1" si="50"/>
        <v>97</v>
      </c>
      <c r="AV29" s="22">
        <f t="shared" ca="1" si="51"/>
        <v>5</v>
      </c>
      <c r="AW29" s="22">
        <f t="shared" ca="1" si="52"/>
        <v>2</v>
      </c>
      <c r="AX29" s="22">
        <f t="shared" ca="1" si="53"/>
        <v>0</v>
      </c>
      <c r="AY29" s="22">
        <f t="shared" ca="1" si="54"/>
        <v>0</v>
      </c>
      <c r="AZ29" s="22">
        <f t="shared" ca="1" si="55"/>
        <v>0</v>
      </c>
      <c r="BA29" s="46">
        <f t="shared" ca="1" si="56"/>
        <v>6.7307692307692304E-2</v>
      </c>
      <c r="BB29" s="46">
        <f t="shared" ca="1" si="57"/>
        <v>0</v>
      </c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s="8" customFormat="1" ht="15" customHeight="1" x14ac:dyDescent="0.35">
      <c r="A30" s="2" t="s">
        <v>37</v>
      </c>
      <c r="B30" s="24">
        <f ca="1">INDIRECT("'("&amp;$A$4&amp;")'!b30")</f>
        <v>0</v>
      </c>
      <c r="C30" s="24">
        <f ca="1">INDIRECT("'("&amp;$A$4&amp;")'!c30")</f>
        <v>0</v>
      </c>
      <c r="D30" s="24">
        <f ca="1">INDIRECT("'("&amp;$A$4&amp;")'!d30")</f>
        <v>0</v>
      </c>
      <c r="E30" s="24">
        <f ca="1">INDIRECT("'("&amp;$A$4&amp;")'!e30")</f>
        <v>0</v>
      </c>
      <c r="F30" s="24">
        <f ca="1">INDIRECT("'("&amp;$A$4&amp;")'!f30")</f>
        <v>0</v>
      </c>
      <c r="G30" s="24">
        <f ca="1">INDIRECT("'("&amp;$A$4&amp;")'!g30")</f>
        <v>0</v>
      </c>
      <c r="H30" s="46" t="str">
        <f t="shared" ca="1" si="19"/>
        <v>-</v>
      </c>
      <c r="I30" s="46" t="str">
        <f t="shared" ca="1" si="20"/>
        <v>-</v>
      </c>
      <c r="J30" s="24"/>
      <c r="K30" s="24">
        <f ca="1">INDIRECT("'("&amp;$A$4&amp;")'!k30")</f>
        <v>0</v>
      </c>
      <c r="L30" s="24">
        <f ca="1">INDIRECT("'("&amp;$A$4&amp;")'!l30")</f>
        <v>0</v>
      </c>
      <c r="M30" s="24">
        <f ca="1">INDIRECT("'("&amp;$A$4&amp;")'!m30")</f>
        <v>0</v>
      </c>
      <c r="N30" s="24">
        <f ca="1">INDIRECT("'("&amp;$A$4&amp;")'!n30")</f>
        <v>0</v>
      </c>
      <c r="O30" s="24">
        <f ca="1">INDIRECT("'("&amp;$A$4&amp;")'!o30")</f>
        <v>0</v>
      </c>
      <c r="P30" s="24">
        <f ca="1">INDIRECT("'("&amp;$A$4&amp;")'!p30")</f>
        <v>0</v>
      </c>
      <c r="Q30" s="46" t="str">
        <f t="shared" ca="1" si="26"/>
        <v>-</v>
      </c>
      <c r="R30" s="46" t="str">
        <f t="shared" ca="1" si="27"/>
        <v>-</v>
      </c>
      <c r="S30" s="24"/>
      <c r="T30" s="22">
        <f t="shared" ca="1" si="28"/>
        <v>0</v>
      </c>
      <c r="U30" s="22">
        <f t="shared" ca="1" si="29"/>
        <v>0</v>
      </c>
      <c r="V30" s="22">
        <f t="shared" ca="1" si="30"/>
        <v>0</v>
      </c>
      <c r="W30" s="22">
        <f t="shared" ca="1" si="31"/>
        <v>0</v>
      </c>
      <c r="X30" s="22">
        <f t="shared" ca="1" si="32"/>
        <v>0</v>
      </c>
      <c r="Y30" s="22">
        <f t="shared" ca="1" si="33"/>
        <v>0</v>
      </c>
      <c r="Z30" s="46" t="str">
        <f t="shared" ca="1" si="34"/>
        <v>-</v>
      </c>
      <c r="AA30" s="46" t="str">
        <f t="shared" ca="1" si="35"/>
        <v>-</v>
      </c>
      <c r="AB30" s="24"/>
      <c r="AC30" s="24">
        <f ca="1">INDIRECT("'("&amp;$A$4&amp;")'!ac30")</f>
        <v>0</v>
      </c>
      <c r="AD30" s="24">
        <f ca="1">INDIRECT("'("&amp;$A$4&amp;")'!ad30")</f>
        <v>0</v>
      </c>
      <c r="AE30" s="24">
        <f ca="1">INDIRECT("'("&amp;$A$4&amp;")'!ae30")</f>
        <v>0</v>
      </c>
      <c r="AF30" s="24">
        <f ca="1">INDIRECT("'("&amp;$A$4&amp;")'!af30")</f>
        <v>0</v>
      </c>
      <c r="AG30" s="24">
        <f ca="1">INDIRECT("'("&amp;$A$4&amp;")'!ag30")</f>
        <v>0</v>
      </c>
      <c r="AH30" s="24">
        <f ca="1">INDIRECT("'("&amp;$A$4&amp;")'!ah30")</f>
        <v>0</v>
      </c>
      <c r="AI30" s="46" t="str">
        <f t="shared" ca="1" si="41"/>
        <v>-</v>
      </c>
      <c r="AJ30" s="46" t="str">
        <f t="shared" ca="1" si="42"/>
        <v>-</v>
      </c>
      <c r="AK30" s="24"/>
      <c r="AL30" s="24">
        <f ca="1">INDIRECT("'("&amp;$A$4&amp;")'!al30")</f>
        <v>2</v>
      </c>
      <c r="AM30" s="24">
        <f ca="1">INDIRECT("'("&amp;$A$4&amp;")'!am30")</f>
        <v>0</v>
      </c>
      <c r="AN30" s="24">
        <f ca="1">INDIRECT("'("&amp;$A$4&amp;")'!an30")</f>
        <v>0</v>
      </c>
      <c r="AO30" s="24">
        <f ca="1">INDIRECT("'("&amp;$A$4&amp;")'!ao30")</f>
        <v>0</v>
      </c>
      <c r="AP30" s="24">
        <f ca="1">INDIRECT("'("&amp;$A$4&amp;")'!ag30")</f>
        <v>0</v>
      </c>
      <c r="AQ30" s="24">
        <f ca="1">INDIRECT("'("&amp;$A$4&amp;")'!aq30")</f>
        <v>0</v>
      </c>
      <c r="AR30" s="46">
        <f t="shared" ca="1" si="48"/>
        <v>0</v>
      </c>
      <c r="AS30" s="46">
        <f t="shared" ca="1" si="49"/>
        <v>0</v>
      </c>
      <c r="AT30" s="24"/>
      <c r="AU30" s="22">
        <f t="shared" ca="1" si="50"/>
        <v>2</v>
      </c>
      <c r="AV30" s="22">
        <f t="shared" ca="1" si="51"/>
        <v>0</v>
      </c>
      <c r="AW30" s="22">
        <f t="shared" ca="1" si="52"/>
        <v>0</v>
      </c>
      <c r="AX30" s="22">
        <f t="shared" ca="1" si="53"/>
        <v>0</v>
      </c>
      <c r="AY30" s="22">
        <f t="shared" ca="1" si="54"/>
        <v>0</v>
      </c>
      <c r="AZ30" s="22">
        <f t="shared" ca="1" si="55"/>
        <v>0</v>
      </c>
      <c r="BA30" s="46">
        <f t="shared" ca="1" si="56"/>
        <v>0</v>
      </c>
      <c r="BB30" s="46">
        <f t="shared" ca="1" si="57"/>
        <v>0</v>
      </c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s="8" customFormat="1" ht="15" customHeight="1" x14ac:dyDescent="0.35">
      <c r="A31" s="3" t="s">
        <v>38</v>
      </c>
      <c r="B31" s="24">
        <f ca="1">INDIRECT("'("&amp;$A$4&amp;")'!b31")</f>
        <v>4</v>
      </c>
      <c r="C31" s="24">
        <f ca="1">INDIRECT("'("&amp;$A$4&amp;")'!c31")</f>
        <v>0</v>
      </c>
      <c r="D31" s="24">
        <f ca="1">INDIRECT("'("&amp;$A$4&amp;")'!d31")</f>
        <v>0</v>
      </c>
      <c r="E31" s="24">
        <f ca="1">INDIRECT("'("&amp;$A$4&amp;")'!e31")</f>
        <v>0</v>
      </c>
      <c r="F31" s="24">
        <f ca="1">INDIRECT("'("&amp;$A$4&amp;")'!f31")</f>
        <v>0</v>
      </c>
      <c r="G31" s="24">
        <f ca="1">INDIRECT("'("&amp;$A$4&amp;")'!g31")</f>
        <v>25</v>
      </c>
      <c r="H31" s="46">
        <f t="shared" ca="1" si="19"/>
        <v>0</v>
      </c>
      <c r="I31" s="46">
        <f t="shared" ca="1" si="20"/>
        <v>0.86206896551724133</v>
      </c>
      <c r="J31" s="24"/>
      <c r="K31" s="24">
        <f ca="1">INDIRECT("'("&amp;$A$4&amp;")'!k31")</f>
        <v>8</v>
      </c>
      <c r="L31" s="24">
        <f ca="1">INDIRECT("'("&amp;$A$4&amp;")'!l31")</f>
        <v>0</v>
      </c>
      <c r="M31" s="24">
        <f ca="1">INDIRECT("'("&amp;$A$4&amp;")'!m31")</f>
        <v>0</v>
      </c>
      <c r="N31" s="24">
        <f ca="1">INDIRECT("'("&amp;$A$4&amp;")'!n31")</f>
        <v>0</v>
      </c>
      <c r="O31" s="24">
        <f ca="1">INDIRECT("'("&amp;$A$4&amp;")'!o31")</f>
        <v>0</v>
      </c>
      <c r="P31" s="24">
        <f ca="1">INDIRECT("'("&amp;$A$4&amp;")'!p31")</f>
        <v>48</v>
      </c>
      <c r="Q31" s="46">
        <f t="shared" ca="1" si="26"/>
        <v>0</v>
      </c>
      <c r="R31" s="46">
        <f t="shared" ca="1" si="27"/>
        <v>0.8571428571428571</v>
      </c>
      <c r="S31" s="24"/>
      <c r="T31" s="22">
        <f t="shared" ca="1" si="28"/>
        <v>12</v>
      </c>
      <c r="U31" s="22">
        <f t="shared" ca="1" si="29"/>
        <v>0</v>
      </c>
      <c r="V31" s="22">
        <f t="shared" ca="1" si="30"/>
        <v>0</v>
      </c>
      <c r="W31" s="22">
        <f t="shared" ca="1" si="31"/>
        <v>0</v>
      </c>
      <c r="X31" s="22">
        <f t="shared" ca="1" si="32"/>
        <v>0</v>
      </c>
      <c r="Y31" s="22">
        <f t="shared" ca="1" si="33"/>
        <v>73</v>
      </c>
      <c r="Z31" s="46">
        <f t="shared" ca="1" si="34"/>
        <v>0</v>
      </c>
      <c r="AA31" s="46">
        <f t="shared" ca="1" si="35"/>
        <v>0.85882352941176465</v>
      </c>
      <c r="AB31" s="24"/>
      <c r="AC31" s="24">
        <f ca="1">INDIRECT("'("&amp;$A$4&amp;")'!ac31")</f>
        <v>1</v>
      </c>
      <c r="AD31" s="24">
        <f ca="1">INDIRECT("'("&amp;$A$4&amp;")'!ad31")</f>
        <v>0</v>
      </c>
      <c r="AE31" s="24">
        <f ca="1">INDIRECT("'("&amp;$A$4&amp;")'!ae31")</f>
        <v>0</v>
      </c>
      <c r="AF31" s="24">
        <f ca="1">INDIRECT("'("&amp;$A$4&amp;")'!af31")</f>
        <v>0</v>
      </c>
      <c r="AG31" s="24">
        <f ca="1">INDIRECT("'("&amp;$A$4&amp;")'!ag31")</f>
        <v>0</v>
      </c>
      <c r="AH31" s="24">
        <f ca="1">INDIRECT("'("&amp;$A$4&amp;")'!ah31")</f>
        <v>7</v>
      </c>
      <c r="AI31" s="46">
        <f t="shared" ca="1" si="41"/>
        <v>0</v>
      </c>
      <c r="AJ31" s="46">
        <f t="shared" ca="1" si="42"/>
        <v>0.875</v>
      </c>
      <c r="AK31" s="24"/>
      <c r="AL31" s="24">
        <f ca="1">INDIRECT("'("&amp;$A$4&amp;")'!al31")</f>
        <v>13</v>
      </c>
      <c r="AM31" s="24">
        <f ca="1">INDIRECT("'("&amp;$A$4&amp;")'!am31")</f>
        <v>1</v>
      </c>
      <c r="AN31" s="24">
        <f ca="1">INDIRECT("'("&amp;$A$4&amp;")'!an31")</f>
        <v>1</v>
      </c>
      <c r="AO31" s="24">
        <f ca="1">INDIRECT("'("&amp;$A$4&amp;")'!ao31")</f>
        <v>0</v>
      </c>
      <c r="AP31" s="24">
        <f ca="1">INDIRECT("'("&amp;$A$4&amp;")'!ag31")</f>
        <v>0</v>
      </c>
      <c r="AQ31" s="24">
        <f ca="1">INDIRECT("'("&amp;$A$4&amp;")'!aq31")</f>
        <v>37</v>
      </c>
      <c r="AR31" s="46">
        <f t="shared" ca="1" si="48"/>
        <v>0.13333333333333333</v>
      </c>
      <c r="AS31" s="46">
        <f t="shared" ca="1" si="49"/>
        <v>0.71153846153846156</v>
      </c>
      <c r="AT31" s="24"/>
      <c r="AU31" s="22">
        <f t="shared" ca="1" si="50"/>
        <v>26</v>
      </c>
      <c r="AV31" s="22">
        <f t="shared" ca="1" si="51"/>
        <v>1</v>
      </c>
      <c r="AW31" s="22">
        <f t="shared" ca="1" si="52"/>
        <v>1</v>
      </c>
      <c r="AX31" s="22">
        <f t="shared" ca="1" si="53"/>
        <v>0</v>
      </c>
      <c r="AY31" s="22">
        <f t="shared" ca="1" si="54"/>
        <v>0</v>
      </c>
      <c r="AZ31" s="22">
        <f t="shared" ca="1" si="55"/>
        <v>117</v>
      </c>
      <c r="BA31" s="46">
        <f t="shared" ca="1" si="56"/>
        <v>7.1428571428571425E-2</v>
      </c>
      <c r="BB31" s="46">
        <f t="shared" ca="1" si="57"/>
        <v>0.80689655172413788</v>
      </c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s="8" customFormat="1" ht="15" customHeight="1" x14ac:dyDescent="0.35">
      <c r="A32" s="3" t="s">
        <v>39</v>
      </c>
      <c r="B32" s="24">
        <f ca="1">INDIRECT("'("&amp;$A$4&amp;")'!b32")</f>
        <v>52</v>
      </c>
      <c r="C32" s="24">
        <f ca="1">INDIRECT("'("&amp;$A$4&amp;")'!c32")</f>
        <v>2</v>
      </c>
      <c r="D32" s="24">
        <f ca="1">INDIRECT("'("&amp;$A$4&amp;")'!d32")</f>
        <v>2</v>
      </c>
      <c r="E32" s="24">
        <f ca="1">INDIRECT("'("&amp;$A$4&amp;")'!e32")</f>
        <v>0</v>
      </c>
      <c r="F32" s="24">
        <f ca="1">INDIRECT("'("&amp;$A$4&amp;")'!f32")</f>
        <v>0</v>
      </c>
      <c r="G32" s="24">
        <f ca="1">INDIRECT("'("&amp;$A$4&amp;")'!g32")</f>
        <v>0</v>
      </c>
      <c r="H32" s="46">
        <f t="shared" ca="1" si="19"/>
        <v>7.1428571428571425E-2</v>
      </c>
      <c r="I32" s="46">
        <f t="shared" ca="1" si="20"/>
        <v>0</v>
      </c>
      <c r="J32" s="24"/>
      <c r="K32" s="24">
        <f ca="1">INDIRECT("'("&amp;$A$4&amp;")'!k32")</f>
        <v>47</v>
      </c>
      <c r="L32" s="24">
        <f ca="1">INDIRECT("'("&amp;$A$4&amp;")'!l32")</f>
        <v>1</v>
      </c>
      <c r="M32" s="24">
        <f ca="1">INDIRECT("'("&amp;$A$4&amp;")'!m32")</f>
        <v>0</v>
      </c>
      <c r="N32" s="24">
        <f ca="1">INDIRECT("'("&amp;$A$4&amp;")'!n32")</f>
        <v>0</v>
      </c>
      <c r="O32" s="24">
        <f ca="1">INDIRECT("'("&amp;$A$4&amp;")'!o32")</f>
        <v>0</v>
      </c>
      <c r="P32" s="24">
        <f ca="1">INDIRECT("'("&amp;$A$4&amp;")'!p32")</f>
        <v>9</v>
      </c>
      <c r="Q32" s="46">
        <f t="shared" ca="1" si="26"/>
        <v>2.0833333333333332E-2</v>
      </c>
      <c r="R32" s="46">
        <f t="shared" ca="1" si="27"/>
        <v>0.15789473684210525</v>
      </c>
      <c r="S32" s="24"/>
      <c r="T32" s="22">
        <f t="shared" ca="1" si="28"/>
        <v>99</v>
      </c>
      <c r="U32" s="22">
        <f t="shared" ca="1" si="29"/>
        <v>3</v>
      </c>
      <c r="V32" s="22">
        <f t="shared" ca="1" si="30"/>
        <v>2</v>
      </c>
      <c r="W32" s="22">
        <f t="shared" ca="1" si="31"/>
        <v>0</v>
      </c>
      <c r="X32" s="22">
        <f t="shared" ca="1" si="32"/>
        <v>0</v>
      </c>
      <c r="Y32" s="22">
        <f t="shared" ca="1" si="33"/>
        <v>9</v>
      </c>
      <c r="Z32" s="46">
        <f t="shared" ca="1" si="34"/>
        <v>4.807692307692308E-2</v>
      </c>
      <c r="AA32" s="46">
        <f t="shared" ca="1" si="35"/>
        <v>7.9646017699115043E-2</v>
      </c>
      <c r="AB32" s="24"/>
      <c r="AC32" s="24">
        <f ca="1">INDIRECT("'("&amp;$A$4&amp;")'!ac32")</f>
        <v>0</v>
      </c>
      <c r="AD32" s="24">
        <f ca="1">INDIRECT("'("&amp;$A$4&amp;")'!ad32")</f>
        <v>0</v>
      </c>
      <c r="AE32" s="24">
        <f ca="1">INDIRECT("'("&amp;$A$4&amp;")'!ae32")</f>
        <v>0</v>
      </c>
      <c r="AF32" s="24">
        <f ca="1">INDIRECT("'("&amp;$A$4&amp;")'!af32")</f>
        <v>0</v>
      </c>
      <c r="AG32" s="24">
        <f ca="1">INDIRECT("'("&amp;$A$4&amp;")'!ag32")</f>
        <v>0</v>
      </c>
      <c r="AH32" s="24">
        <f ca="1">INDIRECT("'("&amp;$A$4&amp;")'!ah32")</f>
        <v>0</v>
      </c>
      <c r="AI32" s="46" t="str">
        <f t="shared" ca="1" si="41"/>
        <v>-</v>
      </c>
      <c r="AJ32" s="46" t="str">
        <f t="shared" ca="1" si="42"/>
        <v>-</v>
      </c>
      <c r="AK32" s="24"/>
      <c r="AL32" s="24">
        <f ca="1">INDIRECT("'("&amp;$A$4&amp;")'!al32")</f>
        <v>39</v>
      </c>
      <c r="AM32" s="24">
        <f ca="1">INDIRECT("'("&amp;$A$4&amp;")'!am32")</f>
        <v>1</v>
      </c>
      <c r="AN32" s="24">
        <f ca="1">INDIRECT("'("&amp;$A$4&amp;")'!an32")</f>
        <v>2</v>
      </c>
      <c r="AO32" s="24">
        <f ca="1">INDIRECT("'("&amp;$A$4&amp;")'!ao32")</f>
        <v>1</v>
      </c>
      <c r="AP32" s="24">
        <f ca="1">INDIRECT("'("&amp;$A$4&amp;")'!ag32")</f>
        <v>0</v>
      </c>
      <c r="AQ32" s="24">
        <f ca="1">INDIRECT("'("&amp;$A$4&amp;")'!aq32")</f>
        <v>2</v>
      </c>
      <c r="AR32" s="46">
        <f t="shared" ca="1" si="48"/>
        <v>9.3023255813953487E-2</v>
      </c>
      <c r="AS32" s="46">
        <f t="shared" ca="1" si="49"/>
        <v>4.4444444444444446E-2</v>
      </c>
      <c r="AT32" s="24"/>
      <c r="AU32" s="22">
        <f t="shared" ca="1" si="50"/>
        <v>138</v>
      </c>
      <c r="AV32" s="22">
        <f t="shared" ca="1" si="51"/>
        <v>4</v>
      </c>
      <c r="AW32" s="22">
        <f t="shared" ca="1" si="52"/>
        <v>4</v>
      </c>
      <c r="AX32" s="22">
        <f t="shared" ca="1" si="53"/>
        <v>1</v>
      </c>
      <c r="AY32" s="22">
        <f t="shared" ca="1" si="54"/>
        <v>0</v>
      </c>
      <c r="AZ32" s="22">
        <f t="shared" ca="1" si="55"/>
        <v>11</v>
      </c>
      <c r="BA32" s="46">
        <f t="shared" ca="1" si="56"/>
        <v>6.1224489795918366E-2</v>
      </c>
      <c r="BB32" s="46">
        <f t="shared" ca="1" si="57"/>
        <v>6.9620253164556958E-2</v>
      </c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s="8" customFormat="1" ht="15" customHeight="1" x14ac:dyDescent="0.35">
      <c r="A33" s="2" t="s">
        <v>40</v>
      </c>
      <c r="B33" s="24">
        <f ca="1">INDIRECT("'("&amp;$A$4&amp;")'!b33")</f>
        <v>12</v>
      </c>
      <c r="C33" s="24">
        <f ca="1">INDIRECT("'("&amp;$A$4&amp;")'!c33")</f>
        <v>4</v>
      </c>
      <c r="D33" s="24">
        <f ca="1">INDIRECT("'("&amp;$A$4&amp;")'!d33")</f>
        <v>1</v>
      </c>
      <c r="E33" s="24">
        <f ca="1">INDIRECT("'("&amp;$A$4&amp;")'!e33")</f>
        <v>0</v>
      </c>
      <c r="F33" s="24">
        <f ca="1">INDIRECT("'("&amp;$A$4&amp;")'!f33")</f>
        <v>0</v>
      </c>
      <c r="G33" s="24">
        <f ca="1">INDIRECT("'("&amp;$A$4&amp;")'!g33")</f>
        <v>8</v>
      </c>
      <c r="H33" s="46">
        <f t="shared" ca="1" si="19"/>
        <v>0.29411764705882354</v>
      </c>
      <c r="I33" s="46">
        <f t="shared" ca="1" si="20"/>
        <v>0.32</v>
      </c>
      <c r="J33" s="24"/>
      <c r="K33" s="24">
        <f ca="1">INDIRECT("'("&amp;$A$4&amp;")'!k33")</f>
        <v>18</v>
      </c>
      <c r="L33" s="24">
        <f ca="1">INDIRECT("'("&amp;$A$4&amp;")'!l33")</f>
        <v>0</v>
      </c>
      <c r="M33" s="24">
        <f ca="1">INDIRECT("'("&amp;$A$4&amp;")'!m33")</f>
        <v>0</v>
      </c>
      <c r="N33" s="24">
        <f ca="1">INDIRECT("'("&amp;$A$4&amp;")'!n33")</f>
        <v>0</v>
      </c>
      <c r="O33" s="24">
        <f ca="1">INDIRECT("'("&amp;$A$4&amp;")'!o33")</f>
        <v>0</v>
      </c>
      <c r="P33" s="24">
        <f ca="1">INDIRECT("'("&amp;$A$4&amp;")'!p33")</f>
        <v>9</v>
      </c>
      <c r="Q33" s="46">
        <f t="shared" ca="1" si="26"/>
        <v>0</v>
      </c>
      <c r="R33" s="46">
        <f t="shared" ca="1" si="27"/>
        <v>0.33333333333333331</v>
      </c>
      <c r="S33" s="24"/>
      <c r="T33" s="22">
        <f t="shared" ca="1" si="28"/>
        <v>30</v>
      </c>
      <c r="U33" s="22">
        <f t="shared" ca="1" si="29"/>
        <v>4</v>
      </c>
      <c r="V33" s="22">
        <f t="shared" ca="1" si="30"/>
        <v>1</v>
      </c>
      <c r="W33" s="22">
        <f t="shared" ca="1" si="31"/>
        <v>0</v>
      </c>
      <c r="X33" s="22">
        <f t="shared" ca="1" si="32"/>
        <v>0</v>
      </c>
      <c r="Y33" s="22">
        <f t="shared" ca="1" si="33"/>
        <v>17</v>
      </c>
      <c r="Z33" s="46">
        <f t="shared" ca="1" si="34"/>
        <v>0.14285714285714285</v>
      </c>
      <c r="AA33" s="46">
        <f t="shared" ca="1" si="35"/>
        <v>0.32692307692307693</v>
      </c>
      <c r="AB33" s="24"/>
      <c r="AC33" s="24">
        <f ca="1">INDIRECT("'("&amp;$A$4&amp;")'!ac33")</f>
        <v>2</v>
      </c>
      <c r="AD33" s="24">
        <f ca="1">INDIRECT("'("&amp;$A$4&amp;")'!ad33")</f>
        <v>0</v>
      </c>
      <c r="AE33" s="24">
        <f ca="1">INDIRECT("'("&amp;$A$4&amp;")'!ae33")</f>
        <v>0</v>
      </c>
      <c r="AF33" s="24">
        <f ca="1">INDIRECT("'("&amp;$A$4&amp;")'!af33")</f>
        <v>0</v>
      </c>
      <c r="AG33" s="24">
        <f ca="1">INDIRECT("'("&amp;$A$4&amp;")'!ag33")</f>
        <v>0</v>
      </c>
      <c r="AH33" s="24">
        <f ca="1">INDIRECT("'("&amp;$A$4&amp;")'!ah33")</f>
        <v>0</v>
      </c>
      <c r="AI33" s="46">
        <f t="shared" ca="1" si="41"/>
        <v>0</v>
      </c>
      <c r="AJ33" s="46">
        <f t="shared" ca="1" si="42"/>
        <v>0</v>
      </c>
      <c r="AK33" s="24"/>
      <c r="AL33" s="24">
        <f ca="1">INDIRECT("'("&amp;$A$4&amp;")'!al33")</f>
        <v>6</v>
      </c>
      <c r="AM33" s="24">
        <f ca="1">INDIRECT("'("&amp;$A$4&amp;")'!am33")</f>
        <v>1</v>
      </c>
      <c r="AN33" s="24">
        <f ca="1">INDIRECT("'("&amp;$A$4&amp;")'!an33")</f>
        <v>1</v>
      </c>
      <c r="AO33" s="24">
        <f ca="1">INDIRECT("'("&amp;$A$4&amp;")'!ao33")</f>
        <v>0</v>
      </c>
      <c r="AP33" s="24">
        <f ca="1">INDIRECT("'("&amp;$A$4&amp;")'!ag33")</f>
        <v>0</v>
      </c>
      <c r="AQ33" s="24">
        <f ca="1">INDIRECT("'("&amp;$A$4&amp;")'!aq33")</f>
        <v>4</v>
      </c>
      <c r="AR33" s="46">
        <f t="shared" ca="1" si="48"/>
        <v>0.25</v>
      </c>
      <c r="AS33" s="46">
        <f t="shared" ca="1" si="49"/>
        <v>0.33333333333333331</v>
      </c>
      <c r="AT33" s="24"/>
      <c r="AU33" s="22">
        <f t="shared" ca="1" si="50"/>
        <v>38</v>
      </c>
      <c r="AV33" s="22">
        <f t="shared" ca="1" si="51"/>
        <v>5</v>
      </c>
      <c r="AW33" s="22">
        <f t="shared" ca="1" si="52"/>
        <v>2</v>
      </c>
      <c r="AX33" s="22">
        <f t="shared" ca="1" si="53"/>
        <v>0</v>
      </c>
      <c r="AY33" s="22">
        <f t="shared" ca="1" si="54"/>
        <v>0</v>
      </c>
      <c r="AZ33" s="22">
        <f t="shared" ca="1" si="55"/>
        <v>21</v>
      </c>
      <c r="BA33" s="46">
        <f t="shared" ca="1" si="56"/>
        <v>0.15555555555555556</v>
      </c>
      <c r="BB33" s="46">
        <f t="shared" ca="1" si="57"/>
        <v>0.31818181818181818</v>
      </c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 s="8" customFormat="1" ht="15" customHeight="1" x14ac:dyDescent="0.35">
      <c r="A34" s="3" t="s">
        <v>41</v>
      </c>
      <c r="B34" s="24">
        <f ca="1">INDIRECT("'("&amp;$A$4&amp;")'!b34")</f>
        <v>10</v>
      </c>
      <c r="C34" s="24">
        <f ca="1">INDIRECT("'("&amp;$A$4&amp;")'!c34")</f>
        <v>0</v>
      </c>
      <c r="D34" s="24">
        <f ca="1">INDIRECT("'("&amp;$A$4&amp;")'!d34")</f>
        <v>0</v>
      </c>
      <c r="E34" s="24">
        <f ca="1">INDIRECT("'("&amp;$A$4&amp;")'!e34")</f>
        <v>0</v>
      </c>
      <c r="F34" s="24">
        <f ca="1">INDIRECT("'("&amp;$A$4&amp;")'!f34")</f>
        <v>0</v>
      </c>
      <c r="G34" s="24">
        <f ca="1">INDIRECT("'("&amp;$A$4&amp;")'!g34")</f>
        <v>0</v>
      </c>
      <c r="H34" s="46">
        <f t="shared" ca="1" si="19"/>
        <v>0</v>
      </c>
      <c r="I34" s="46">
        <f t="shared" ca="1" si="20"/>
        <v>0</v>
      </c>
      <c r="J34" s="24"/>
      <c r="K34" s="24">
        <f ca="1">INDIRECT("'("&amp;$A$4&amp;")'!k34")</f>
        <v>44</v>
      </c>
      <c r="L34" s="24">
        <f ca="1">INDIRECT("'("&amp;$A$4&amp;")'!l34")</f>
        <v>1</v>
      </c>
      <c r="M34" s="24">
        <f ca="1">INDIRECT("'("&amp;$A$4&amp;")'!m34")</f>
        <v>0</v>
      </c>
      <c r="N34" s="24">
        <f ca="1">INDIRECT("'("&amp;$A$4&amp;")'!n34")</f>
        <v>0</v>
      </c>
      <c r="O34" s="24">
        <f ca="1">INDIRECT("'("&amp;$A$4&amp;")'!o34")</f>
        <v>0</v>
      </c>
      <c r="P34" s="24">
        <f ca="1">INDIRECT("'("&amp;$A$4&amp;")'!p34")</f>
        <v>0</v>
      </c>
      <c r="Q34" s="46">
        <f t="shared" ca="1" si="26"/>
        <v>2.2222222222222223E-2</v>
      </c>
      <c r="R34" s="46">
        <f t="shared" ca="1" si="27"/>
        <v>0</v>
      </c>
      <c r="S34" s="24"/>
      <c r="T34" s="22">
        <f t="shared" ca="1" si="28"/>
        <v>54</v>
      </c>
      <c r="U34" s="22">
        <f t="shared" ca="1" si="29"/>
        <v>1</v>
      </c>
      <c r="V34" s="22">
        <f t="shared" ca="1" si="30"/>
        <v>0</v>
      </c>
      <c r="W34" s="22">
        <f t="shared" ca="1" si="31"/>
        <v>0</v>
      </c>
      <c r="X34" s="22">
        <f t="shared" ca="1" si="32"/>
        <v>0</v>
      </c>
      <c r="Y34" s="22">
        <f t="shared" ca="1" si="33"/>
        <v>0</v>
      </c>
      <c r="Z34" s="46">
        <f t="shared" ca="1" si="34"/>
        <v>1.8181818181818181E-2</v>
      </c>
      <c r="AA34" s="46">
        <f t="shared" ca="1" si="35"/>
        <v>0</v>
      </c>
      <c r="AB34" s="24"/>
      <c r="AC34" s="24">
        <f ca="1">INDIRECT("'("&amp;$A$4&amp;")'!ac34")</f>
        <v>2</v>
      </c>
      <c r="AD34" s="24">
        <f ca="1">INDIRECT("'("&amp;$A$4&amp;")'!ad34")</f>
        <v>0</v>
      </c>
      <c r="AE34" s="24">
        <f ca="1">INDIRECT("'("&amp;$A$4&amp;")'!ae34")</f>
        <v>0</v>
      </c>
      <c r="AF34" s="24">
        <f ca="1">INDIRECT("'("&amp;$A$4&amp;")'!af34")</f>
        <v>0</v>
      </c>
      <c r="AG34" s="24">
        <f ca="1">INDIRECT("'("&amp;$A$4&amp;")'!ag34")</f>
        <v>0</v>
      </c>
      <c r="AH34" s="24">
        <f ca="1">INDIRECT("'("&amp;$A$4&amp;")'!ah34")</f>
        <v>0</v>
      </c>
      <c r="AI34" s="46">
        <f t="shared" ca="1" si="41"/>
        <v>0</v>
      </c>
      <c r="AJ34" s="46">
        <f t="shared" ca="1" si="42"/>
        <v>0</v>
      </c>
      <c r="AK34" s="24"/>
      <c r="AL34" s="24">
        <f ca="1">INDIRECT("'("&amp;$A$4&amp;")'!al34")</f>
        <v>3</v>
      </c>
      <c r="AM34" s="24">
        <f ca="1">INDIRECT("'("&amp;$A$4&amp;")'!am34")</f>
        <v>0</v>
      </c>
      <c r="AN34" s="24">
        <f ca="1">INDIRECT("'("&amp;$A$4&amp;")'!an34")</f>
        <v>0</v>
      </c>
      <c r="AO34" s="24">
        <f ca="1">INDIRECT("'("&amp;$A$4&amp;")'!ao34")</f>
        <v>0</v>
      </c>
      <c r="AP34" s="24">
        <f ca="1">INDIRECT("'("&amp;$A$4&amp;")'!ag34")</f>
        <v>0</v>
      </c>
      <c r="AQ34" s="24">
        <f ca="1">INDIRECT("'("&amp;$A$4&amp;")'!aq34")</f>
        <v>0</v>
      </c>
      <c r="AR34" s="46">
        <f t="shared" ca="1" si="48"/>
        <v>0</v>
      </c>
      <c r="AS34" s="46">
        <f t="shared" ca="1" si="49"/>
        <v>0</v>
      </c>
      <c r="AT34" s="24"/>
      <c r="AU34" s="22">
        <f t="shared" ca="1" si="50"/>
        <v>59</v>
      </c>
      <c r="AV34" s="22">
        <f t="shared" ca="1" si="51"/>
        <v>1</v>
      </c>
      <c r="AW34" s="22">
        <f t="shared" ca="1" si="52"/>
        <v>0</v>
      </c>
      <c r="AX34" s="22">
        <f t="shared" ca="1" si="53"/>
        <v>0</v>
      </c>
      <c r="AY34" s="22">
        <f t="shared" ca="1" si="54"/>
        <v>0</v>
      </c>
      <c r="AZ34" s="22">
        <f t="shared" ca="1" si="55"/>
        <v>0</v>
      </c>
      <c r="BA34" s="46">
        <f t="shared" ca="1" si="56"/>
        <v>1.6666666666666666E-2</v>
      </c>
      <c r="BB34" s="46">
        <f t="shared" ca="1" si="57"/>
        <v>0</v>
      </c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 s="8" customFormat="1" ht="15" customHeight="1" x14ac:dyDescent="0.35">
      <c r="A35" s="3" t="s">
        <v>42</v>
      </c>
      <c r="B35" s="24">
        <f ca="1">INDIRECT("'("&amp;$A$4&amp;")'!b35")</f>
        <v>16</v>
      </c>
      <c r="C35" s="24">
        <f ca="1">INDIRECT("'("&amp;$A$4&amp;")'!c35")</f>
        <v>0</v>
      </c>
      <c r="D35" s="24">
        <f ca="1">INDIRECT("'("&amp;$A$4&amp;")'!d35")</f>
        <v>0</v>
      </c>
      <c r="E35" s="24">
        <f ca="1">INDIRECT("'("&amp;$A$4&amp;")'!e35")</f>
        <v>0</v>
      </c>
      <c r="F35" s="24">
        <f ca="1">INDIRECT("'("&amp;$A$4&amp;")'!f35")</f>
        <v>0</v>
      </c>
      <c r="G35" s="24">
        <f ca="1">INDIRECT("'("&amp;$A$4&amp;")'!g35")</f>
        <v>3</v>
      </c>
      <c r="H35" s="46">
        <f t="shared" ca="1" si="19"/>
        <v>0</v>
      </c>
      <c r="I35" s="46">
        <f t="shared" ca="1" si="20"/>
        <v>0.15789473684210525</v>
      </c>
      <c r="J35" s="24"/>
      <c r="K35" s="24">
        <f ca="1">INDIRECT("'("&amp;$A$4&amp;")'!k35")</f>
        <v>44</v>
      </c>
      <c r="L35" s="24">
        <f ca="1">INDIRECT("'("&amp;$A$4&amp;")'!l35")</f>
        <v>0</v>
      </c>
      <c r="M35" s="24">
        <f ca="1">INDIRECT("'("&amp;$A$4&amp;")'!m35")</f>
        <v>0</v>
      </c>
      <c r="N35" s="24">
        <f ca="1">INDIRECT("'("&amp;$A$4&amp;")'!n35")</f>
        <v>0</v>
      </c>
      <c r="O35" s="24">
        <f ca="1">INDIRECT("'("&amp;$A$4&amp;")'!o35")</f>
        <v>0</v>
      </c>
      <c r="P35" s="24">
        <f ca="1">INDIRECT("'("&amp;$A$4&amp;")'!p35")</f>
        <v>12</v>
      </c>
      <c r="Q35" s="46">
        <f t="shared" ca="1" si="26"/>
        <v>0</v>
      </c>
      <c r="R35" s="46">
        <f t="shared" ca="1" si="27"/>
        <v>0.21428571428571427</v>
      </c>
      <c r="S35" s="24"/>
      <c r="T35" s="22">
        <f t="shared" ca="1" si="28"/>
        <v>60</v>
      </c>
      <c r="U35" s="22">
        <f t="shared" ca="1" si="29"/>
        <v>0</v>
      </c>
      <c r="V35" s="22">
        <f t="shared" ca="1" si="30"/>
        <v>0</v>
      </c>
      <c r="W35" s="22">
        <f t="shared" ca="1" si="31"/>
        <v>0</v>
      </c>
      <c r="X35" s="22">
        <f t="shared" ca="1" si="32"/>
        <v>0</v>
      </c>
      <c r="Y35" s="22">
        <f t="shared" ca="1" si="33"/>
        <v>15</v>
      </c>
      <c r="Z35" s="46">
        <f t="shared" ca="1" si="34"/>
        <v>0</v>
      </c>
      <c r="AA35" s="46">
        <f t="shared" ca="1" si="35"/>
        <v>0.2</v>
      </c>
      <c r="AB35" s="24"/>
      <c r="AC35" s="24">
        <f ca="1">INDIRECT("'("&amp;$A$4&amp;")'!ac35")</f>
        <v>4</v>
      </c>
      <c r="AD35" s="24">
        <f ca="1">INDIRECT("'("&amp;$A$4&amp;")'!ad35")</f>
        <v>0</v>
      </c>
      <c r="AE35" s="24">
        <f ca="1">INDIRECT("'("&amp;$A$4&amp;")'!ae35")</f>
        <v>0</v>
      </c>
      <c r="AF35" s="24">
        <f ca="1">INDIRECT("'("&amp;$A$4&amp;")'!af35")</f>
        <v>0</v>
      </c>
      <c r="AG35" s="24">
        <f ca="1">INDIRECT("'("&amp;$A$4&amp;")'!ag35")</f>
        <v>0</v>
      </c>
      <c r="AH35" s="24">
        <f ca="1">INDIRECT("'("&amp;$A$4&amp;")'!ah35")</f>
        <v>0</v>
      </c>
      <c r="AI35" s="46">
        <f t="shared" ca="1" si="41"/>
        <v>0</v>
      </c>
      <c r="AJ35" s="46">
        <f t="shared" ca="1" si="42"/>
        <v>0</v>
      </c>
      <c r="AK35" s="24"/>
      <c r="AL35" s="24">
        <f ca="1">INDIRECT("'("&amp;$A$4&amp;")'!al35")</f>
        <v>13</v>
      </c>
      <c r="AM35" s="24">
        <f ca="1">INDIRECT("'("&amp;$A$4&amp;")'!am35")</f>
        <v>0</v>
      </c>
      <c r="AN35" s="24">
        <f ca="1">INDIRECT("'("&amp;$A$4&amp;")'!an35")</f>
        <v>0</v>
      </c>
      <c r="AO35" s="24">
        <f ca="1">INDIRECT("'("&amp;$A$4&amp;")'!ao35")</f>
        <v>0</v>
      </c>
      <c r="AP35" s="24">
        <f ca="1">INDIRECT("'("&amp;$A$4&amp;")'!ag35")</f>
        <v>0</v>
      </c>
      <c r="AQ35" s="24">
        <f ca="1">INDIRECT("'("&amp;$A$4&amp;")'!aq35")</f>
        <v>3</v>
      </c>
      <c r="AR35" s="46">
        <f t="shared" ca="1" si="48"/>
        <v>0</v>
      </c>
      <c r="AS35" s="46">
        <f t="shared" ca="1" si="49"/>
        <v>0.1875</v>
      </c>
      <c r="AT35" s="24"/>
      <c r="AU35" s="22">
        <f t="shared" ca="1" si="50"/>
        <v>77</v>
      </c>
      <c r="AV35" s="22">
        <f t="shared" ca="1" si="51"/>
        <v>0</v>
      </c>
      <c r="AW35" s="22">
        <f t="shared" ca="1" si="52"/>
        <v>0</v>
      </c>
      <c r="AX35" s="22">
        <f t="shared" ca="1" si="53"/>
        <v>0</v>
      </c>
      <c r="AY35" s="22">
        <f t="shared" ca="1" si="54"/>
        <v>0</v>
      </c>
      <c r="AZ35" s="22">
        <f t="shared" ca="1" si="55"/>
        <v>18</v>
      </c>
      <c r="BA35" s="46">
        <f t="shared" ca="1" si="56"/>
        <v>0</v>
      </c>
      <c r="BB35" s="46">
        <f t="shared" ca="1" si="57"/>
        <v>0.18947368421052632</v>
      </c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s="8" customFormat="1" ht="15" customHeight="1" x14ac:dyDescent="0.35">
      <c r="A36" s="2" t="s">
        <v>43</v>
      </c>
      <c r="B36" s="24">
        <f ca="1">INDIRECT("'("&amp;$A$4&amp;")'!b36")</f>
        <v>0</v>
      </c>
      <c r="C36" s="24">
        <f ca="1">INDIRECT("'("&amp;$A$4&amp;")'!c36")</f>
        <v>0</v>
      </c>
      <c r="D36" s="24">
        <f ca="1">INDIRECT("'("&amp;$A$4&amp;")'!d36")</f>
        <v>0</v>
      </c>
      <c r="E36" s="24">
        <f ca="1">INDIRECT("'("&amp;$A$4&amp;")'!e36")</f>
        <v>0</v>
      </c>
      <c r="F36" s="24">
        <f ca="1">INDIRECT("'("&amp;$A$4&amp;")'!f36")</f>
        <v>0</v>
      </c>
      <c r="G36" s="24">
        <f ca="1">INDIRECT("'("&amp;$A$4&amp;")'!g36")</f>
        <v>0</v>
      </c>
      <c r="H36" s="46" t="str">
        <f t="shared" ca="1" si="19"/>
        <v>-</v>
      </c>
      <c r="I36" s="46" t="str">
        <f t="shared" ca="1" si="20"/>
        <v>-</v>
      </c>
      <c r="J36" s="24"/>
      <c r="K36" s="24">
        <f ca="1">INDIRECT("'("&amp;$A$4&amp;")'!k36")</f>
        <v>0</v>
      </c>
      <c r="L36" s="24">
        <f ca="1">INDIRECT("'("&amp;$A$4&amp;")'!l36")</f>
        <v>0</v>
      </c>
      <c r="M36" s="24">
        <f ca="1">INDIRECT("'("&amp;$A$4&amp;")'!m36")</f>
        <v>0</v>
      </c>
      <c r="N36" s="24">
        <f ca="1">INDIRECT("'("&amp;$A$4&amp;")'!n36")</f>
        <v>0</v>
      </c>
      <c r="O36" s="24">
        <f ca="1">INDIRECT("'("&amp;$A$4&amp;")'!o36")</f>
        <v>0</v>
      </c>
      <c r="P36" s="24">
        <f ca="1">INDIRECT("'("&amp;$A$4&amp;")'!p36")</f>
        <v>0</v>
      </c>
      <c r="Q36" s="46" t="str">
        <f t="shared" ca="1" si="26"/>
        <v>-</v>
      </c>
      <c r="R36" s="46" t="str">
        <f t="shared" ca="1" si="27"/>
        <v>-</v>
      </c>
      <c r="S36" s="24"/>
      <c r="T36" s="22">
        <f t="shared" ca="1" si="28"/>
        <v>0</v>
      </c>
      <c r="U36" s="22">
        <f t="shared" ca="1" si="29"/>
        <v>0</v>
      </c>
      <c r="V36" s="22">
        <f t="shared" ca="1" si="30"/>
        <v>0</v>
      </c>
      <c r="W36" s="22">
        <f t="shared" ca="1" si="31"/>
        <v>0</v>
      </c>
      <c r="X36" s="22">
        <f t="shared" ca="1" si="32"/>
        <v>0</v>
      </c>
      <c r="Y36" s="22">
        <f t="shared" ca="1" si="33"/>
        <v>0</v>
      </c>
      <c r="Z36" s="46" t="str">
        <f t="shared" ca="1" si="34"/>
        <v>-</v>
      </c>
      <c r="AA36" s="46" t="str">
        <f t="shared" ca="1" si="35"/>
        <v>-</v>
      </c>
      <c r="AB36" s="24"/>
      <c r="AC36" s="24">
        <f ca="1">INDIRECT("'("&amp;$A$4&amp;")'!ac36")</f>
        <v>10</v>
      </c>
      <c r="AD36" s="24">
        <f ca="1">INDIRECT("'("&amp;$A$4&amp;")'!ad36")</f>
        <v>0</v>
      </c>
      <c r="AE36" s="24">
        <f ca="1">INDIRECT("'("&amp;$A$4&amp;")'!ae36")</f>
        <v>0</v>
      </c>
      <c r="AF36" s="24">
        <f ca="1">INDIRECT("'("&amp;$A$4&amp;")'!af36")</f>
        <v>0</v>
      </c>
      <c r="AG36" s="24">
        <f ca="1">INDIRECT("'("&amp;$A$4&amp;")'!ag36")</f>
        <v>0</v>
      </c>
      <c r="AH36" s="24">
        <f ca="1">INDIRECT("'("&amp;$A$4&amp;")'!ah36")</f>
        <v>0</v>
      </c>
      <c r="AI36" s="46">
        <f t="shared" ca="1" si="41"/>
        <v>0</v>
      </c>
      <c r="AJ36" s="46">
        <f t="shared" ca="1" si="42"/>
        <v>0</v>
      </c>
      <c r="AK36" s="24"/>
      <c r="AL36" s="24">
        <f ca="1">INDIRECT("'("&amp;$A$4&amp;")'!al36")</f>
        <v>0</v>
      </c>
      <c r="AM36" s="24">
        <f ca="1">INDIRECT("'("&amp;$A$4&amp;")'!am36")</f>
        <v>0</v>
      </c>
      <c r="AN36" s="24">
        <f ca="1">INDIRECT("'("&amp;$A$4&amp;")'!an36")</f>
        <v>0</v>
      </c>
      <c r="AO36" s="24">
        <f ca="1">INDIRECT("'("&amp;$A$4&amp;")'!ao36")</f>
        <v>0</v>
      </c>
      <c r="AP36" s="24">
        <f ca="1">INDIRECT("'("&amp;$A$4&amp;")'!ag36")</f>
        <v>0</v>
      </c>
      <c r="AQ36" s="24">
        <f ca="1">INDIRECT("'("&amp;$A$4&amp;")'!aq36")</f>
        <v>0</v>
      </c>
      <c r="AR36" s="46" t="str">
        <f t="shared" ca="1" si="48"/>
        <v>-</v>
      </c>
      <c r="AS36" s="46" t="str">
        <f t="shared" ca="1" si="49"/>
        <v>-</v>
      </c>
      <c r="AT36" s="24"/>
      <c r="AU36" s="22">
        <f t="shared" ca="1" si="50"/>
        <v>10</v>
      </c>
      <c r="AV36" s="22">
        <f t="shared" ca="1" si="51"/>
        <v>0</v>
      </c>
      <c r="AW36" s="22">
        <f t="shared" ca="1" si="52"/>
        <v>0</v>
      </c>
      <c r="AX36" s="22">
        <f t="shared" ca="1" si="53"/>
        <v>0</v>
      </c>
      <c r="AY36" s="22">
        <f t="shared" ca="1" si="54"/>
        <v>0</v>
      </c>
      <c r="AZ36" s="22">
        <f t="shared" ca="1" si="55"/>
        <v>0</v>
      </c>
      <c r="BA36" s="46">
        <f t="shared" ca="1" si="56"/>
        <v>0</v>
      </c>
      <c r="BB36" s="46">
        <f t="shared" ca="1" si="57"/>
        <v>0</v>
      </c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 s="8" customFormat="1" ht="15" customHeight="1" x14ac:dyDescent="0.35">
      <c r="A37" s="3" t="s">
        <v>44</v>
      </c>
      <c r="B37" s="24">
        <f ca="1">INDIRECT("'("&amp;$A$4&amp;")'!b37")</f>
        <v>4</v>
      </c>
      <c r="C37" s="24">
        <f ca="1">INDIRECT("'("&amp;$A$4&amp;")'!c37")</f>
        <v>0</v>
      </c>
      <c r="D37" s="24">
        <f ca="1">INDIRECT("'("&amp;$A$4&amp;")'!d37")</f>
        <v>0</v>
      </c>
      <c r="E37" s="24">
        <f ca="1">INDIRECT("'("&amp;$A$4&amp;")'!e37")</f>
        <v>0</v>
      </c>
      <c r="F37" s="24">
        <f ca="1">INDIRECT("'("&amp;$A$4&amp;")'!f37")</f>
        <v>0</v>
      </c>
      <c r="G37" s="24">
        <f ca="1">INDIRECT("'("&amp;$A$4&amp;")'!g37")</f>
        <v>0</v>
      </c>
      <c r="H37" s="46">
        <f t="shared" ca="1" si="19"/>
        <v>0</v>
      </c>
      <c r="I37" s="46">
        <f t="shared" ca="1" si="20"/>
        <v>0</v>
      </c>
      <c r="J37" s="24"/>
      <c r="K37" s="24">
        <f ca="1">INDIRECT("'("&amp;$A$4&amp;")'!k37")</f>
        <v>49</v>
      </c>
      <c r="L37" s="24">
        <f ca="1">INDIRECT("'("&amp;$A$4&amp;")'!l37")</f>
        <v>0</v>
      </c>
      <c r="M37" s="24">
        <f ca="1">INDIRECT("'("&amp;$A$4&amp;")'!m37")</f>
        <v>0</v>
      </c>
      <c r="N37" s="24">
        <f ca="1">INDIRECT("'("&amp;$A$4&amp;")'!n37")</f>
        <v>0</v>
      </c>
      <c r="O37" s="24">
        <f ca="1">INDIRECT("'("&amp;$A$4&amp;")'!o37")</f>
        <v>0</v>
      </c>
      <c r="P37" s="24">
        <f ca="1">INDIRECT("'("&amp;$A$4&amp;")'!p37")</f>
        <v>4</v>
      </c>
      <c r="Q37" s="46">
        <f t="shared" ca="1" si="26"/>
        <v>0</v>
      </c>
      <c r="R37" s="46">
        <f t="shared" ca="1" si="27"/>
        <v>7.5471698113207544E-2</v>
      </c>
      <c r="S37" s="24"/>
      <c r="T37" s="22">
        <f t="shared" ca="1" si="28"/>
        <v>53</v>
      </c>
      <c r="U37" s="22">
        <f t="shared" ca="1" si="29"/>
        <v>0</v>
      </c>
      <c r="V37" s="22">
        <f t="shared" ca="1" si="30"/>
        <v>0</v>
      </c>
      <c r="W37" s="22">
        <f t="shared" ca="1" si="31"/>
        <v>0</v>
      </c>
      <c r="X37" s="22">
        <f t="shared" ca="1" si="32"/>
        <v>0</v>
      </c>
      <c r="Y37" s="22">
        <f t="shared" ca="1" si="33"/>
        <v>4</v>
      </c>
      <c r="Z37" s="46">
        <f t="shared" ca="1" si="34"/>
        <v>0</v>
      </c>
      <c r="AA37" s="46">
        <f t="shared" ca="1" si="35"/>
        <v>7.0175438596491224E-2</v>
      </c>
      <c r="AB37" s="24"/>
      <c r="AC37" s="24">
        <f ca="1">INDIRECT("'("&amp;$A$4&amp;")'!ac37")</f>
        <v>3</v>
      </c>
      <c r="AD37" s="24">
        <f ca="1">INDIRECT("'("&amp;$A$4&amp;")'!ad37")</f>
        <v>0</v>
      </c>
      <c r="AE37" s="24">
        <f ca="1">INDIRECT("'("&amp;$A$4&amp;")'!ae37")</f>
        <v>0</v>
      </c>
      <c r="AF37" s="24">
        <f ca="1">INDIRECT("'("&amp;$A$4&amp;")'!af37")</f>
        <v>0</v>
      </c>
      <c r="AG37" s="24">
        <f ca="1">INDIRECT("'("&amp;$A$4&amp;")'!ag37")</f>
        <v>0</v>
      </c>
      <c r="AH37" s="24">
        <f ca="1">INDIRECT("'("&amp;$A$4&amp;")'!ah37")</f>
        <v>0</v>
      </c>
      <c r="AI37" s="46">
        <f t="shared" ca="1" si="41"/>
        <v>0</v>
      </c>
      <c r="AJ37" s="46">
        <f t="shared" ca="1" si="42"/>
        <v>0</v>
      </c>
      <c r="AK37" s="24"/>
      <c r="AL37" s="24">
        <f ca="1">INDIRECT("'("&amp;$A$4&amp;")'!al37")</f>
        <v>19</v>
      </c>
      <c r="AM37" s="24">
        <f ca="1">INDIRECT("'("&amp;$A$4&amp;")'!am37")</f>
        <v>0</v>
      </c>
      <c r="AN37" s="24">
        <f ca="1">INDIRECT("'("&amp;$A$4&amp;")'!an37")</f>
        <v>0</v>
      </c>
      <c r="AO37" s="24">
        <f ca="1">INDIRECT("'("&amp;$A$4&amp;")'!ao37")</f>
        <v>1</v>
      </c>
      <c r="AP37" s="24">
        <f ca="1">INDIRECT("'("&amp;$A$4&amp;")'!ag37")</f>
        <v>0</v>
      </c>
      <c r="AQ37" s="24">
        <f ca="1">INDIRECT("'("&amp;$A$4&amp;")'!aq37")</f>
        <v>0</v>
      </c>
      <c r="AR37" s="46">
        <f t="shared" ca="1" si="48"/>
        <v>0.05</v>
      </c>
      <c r="AS37" s="46">
        <f t="shared" ca="1" si="49"/>
        <v>0</v>
      </c>
      <c r="AT37" s="24"/>
      <c r="AU37" s="22">
        <f t="shared" ca="1" si="50"/>
        <v>75</v>
      </c>
      <c r="AV37" s="22">
        <f t="shared" ca="1" si="51"/>
        <v>0</v>
      </c>
      <c r="AW37" s="22">
        <f t="shared" ca="1" si="52"/>
        <v>0</v>
      </c>
      <c r="AX37" s="22">
        <f t="shared" ca="1" si="53"/>
        <v>1</v>
      </c>
      <c r="AY37" s="22">
        <f t="shared" ca="1" si="54"/>
        <v>0</v>
      </c>
      <c r="AZ37" s="22">
        <f t="shared" ca="1" si="55"/>
        <v>4</v>
      </c>
      <c r="BA37" s="46">
        <f t="shared" ca="1" si="56"/>
        <v>1.3157894736842105E-2</v>
      </c>
      <c r="BB37" s="46">
        <f t="shared" ca="1" si="57"/>
        <v>0.05</v>
      </c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 s="8" customFormat="1" ht="15" customHeight="1" x14ac:dyDescent="0.35">
      <c r="A38" s="3" t="s">
        <v>45</v>
      </c>
      <c r="B38" s="24">
        <f ca="1">INDIRECT("'("&amp;$A$4&amp;")'!b38")</f>
        <v>1</v>
      </c>
      <c r="C38" s="24">
        <f ca="1">INDIRECT("'("&amp;$A$4&amp;")'!c38")</f>
        <v>0</v>
      </c>
      <c r="D38" s="24">
        <f ca="1">INDIRECT("'("&amp;$A$4&amp;")'!d38")</f>
        <v>0</v>
      </c>
      <c r="E38" s="24">
        <f ca="1">INDIRECT("'("&amp;$A$4&amp;")'!e38")</f>
        <v>0</v>
      </c>
      <c r="F38" s="24">
        <f ca="1">INDIRECT("'("&amp;$A$4&amp;")'!f38")</f>
        <v>0</v>
      </c>
      <c r="G38" s="24">
        <f ca="1">INDIRECT("'("&amp;$A$4&amp;")'!g38")</f>
        <v>12</v>
      </c>
      <c r="H38" s="46">
        <f t="shared" ca="1" si="19"/>
        <v>0</v>
      </c>
      <c r="I38" s="46">
        <f t="shared" ca="1" si="20"/>
        <v>0.92307692307692313</v>
      </c>
      <c r="J38" s="24"/>
      <c r="K38" s="24">
        <f ca="1">INDIRECT("'("&amp;$A$4&amp;")'!k38")</f>
        <v>5</v>
      </c>
      <c r="L38" s="24">
        <f ca="1">INDIRECT("'("&amp;$A$4&amp;")'!l38")</f>
        <v>0</v>
      </c>
      <c r="M38" s="24">
        <f ca="1">INDIRECT("'("&amp;$A$4&amp;")'!m38")</f>
        <v>0</v>
      </c>
      <c r="N38" s="24">
        <f ca="1">INDIRECT("'("&amp;$A$4&amp;")'!n38")</f>
        <v>0</v>
      </c>
      <c r="O38" s="24">
        <f ca="1">INDIRECT("'("&amp;$A$4&amp;")'!o38")</f>
        <v>0</v>
      </c>
      <c r="P38" s="24">
        <f ca="1">INDIRECT("'("&amp;$A$4&amp;")'!p38")</f>
        <v>29</v>
      </c>
      <c r="Q38" s="46">
        <f t="shared" ca="1" si="26"/>
        <v>0</v>
      </c>
      <c r="R38" s="46">
        <f t="shared" ca="1" si="27"/>
        <v>0.8529411764705882</v>
      </c>
      <c r="S38" s="24"/>
      <c r="T38" s="22">
        <f t="shared" ca="1" si="28"/>
        <v>6</v>
      </c>
      <c r="U38" s="22">
        <f t="shared" ca="1" si="29"/>
        <v>0</v>
      </c>
      <c r="V38" s="22">
        <f t="shared" ca="1" si="30"/>
        <v>0</v>
      </c>
      <c r="W38" s="22">
        <f t="shared" ca="1" si="31"/>
        <v>0</v>
      </c>
      <c r="X38" s="22">
        <f t="shared" ca="1" si="32"/>
        <v>0</v>
      </c>
      <c r="Y38" s="22">
        <f t="shared" ca="1" si="33"/>
        <v>41</v>
      </c>
      <c r="Z38" s="46">
        <f t="shared" ca="1" si="34"/>
        <v>0</v>
      </c>
      <c r="AA38" s="46">
        <f t="shared" ca="1" si="35"/>
        <v>0.87234042553191493</v>
      </c>
      <c r="AB38" s="24"/>
      <c r="AC38" s="24">
        <f ca="1">INDIRECT("'("&amp;$A$4&amp;")'!ac38")</f>
        <v>0</v>
      </c>
      <c r="AD38" s="24">
        <f ca="1">INDIRECT("'("&amp;$A$4&amp;")'!ad38")</f>
        <v>0</v>
      </c>
      <c r="AE38" s="24">
        <f ca="1">INDIRECT("'("&amp;$A$4&amp;")'!ae38")</f>
        <v>0</v>
      </c>
      <c r="AF38" s="24">
        <f ca="1">INDIRECT("'("&amp;$A$4&amp;")'!af38")</f>
        <v>0</v>
      </c>
      <c r="AG38" s="24">
        <f ca="1">INDIRECT("'("&amp;$A$4&amp;")'!ag38")</f>
        <v>0</v>
      </c>
      <c r="AH38" s="24">
        <f ca="1">INDIRECT("'("&amp;$A$4&amp;")'!ah38")</f>
        <v>0</v>
      </c>
      <c r="AI38" s="46" t="str">
        <f t="shared" ca="1" si="41"/>
        <v>-</v>
      </c>
      <c r="AJ38" s="46" t="str">
        <f t="shared" ca="1" si="42"/>
        <v>-</v>
      </c>
      <c r="AK38" s="24"/>
      <c r="AL38" s="24">
        <f ca="1">INDIRECT("'("&amp;$A$4&amp;")'!al38")</f>
        <v>2</v>
      </c>
      <c r="AM38" s="24">
        <f ca="1">INDIRECT("'("&amp;$A$4&amp;")'!am38")</f>
        <v>0</v>
      </c>
      <c r="AN38" s="24">
        <f ca="1">INDIRECT("'("&amp;$A$4&amp;")'!an38")</f>
        <v>0</v>
      </c>
      <c r="AO38" s="24">
        <f ca="1">INDIRECT("'("&amp;$A$4&amp;")'!ao38")</f>
        <v>1</v>
      </c>
      <c r="AP38" s="24">
        <f ca="1">INDIRECT("'("&amp;$A$4&amp;")'!ag38")</f>
        <v>0</v>
      </c>
      <c r="AQ38" s="24">
        <f ca="1">INDIRECT("'("&amp;$A$4&amp;")'!aq38")</f>
        <v>7</v>
      </c>
      <c r="AR38" s="46">
        <f t="shared" ca="1" si="48"/>
        <v>0.33333333333333331</v>
      </c>
      <c r="AS38" s="46">
        <f t="shared" ca="1" si="49"/>
        <v>0.7</v>
      </c>
      <c r="AT38" s="24"/>
      <c r="AU38" s="22">
        <f t="shared" ca="1" si="50"/>
        <v>8</v>
      </c>
      <c r="AV38" s="22">
        <f t="shared" ca="1" si="51"/>
        <v>0</v>
      </c>
      <c r="AW38" s="22">
        <f t="shared" ca="1" si="52"/>
        <v>0</v>
      </c>
      <c r="AX38" s="22">
        <f t="shared" ca="1" si="53"/>
        <v>1</v>
      </c>
      <c r="AY38" s="22">
        <f t="shared" ca="1" si="54"/>
        <v>0</v>
      </c>
      <c r="AZ38" s="22">
        <f t="shared" ca="1" si="55"/>
        <v>48</v>
      </c>
      <c r="BA38" s="46">
        <f t="shared" ca="1" si="56"/>
        <v>0.1111111111111111</v>
      </c>
      <c r="BB38" s="46">
        <f t="shared" ca="1" si="57"/>
        <v>0.84210526315789469</v>
      </c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s="8" customFormat="1" ht="15" customHeight="1" x14ac:dyDescent="0.35">
      <c r="A39" s="3" t="s">
        <v>46</v>
      </c>
      <c r="B39" s="24">
        <f ca="1">INDIRECT("'("&amp;$A$4&amp;")'!b39")</f>
        <v>1</v>
      </c>
      <c r="C39" s="24">
        <f ca="1">INDIRECT("'("&amp;$A$4&amp;")'!c39")</f>
        <v>0</v>
      </c>
      <c r="D39" s="24">
        <f ca="1">INDIRECT("'("&amp;$A$4&amp;")'!d39")</f>
        <v>0</v>
      </c>
      <c r="E39" s="24">
        <f ca="1">INDIRECT("'("&amp;$A$4&amp;")'!e39")</f>
        <v>0</v>
      </c>
      <c r="F39" s="24">
        <f ca="1">INDIRECT("'("&amp;$A$4&amp;")'!f39")</f>
        <v>0</v>
      </c>
      <c r="G39" s="24">
        <f ca="1">INDIRECT("'("&amp;$A$4&amp;")'!g39")</f>
        <v>0</v>
      </c>
      <c r="H39" s="46">
        <f t="shared" ca="1" si="19"/>
        <v>0</v>
      </c>
      <c r="I39" s="46">
        <f t="shared" ca="1" si="20"/>
        <v>0</v>
      </c>
      <c r="J39" s="24"/>
      <c r="K39" s="24">
        <f ca="1">INDIRECT("'("&amp;$A$4&amp;")'!k39")</f>
        <v>18</v>
      </c>
      <c r="L39" s="24">
        <f ca="1">INDIRECT("'("&amp;$A$4&amp;")'!l39")</f>
        <v>0</v>
      </c>
      <c r="M39" s="24">
        <f ca="1">INDIRECT("'("&amp;$A$4&amp;")'!m39")</f>
        <v>0</v>
      </c>
      <c r="N39" s="24">
        <f ca="1">INDIRECT("'("&amp;$A$4&amp;")'!n39")</f>
        <v>0</v>
      </c>
      <c r="O39" s="24">
        <f ca="1">INDIRECT("'("&amp;$A$4&amp;")'!o39")</f>
        <v>0</v>
      </c>
      <c r="P39" s="24">
        <f ca="1">INDIRECT("'("&amp;$A$4&amp;")'!p39")</f>
        <v>0</v>
      </c>
      <c r="Q39" s="46">
        <f t="shared" ca="1" si="26"/>
        <v>0</v>
      </c>
      <c r="R39" s="46">
        <f t="shared" ca="1" si="27"/>
        <v>0</v>
      </c>
      <c r="S39" s="24"/>
      <c r="T39" s="22">
        <f t="shared" ca="1" si="28"/>
        <v>19</v>
      </c>
      <c r="U39" s="22">
        <f t="shared" ca="1" si="29"/>
        <v>0</v>
      </c>
      <c r="V39" s="22">
        <f t="shared" ca="1" si="30"/>
        <v>0</v>
      </c>
      <c r="W39" s="22">
        <f t="shared" ca="1" si="31"/>
        <v>0</v>
      </c>
      <c r="X39" s="22">
        <f t="shared" ca="1" si="32"/>
        <v>0</v>
      </c>
      <c r="Y39" s="22">
        <f t="shared" ca="1" si="33"/>
        <v>0</v>
      </c>
      <c r="Z39" s="46">
        <f t="shared" ca="1" si="34"/>
        <v>0</v>
      </c>
      <c r="AA39" s="46">
        <f t="shared" ca="1" si="35"/>
        <v>0</v>
      </c>
      <c r="AB39" s="24"/>
      <c r="AC39" s="24">
        <f ca="1">INDIRECT("'("&amp;$A$4&amp;")'!ac39")</f>
        <v>1</v>
      </c>
      <c r="AD39" s="24">
        <f ca="1">INDIRECT("'("&amp;$A$4&amp;")'!ad39")</f>
        <v>0</v>
      </c>
      <c r="AE39" s="24">
        <f ca="1">INDIRECT("'("&amp;$A$4&amp;")'!ae39")</f>
        <v>0</v>
      </c>
      <c r="AF39" s="24">
        <f ca="1">INDIRECT("'("&amp;$A$4&amp;")'!af39")</f>
        <v>0</v>
      </c>
      <c r="AG39" s="24">
        <f ca="1">INDIRECT("'("&amp;$A$4&amp;")'!ag39")</f>
        <v>0</v>
      </c>
      <c r="AH39" s="24">
        <f ca="1">INDIRECT("'("&amp;$A$4&amp;")'!ah39")</f>
        <v>0</v>
      </c>
      <c r="AI39" s="46">
        <f t="shared" ca="1" si="41"/>
        <v>0</v>
      </c>
      <c r="AJ39" s="46">
        <f t="shared" ca="1" si="42"/>
        <v>0</v>
      </c>
      <c r="AK39" s="24"/>
      <c r="AL39" s="24">
        <f ca="1">INDIRECT("'("&amp;$A$4&amp;")'!al39")</f>
        <v>1</v>
      </c>
      <c r="AM39" s="24">
        <f ca="1">INDIRECT("'("&amp;$A$4&amp;")'!am39")</f>
        <v>0</v>
      </c>
      <c r="AN39" s="24">
        <f ca="1">INDIRECT("'("&amp;$A$4&amp;")'!an39")</f>
        <v>0</v>
      </c>
      <c r="AO39" s="24">
        <f ca="1">INDIRECT("'("&amp;$A$4&amp;")'!ao39")</f>
        <v>0</v>
      </c>
      <c r="AP39" s="24">
        <f ca="1">INDIRECT("'("&amp;$A$4&amp;")'!ag39")</f>
        <v>0</v>
      </c>
      <c r="AQ39" s="24">
        <f ca="1">INDIRECT("'("&amp;$A$4&amp;")'!aq39")</f>
        <v>3</v>
      </c>
      <c r="AR39" s="46">
        <f t="shared" ca="1" si="48"/>
        <v>0</v>
      </c>
      <c r="AS39" s="46">
        <f t="shared" ca="1" si="49"/>
        <v>0.75</v>
      </c>
      <c r="AT39" s="24"/>
      <c r="AU39" s="22">
        <f t="shared" ca="1" si="50"/>
        <v>21</v>
      </c>
      <c r="AV39" s="22">
        <f t="shared" ca="1" si="51"/>
        <v>0</v>
      </c>
      <c r="AW39" s="22">
        <f t="shared" ca="1" si="52"/>
        <v>0</v>
      </c>
      <c r="AX39" s="22">
        <f t="shared" ca="1" si="53"/>
        <v>0</v>
      </c>
      <c r="AY39" s="22">
        <f t="shared" ca="1" si="54"/>
        <v>0</v>
      </c>
      <c r="AZ39" s="22">
        <f t="shared" ca="1" si="55"/>
        <v>3</v>
      </c>
      <c r="BA39" s="46">
        <f t="shared" ca="1" si="56"/>
        <v>0</v>
      </c>
      <c r="BB39" s="46">
        <f t="shared" ca="1" si="57"/>
        <v>0.125</v>
      </c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s="8" customFormat="1" ht="15" customHeight="1" x14ac:dyDescent="0.35">
      <c r="A40" s="2" t="s">
        <v>47</v>
      </c>
      <c r="B40" s="24">
        <f ca="1">INDIRECT("'("&amp;$A$4&amp;")'!b40")</f>
        <v>13</v>
      </c>
      <c r="C40" s="24">
        <f ca="1">INDIRECT("'("&amp;$A$4&amp;")'!c40")</f>
        <v>0</v>
      </c>
      <c r="D40" s="24">
        <f ca="1">INDIRECT("'("&amp;$A$4&amp;")'!d40")</f>
        <v>0</v>
      </c>
      <c r="E40" s="24">
        <f ca="1">INDIRECT("'("&amp;$A$4&amp;")'!e40")</f>
        <v>0</v>
      </c>
      <c r="F40" s="24">
        <f ca="1">INDIRECT("'("&amp;$A$4&amp;")'!f40")</f>
        <v>0</v>
      </c>
      <c r="G40" s="24">
        <f ca="1">INDIRECT("'("&amp;$A$4&amp;")'!g40")</f>
        <v>0</v>
      </c>
      <c r="H40" s="46">
        <f t="shared" ca="1" si="19"/>
        <v>0</v>
      </c>
      <c r="I40" s="46">
        <f t="shared" ca="1" si="20"/>
        <v>0</v>
      </c>
      <c r="J40" s="24"/>
      <c r="K40" s="24">
        <f ca="1">INDIRECT("'("&amp;$A$4&amp;")'!k40")</f>
        <v>33</v>
      </c>
      <c r="L40" s="24">
        <f ca="1">INDIRECT("'("&amp;$A$4&amp;")'!l40")</f>
        <v>0</v>
      </c>
      <c r="M40" s="24">
        <f ca="1">INDIRECT("'("&amp;$A$4&amp;")'!m40")</f>
        <v>0</v>
      </c>
      <c r="N40" s="24">
        <f ca="1">INDIRECT("'("&amp;$A$4&amp;")'!n40")</f>
        <v>0</v>
      </c>
      <c r="O40" s="24">
        <f ca="1">INDIRECT("'("&amp;$A$4&amp;")'!o40")</f>
        <v>0</v>
      </c>
      <c r="P40" s="24">
        <f ca="1">INDIRECT("'("&amp;$A$4&amp;")'!p40")</f>
        <v>3</v>
      </c>
      <c r="Q40" s="46">
        <f t="shared" ca="1" si="26"/>
        <v>0</v>
      </c>
      <c r="R40" s="46">
        <f t="shared" ca="1" si="27"/>
        <v>8.3333333333333329E-2</v>
      </c>
      <c r="S40" s="24"/>
      <c r="T40" s="22">
        <f t="shared" ca="1" si="28"/>
        <v>46</v>
      </c>
      <c r="U40" s="22">
        <f t="shared" ca="1" si="29"/>
        <v>0</v>
      </c>
      <c r="V40" s="22">
        <f t="shared" ca="1" si="30"/>
        <v>0</v>
      </c>
      <c r="W40" s="22">
        <f t="shared" ca="1" si="31"/>
        <v>0</v>
      </c>
      <c r="X40" s="22">
        <f t="shared" ca="1" si="32"/>
        <v>0</v>
      </c>
      <c r="Y40" s="22">
        <f t="shared" ca="1" si="33"/>
        <v>3</v>
      </c>
      <c r="Z40" s="46">
        <f t="shared" ca="1" si="34"/>
        <v>0</v>
      </c>
      <c r="AA40" s="46">
        <f t="shared" ca="1" si="35"/>
        <v>6.1224489795918366E-2</v>
      </c>
      <c r="AB40" s="24"/>
      <c r="AC40" s="24">
        <f ca="1">INDIRECT("'("&amp;$A$4&amp;")'!ac40")</f>
        <v>1</v>
      </c>
      <c r="AD40" s="24">
        <f ca="1">INDIRECT("'("&amp;$A$4&amp;")'!ad40")</f>
        <v>0</v>
      </c>
      <c r="AE40" s="24">
        <f ca="1">INDIRECT("'("&amp;$A$4&amp;")'!ae40")</f>
        <v>0</v>
      </c>
      <c r="AF40" s="24">
        <f ca="1">INDIRECT("'("&amp;$A$4&amp;")'!af40")</f>
        <v>0</v>
      </c>
      <c r="AG40" s="24">
        <f ca="1">INDIRECT("'("&amp;$A$4&amp;")'!ag40")</f>
        <v>0</v>
      </c>
      <c r="AH40" s="24">
        <f ca="1">INDIRECT("'("&amp;$A$4&amp;")'!ah40")</f>
        <v>0</v>
      </c>
      <c r="AI40" s="46">
        <f t="shared" ca="1" si="41"/>
        <v>0</v>
      </c>
      <c r="AJ40" s="46">
        <f t="shared" ca="1" si="42"/>
        <v>0</v>
      </c>
      <c r="AK40" s="24"/>
      <c r="AL40" s="24">
        <f ca="1">INDIRECT("'("&amp;$A$4&amp;")'!al40")</f>
        <v>10</v>
      </c>
      <c r="AM40" s="24">
        <f ca="1">INDIRECT("'("&amp;$A$4&amp;")'!am40")</f>
        <v>0</v>
      </c>
      <c r="AN40" s="24">
        <f ca="1">INDIRECT("'("&amp;$A$4&amp;")'!an40")</f>
        <v>0</v>
      </c>
      <c r="AO40" s="24">
        <f ca="1">INDIRECT("'("&amp;$A$4&amp;")'!ao40")</f>
        <v>2</v>
      </c>
      <c r="AP40" s="24">
        <f ca="1">INDIRECT("'("&amp;$A$4&amp;")'!ag40")</f>
        <v>0</v>
      </c>
      <c r="AQ40" s="24">
        <f ca="1">INDIRECT("'("&amp;$A$4&amp;")'!aq40")</f>
        <v>7</v>
      </c>
      <c r="AR40" s="46">
        <f t="shared" ca="1" si="48"/>
        <v>0.16666666666666666</v>
      </c>
      <c r="AS40" s="46">
        <f t="shared" ca="1" si="49"/>
        <v>0.36842105263157893</v>
      </c>
      <c r="AT40" s="24"/>
      <c r="AU40" s="22">
        <f t="shared" ca="1" si="50"/>
        <v>57</v>
      </c>
      <c r="AV40" s="22">
        <f t="shared" ca="1" si="51"/>
        <v>0</v>
      </c>
      <c r="AW40" s="22">
        <f t="shared" ca="1" si="52"/>
        <v>0</v>
      </c>
      <c r="AX40" s="22">
        <f t="shared" ca="1" si="53"/>
        <v>2</v>
      </c>
      <c r="AY40" s="22">
        <f t="shared" ca="1" si="54"/>
        <v>0</v>
      </c>
      <c r="AZ40" s="22">
        <f t="shared" ca="1" si="55"/>
        <v>10</v>
      </c>
      <c r="BA40" s="46">
        <f t="shared" ca="1" si="56"/>
        <v>3.3898305084745763E-2</v>
      </c>
      <c r="BB40" s="46">
        <f t="shared" ca="1" si="57"/>
        <v>0.14492753623188406</v>
      </c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s="8" customFormat="1" ht="15" customHeight="1" x14ac:dyDescent="0.35">
      <c r="A41" s="2" t="s">
        <v>48</v>
      </c>
      <c r="B41" s="24">
        <f ca="1">INDIRECT("'("&amp;$A$4&amp;")'!b41")</f>
        <v>0</v>
      </c>
      <c r="C41" s="24">
        <f ca="1">INDIRECT("'("&amp;$A$4&amp;")'!c41")</f>
        <v>0</v>
      </c>
      <c r="D41" s="24">
        <f ca="1">INDIRECT("'("&amp;$A$4&amp;")'!d41")</f>
        <v>0</v>
      </c>
      <c r="E41" s="24">
        <f ca="1">INDIRECT("'("&amp;$A$4&amp;")'!e41")</f>
        <v>0</v>
      </c>
      <c r="F41" s="24">
        <f ca="1">INDIRECT("'("&amp;$A$4&amp;")'!f41")</f>
        <v>0</v>
      </c>
      <c r="G41" s="24">
        <f ca="1">INDIRECT("'("&amp;$A$4&amp;")'!g41")</f>
        <v>0</v>
      </c>
      <c r="H41" s="46" t="str">
        <f t="shared" ca="1" si="19"/>
        <v>-</v>
      </c>
      <c r="I41" s="46" t="str">
        <f t="shared" ca="1" si="20"/>
        <v>-</v>
      </c>
      <c r="J41" s="24"/>
      <c r="K41" s="24">
        <f ca="1">INDIRECT("'("&amp;$A$4&amp;")'!k41")</f>
        <v>66</v>
      </c>
      <c r="L41" s="24">
        <f ca="1">INDIRECT("'("&amp;$A$4&amp;")'!l41")</f>
        <v>0</v>
      </c>
      <c r="M41" s="24">
        <f ca="1">INDIRECT("'("&amp;$A$4&amp;")'!m41")</f>
        <v>0</v>
      </c>
      <c r="N41" s="24">
        <f ca="1">INDIRECT("'("&amp;$A$4&amp;")'!n41")</f>
        <v>0</v>
      </c>
      <c r="O41" s="24">
        <f ca="1">INDIRECT("'("&amp;$A$4&amp;")'!o41")</f>
        <v>1</v>
      </c>
      <c r="P41" s="24">
        <f ca="1">INDIRECT("'("&amp;$A$4&amp;")'!p41")</f>
        <v>7</v>
      </c>
      <c r="Q41" s="46">
        <f t="shared" ca="1" si="26"/>
        <v>1.4925373134328358E-2</v>
      </c>
      <c r="R41" s="46">
        <f t="shared" ca="1" si="27"/>
        <v>9.45945945945946E-2</v>
      </c>
      <c r="S41" s="24"/>
      <c r="T41" s="22">
        <f t="shared" ca="1" si="28"/>
        <v>66</v>
      </c>
      <c r="U41" s="22">
        <f t="shared" ca="1" si="29"/>
        <v>0</v>
      </c>
      <c r="V41" s="22">
        <f t="shared" ca="1" si="30"/>
        <v>0</v>
      </c>
      <c r="W41" s="22">
        <f t="shared" ca="1" si="31"/>
        <v>0</v>
      </c>
      <c r="X41" s="22">
        <f t="shared" ca="1" si="32"/>
        <v>1</v>
      </c>
      <c r="Y41" s="22">
        <f t="shared" ca="1" si="33"/>
        <v>7</v>
      </c>
      <c r="Z41" s="46">
        <f t="shared" ca="1" si="34"/>
        <v>1.4925373134328358E-2</v>
      </c>
      <c r="AA41" s="46">
        <f t="shared" ca="1" si="35"/>
        <v>9.45945945945946E-2</v>
      </c>
      <c r="AB41" s="24"/>
      <c r="AC41" s="24">
        <f ca="1">INDIRECT("'("&amp;$A$4&amp;")'!ac41")</f>
        <v>0</v>
      </c>
      <c r="AD41" s="24">
        <f ca="1">INDIRECT("'("&amp;$A$4&amp;")'!ad41")</f>
        <v>0</v>
      </c>
      <c r="AE41" s="24">
        <f ca="1">INDIRECT("'("&amp;$A$4&amp;")'!ae41")</f>
        <v>0</v>
      </c>
      <c r="AF41" s="24">
        <f ca="1">INDIRECT("'("&amp;$A$4&amp;")'!af41")</f>
        <v>0</v>
      </c>
      <c r="AG41" s="24">
        <f ca="1">INDIRECT("'("&amp;$A$4&amp;")'!ag41")</f>
        <v>0</v>
      </c>
      <c r="AH41" s="24">
        <f ca="1">INDIRECT("'("&amp;$A$4&amp;")'!ah41")</f>
        <v>0</v>
      </c>
      <c r="AI41" s="46" t="str">
        <f t="shared" ca="1" si="41"/>
        <v>-</v>
      </c>
      <c r="AJ41" s="46" t="str">
        <f t="shared" ca="1" si="42"/>
        <v>-</v>
      </c>
      <c r="AK41" s="24"/>
      <c r="AL41" s="24">
        <f ca="1">INDIRECT("'("&amp;$A$4&amp;")'!al41")</f>
        <v>4</v>
      </c>
      <c r="AM41" s="24">
        <f ca="1">INDIRECT("'("&amp;$A$4&amp;")'!am41")</f>
        <v>0</v>
      </c>
      <c r="AN41" s="24">
        <f ca="1">INDIRECT("'("&amp;$A$4&amp;")'!an41")</f>
        <v>0</v>
      </c>
      <c r="AO41" s="24">
        <f ca="1">INDIRECT("'("&amp;$A$4&amp;")'!ao41")</f>
        <v>0</v>
      </c>
      <c r="AP41" s="24">
        <f ca="1">INDIRECT("'("&amp;$A$4&amp;")'!ag41")</f>
        <v>0</v>
      </c>
      <c r="AQ41" s="24">
        <f ca="1">INDIRECT("'("&amp;$A$4&amp;")'!aq41")</f>
        <v>0</v>
      </c>
      <c r="AR41" s="46">
        <f t="shared" ca="1" si="48"/>
        <v>0</v>
      </c>
      <c r="AS41" s="46">
        <f t="shared" ca="1" si="49"/>
        <v>0</v>
      </c>
      <c r="AT41" s="24"/>
      <c r="AU41" s="22">
        <f t="shared" ca="1" si="50"/>
        <v>70</v>
      </c>
      <c r="AV41" s="22">
        <f t="shared" ca="1" si="51"/>
        <v>0</v>
      </c>
      <c r="AW41" s="22">
        <f t="shared" ca="1" si="52"/>
        <v>0</v>
      </c>
      <c r="AX41" s="22">
        <f t="shared" ca="1" si="53"/>
        <v>0</v>
      </c>
      <c r="AY41" s="22">
        <f t="shared" ca="1" si="54"/>
        <v>1</v>
      </c>
      <c r="AZ41" s="22">
        <f t="shared" ca="1" si="55"/>
        <v>7</v>
      </c>
      <c r="BA41" s="46">
        <f t="shared" ca="1" si="56"/>
        <v>1.4084507042253521E-2</v>
      </c>
      <c r="BB41" s="46">
        <f t="shared" ca="1" si="57"/>
        <v>8.9743589743589744E-2</v>
      </c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s="8" customFormat="1" ht="15" customHeight="1" x14ac:dyDescent="0.35">
      <c r="A42" s="2" t="s">
        <v>49</v>
      </c>
      <c r="B42" s="24">
        <f ca="1">INDIRECT("'("&amp;$A$4&amp;")'!b42")</f>
        <v>5</v>
      </c>
      <c r="C42" s="24">
        <f ca="1">INDIRECT("'("&amp;$A$4&amp;")'!c42")</f>
        <v>0</v>
      </c>
      <c r="D42" s="24">
        <f ca="1">INDIRECT("'("&amp;$A$4&amp;")'!d42")</f>
        <v>0</v>
      </c>
      <c r="E42" s="24">
        <f ca="1">INDIRECT("'("&amp;$A$4&amp;")'!e42")</f>
        <v>0</v>
      </c>
      <c r="F42" s="24">
        <f ca="1">INDIRECT("'("&amp;$A$4&amp;")'!f42")</f>
        <v>0</v>
      </c>
      <c r="G42" s="24">
        <f ca="1">INDIRECT("'("&amp;$A$4&amp;")'!g42")</f>
        <v>0</v>
      </c>
      <c r="H42" s="46">
        <f t="shared" ca="1" si="19"/>
        <v>0</v>
      </c>
      <c r="I42" s="46">
        <f t="shared" ca="1" si="20"/>
        <v>0</v>
      </c>
      <c r="J42" s="24"/>
      <c r="K42" s="24">
        <f ca="1">INDIRECT("'("&amp;$A$4&amp;")'!k42")</f>
        <v>23</v>
      </c>
      <c r="L42" s="24">
        <f ca="1">INDIRECT("'("&amp;$A$4&amp;")'!l42")</f>
        <v>0</v>
      </c>
      <c r="M42" s="24">
        <f ca="1">INDIRECT("'("&amp;$A$4&amp;")'!m42")</f>
        <v>0</v>
      </c>
      <c r="N42" s="24">
        <f ca="1">INDIRECT("'("&amp;$A$4&amp;")'!n42")</f>
        <v>0</v>
      </c>
      <c r="O42" s="24">
        <f ca="1">INDIRECT("'("&amp;$A$4&amp;")'!o42")</f>
        <v>0</v>
      </c>
      <c r="P42" s="24">
        <f ca="1">INDIRECT("'("&amp;$A$4&amp;")'!p42")</f>
        <v>3</v>
      </c>
      <c r="Q42" s="46">
        <f t="shared" ca="1" si="26"/>
        <v>0</v>
      </c>
      <c r="R42" s="46">
        <f t="shared" ca="1" si="27"/>
        <v>0.11538461538461539</v>
      </c>
      <c r="S42" s="24"/>
      <c r="T42" s="22">
        <f t="shared" ca="1" si="28"/>
        <v>28</v>
      </c>
      <c r="U42" s="22">
        <f t="shared" ca="1" si="29"/>
        <v>0</v>
      </c>
      <c r="V42" s="22">
        <f t="shared" ca="1" si="30"/>
        <v>0</v>
      </c>
      <c r="W42" s="22">
        <f t="shared" ca="1" si="31"/>
        <v>0</v>
      </c>
      <c r="X42" s="22">
        <f t="shared" ca="1" si="32"/>
        <v>0</v>
      </c>
      <c r="Y42" s="22">
        <f t="shared" ca="1" si="33"/>
        <v>3</v>
      </c>
      <c r="Z42" s="46">
        <f t="shared" ca="1" si="34"/>
        <v>0</v>
      </c>
      <c r="AA42" s="46">
        <f t="shared" ca="1" si="35"/>
        <v>9.6774193548387094E-2</v>
      </c>
      <c r="AB42" s="24"/>
      <c r="AC42" s="24">
        <f ca="1">INDIRECT("'("&amp;$A$4&amp;")'!ac42")</f>
        <v>0</v>
      </c>
      <c r="AD42" s="24">
        <f ca="1">INDIRECT("'("&amp;$A$4&amp;")'!ad42")</f>
        <v>0</v>
      </c>
      <c r="AE42" s="24">
        <f ca="1">INDIRECT("'("&amp;$A$4&amp;")'!ae42")</f>
        <v>0</v>
      </c>
      <c r="AF42" s="24">
        <f ca="1">INDIRECT("'("&amp;$A$4&amp;")'!af42")</f>
        <v>0</v>
      </c>
      <c r="AG42" s="24">
        <f ca="1">INDIRECT("'("&amp;$A$4&amp;")'!ag42")</f>
        <v>0</v>
      </c>
      <c r="AH42" s="24">
        <f ca="1">INDIRECT("'("&amp;$A$4&amp;")'!ah42")</f>
        <v>1</v>
      </c>
      <c r="AI42" s="46" t="str">
        <f t="shared" ca="1" si="41"/>
        <v>-</v>
      </c>
      <c r="AJ42" s="46">
        <f t="shared" ca="1" si="42"/>
        <v>1</v>
      </c>
      <c r="AK42" s="24"/>
      <c r="AL42" s="24">
        <f ca="1">INDIRECT("'("&amp;$A$4&amp;")'!al42")</f>
        <v>7</v>
      </c>
      <c r="AM42" s="24">
        <f ca="1">INDIRECT("'("&amp;$A$4&amp;")'!am42")</f>
        <v>0</v>
      </c>
      <c r="AN42" s="24">
        <f ca="1">INDIRECT("'("&amp;$A$4&amp;")'!an42")</f>
        <v>0</v>
      </c>
      <c r="AO42" s="24">
        <f ca="1">INDIRECT("'("&amp;$A$4&amp;")'!ao42")</f>
        <v>0</v>
      </c>
      <c r="AP42" s="24">
        <f ca="1">INDIRECT("'("&amp;$A$4&amp;")'!ag42")</f>
        <v>0</v>
      </c>
      <c r="AQ42" s="24">
        <f ca="1">INDIRECT("'("&amp;$A$4&amp;")'!aq42")</f>
        <v>1</v>
      </c>
      <c r="AR42" s="46">
        <f t="shared" ca="1" si="48"/>
        <v>0</v>
      </c>
      <c r="AS42" s="46">
        <f t="shared" ca="1" si="49"/>
        <v>0.125</v>
      </c>
      <c r="AT42" s="24"/>
      <c r="AU42" s="22">
        <f t="shared" ca="1" si="50"/>
        <v>35</v>
      </c>
      <c r="AV42" s="22">
        <f t="shared" ca="1" si="51"/>
        <v>0</v>
      </c>
      <c r="AW42" s="22">
        <f t="shared" ca="1" si="52"/>
        <v>0</v>
      </c>
      <c r="AX42" s="22">
        <f t="shared" ca="1" si="53"/>
        <v>0</v>
      </c>
      <c r="AY42" s="22">
        <f t="shared" ca="1" si="54"/>
        <v>0</v>
      </c>
      <c r="AZ42" s="22">
        <f t="shared" ca="1" si="55"/>
        <v>5</v>
      </c>
      <c r="BA42" s="46">
        <f t="shared" ca="1" si="56"/>
        <v>0</v>
      </c>
      <c r="BB42" s="46">
        <f t="shared" ca="1" si="57"/>
        <v>0.125</v>
      </c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s="8" customFormat="1" ht="15" customHeight="1" x14ac:dyDescent="0.35">
      <c r="A43" s="2" t="s">
        <v>50</v>
      </c>
      <c r="B43" s="24">
        <f ca="1">INDIRECT("'("&amp;$A$4&amp;")'!b43")</f>
        <v>8</v>
      </c>
      <c r="C43" s="24">
        <f ca="1">INDIRECT("'("&amp;$A$4&amp;")'!c43")</f>
        <v>0</v>
      </c>
      <c r="D43" s="24">
        <f ca="1">INDIRECT("'("&amp;$A$4&amp;")'!d43")</f>
        <v>0</v>
      </c>
      <c r="E43" s="24">
        <f ca="1">INDIRECT("'("&amp;$A$4&amp;")'!e43")</f>
        <v>0</v>
      </c>
      <c r="F43" s="24">
        <f ca="1">INDIRECT("'("&amp;$A$4&amp;")'!f43")</f>
        <v>0</v>
      </c>
      <c r="G43" s="24">
        <f ca="1">INDIRECT("'("&amp;$A$4&amp;")'!g43")</f>
        <v>0</v>
      </c>
      <c r="H43" s="46">
        <f t="shared" ca="1" si="19"/>
        <v>0</v>
      </c>
      <c r="I43" s="46">
        <f t="shared" ca="1" si="20"/>
        <v>0</v>
      </c>
      <c r="J43" s="24"/>
      <c r="K43" s="24">
        <f ca="1">INDIRECT("'("&amp;$A$4&amp;")'!k43")</f>
        <v>16</v>
      </c>
      <c r="L43" s="24">
        <f ca="1">INDIRECT("'("&amp;$A$4&amp;")'!l43")</f>
        <v>0</v>
      </c>
      <c r="M43" s="24">
        <f ca="1">INDIRECT("'("&amp;$A$4&amp;")'!m43")</f>
        <v>0</v>
      </c>
      <c r="N43" s="24">
        <f ca="1">INDIRECT("'("&amp;$A$4&amp;")'!n43")</f>
        <v>0</v>
      </c>
      <c r="O43" s="24">
        <f ca="1">INDIRECT("'("&amp;$A$4&amp;")'!o43")</f>
        <v>0</v>
      </c>
      <c r="P43" s="24">
        <f ca="1">INDIRECT("'("&amp;$A$4&amp;")'!p43")</f>
        <v>0</v>
      </c>
      <c r="Q43" s="46">
        <f t="shared" ca="1" si="26"/>
        <v>0</v>
      </c>
      <c r="R43" s="46">
        <f t="shared" ca="1" si="27"/>
        <v>0</v>
      </c>
      <c r="S43" s="24"/>
      <c r="T43" s="22">
        <f t="shared" ca="1" si="28"/>
        <v>24</v>
      </c>
      <c r="U43" s="22">
        <f t="shared" ca="1" si="29"/>
        <v>0</v>
      </c>
      <c r="V43" s="22">
        <f t="shared" ca="1" si="30"/>
        <v>0</v>
      </c>
      <c r="W43" s="22">
        <f t="shared" ca="1" si="31"/>
        <v>0</v>
      </c>
      <c r="X43" s="22">
        <f t="shared" ca="1" si="32"/>
        <v>0</v>
      </c>
      <c r="Y43" s="22">
        <f t="shared" ca="1" si="33"/>
        <v>0</v>
      </c>
      <c r="Z43" s="46">
        <f t="shared" ca="1" si="34"/>
        <v>0</v>
      </c>
      <c r="AA43" s="46">
        <f t="shared" ca="1" si="35"/>
        <v>0</v>
      </c>
      <c r="AB43" s="24"/>
      <c r="AC43" s="24">
        <f ca="1">INDIRECT("'("&amp;$A$4&amp;")'!ac43")</f>
        <v>0</v>
      </c>
      <c r="AD43" s="24">
        <f ca="1">INDIRECT("'("&amp;$A$4&amp;")'!ad43")</f>
        <v>0</v>
      </c>
      <c r="AE43" s="24">
        <f ca="1">INDIRECT("'("&amp;$A$4&amp;")'!ae43")</f>
        <v>0</v>
      </c>
      <c r="AF43" s="24">
        <f ca="1">INDIRECT("'("&amp;$A$4&amp;")'!af43")</f>
        <v>0</v>
      </c>
      <c r="AG43" s="24">
        <f ca="1">INDIRECT("'("&amp;$A$4&amp;")'!ag43")</f>
        <v>0</v>
      </c>
      <c r="AH43" s="24">
        <f ca="1">INDIRECT("'("&amp;$A$4&amp;")'!ah43")</f>
        <v>0</v>
      </c>
      <c r="AI43" s="46" t="str">
        <f t="shared" ca="1" si="41"/>
        <v>-</v>
      </c>
      <c r="AJ43" s="46" t="str">
        <f t="shared" ca="1" si="42"/>
        <v>-</v>
      </c>
      <c r="AK43" s="24"/>
      <c r="AL43" s="24">
        <f ca="1">INDIRECT("'("&amp;$A$4&amp;")'!al43")</f>
        <v>10</v>
      </c>
      <c r="AM43" s="24">
        <f ca="1">INDIRECT("'("&amp;$A$4&amp;")'!am43")</f>
        <v>0</v>
      </c>
      <c r="AN43" s="24">
        <f ca="1">INDIRECT("'("&amp;$A$4&amp;")'!an43")</f>
        <v>0</v>
      </c>
      <c r="AO43" s="24">
        <f ca="1">INDIRECT("'("&amp;$A$4&amp;")'!ao43")</f>
        <v>0</v>
      </c>
      <c r="AP43" s="24">
        <f ca="1">INDIRECT("'("&amp;$A$4&amp;")'!ag43")</f>
        <v>0</v>
      </c>
      <c r="AQ43" s="24">
        <f ca="1">INDIRECT("'("&amp;$A$4&amp;")'!aq43")</f>
        <v>0</v>
      </c>
      <c r="AR43" s="46">
        <f t="shared" ca="1" si="48"/>
        <v>0</v>
      </c>
      <c r="AS43" s="46">
        <f t="shared" ca="1" si="49"/>
        <v>0</v>
      </c>
      <c r="AT43" s="24"/>
      <c r="AU43" s="22">
        <f t="shared" ca="1" si="50"/>
        <v>34</v>
      </c>
      <c r="AV43" s="22">
        <f t="shared" ca="1" si="51"/>
        <v>0</v>
      </c>
      <c r="AW43" s="22">
        <f t="shared" ca="1" si="52"/>
        <v>0</v>
      </c>
      <c r="AX43" s="22">
        <f t="shared" ca="1" si="53"/>
        <v>0</v>
      </c>
      <c r="AY43" s="22">
        <f t="shared" ca="1" si="54"/>
        <v>0</v>
      </c>
      <c r="AZ43" s="22">
        <f t="shared" ca="1" si="55"/>
        <v>0</v>
      </c>
      <c r="BA43" s="46">
        <f t="shared" ca="1" si="56"/>
        <v>0</v>
      </c>
      <c r="BB43" s="46">
        <f t="shared" ca="1" si="57"/>
        <v>0</v>
      </c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 s="8" customFormat="1" ht="15" customHeight="1" x14ac:dyDescent="0.35">
      <c r="A44" s="2" t="s">
        <v>51</v>
      </c>
      <c r="B44" s="24">
        <f ca="1">INDIRECT("'("&amp;$A$4&amp;")'!b44")</f>
        <v>1</v>
      </c>
      <c r="C44" s="24">
        <f ca="1">INDIRECT("'("&amp;$A$4&amp;")'!c44")</f>
        <v>0</v>
      </c>
      <c r="D44" s="24">
        <f ca="1">INDIRECT("'("&amp;$A$4&amp;")'!d44")</f>
        <v>0</v>
      </c>
      <c r="E44" s="24">
        <f ca="1">INDIRECT("'("&amp;$A$4&amp;")'!e44")</f>
        <v>0</v>
      </c>
      <c r="F44" s="24">
        <f ca="1">INDIRECT("'("&amp;$A$4&amp;")'!f44")</f>
        <v>0</v>
      </c>
      <c r="G44" s="24">
        <f ca="1">INDIRECT("'("&amp;$A$4&amp;")'!g44")</f>
        <v>1</v>
      </c>
      <c r="H44" s="46">
        <f t="shared" ca="1" si="19"/>
        <v>0</v>
      </c>
      <c r="I44" s="46">
        <f t="shared" ca="1" si="20"/>
        <v>0.5</v>
      </c>
      <c r="J44" s="24"/>
      <c r="K44" s="24">
        <f ca="1">INDIRECT("'("&amp;$A$4&amp;")'!k44")</f>
        <v>2</v>
      </c>
      <c r="L44" s="24">
        <f ca="1">INDIRECT("'("&amp;$A$4&amp;")'!l44")</f>
        <v>0</v>
      </c>
      <c r="M44" s="24">
        <f ca="1">INDIRECT("'("&amp;$A$4&amp;")'!m44")</f>
        <v>0</v>
      </c>
      <c r="N44" s="24">
        <f ca="1">INDIRECT("'("&amp;$A$4&amp;")'!n44")</f>
        <v>0</v>
      </c>
      <c r="O44" s="24">
        <f ca="1">INDIRECT("'("&amp;$A$4&amp;")'!o44")</f>
        <v>0</v>
      </c>
      <c r="P44" s="24">
        <f ca="1">INDIRECT("'("&amp;$A$4&amp;")'!p44")</f>
        <v>47</v>
      </c>
      <c r="Q44" s="46">
        <f t="shared" ca="1" si="26"/>
        <v>0</v>
      </c>
      <c r="R44" s="46">
        <f t="shared" ca="1" si="27"/>
        <v>0.95918367346938771</v>
      </c>
      <c r="S44" s="24"/>
      <c r="T44" s="22">
        <f t="shared" ca="1" si="28"/>
        <v>3</v>
      </c>
      <c r="U44" s="22">
        <f t="shared" ca="1" si="29"/>
        <v>0</v>
      </c>
      <c r="V44" s="22">
        <f t="shared" ca="1" si="30"/>
        <v>0</v>
      </c>
      <c r="W44" s="22">
        <f t="shared" ca="1" si="31"/>
        <v>0</v>
      </c>
      <c r="X44" s="22">
        <f t="shared" ca="1" si="32"/>
        <v>0</v>
      </c>
      <c r="Y44" s="22">
        <f t="shared" ca="1" si="33"/>
        <v>48</v>
      </c>
      <c r="Z44" s="46">
        <f t="shared" ca="1" si="34"/>
        <v>0</v>
      </c>
      <c r="AA44" s="46">
        <f t="shared" ca="1" si="35"/>
        <v>0.94117647058823528</v>
      </c>
      <c r="AB44" s="24"/>
      <c r="AC44" s="24">
        <f ca="1">INDIRECT("'("&amp;$A$4&amp;")'!ac44")</f>
        <v>0</v>
      </c>
      <c r="AD44" s="24">
        <f ca="1">INDIRECT("'("&amp;$A$4&amp;")'!ad44")</f>
        <v>0</v>
      </c>
      <c r="AE44" s="24">
        <f ca="1">INDIRECT("'("&amp;$A$4&amp;")'!ae44")</f>
        <v>0</v>
      </c>
      <c r="AF44" s="24">
        <f ca="1">INDIRECT("'("&amp;$A$4&amp;")'!af44")</f>
        <v>0</v>
      </c>
      <c r="AG44" s="24">
        <f ca="1">INDIRECT("'("&amp;$A$4&amp;")'!ag44")</f>
        <v>0</v>
      </c>
      <c r="AH44" s="24">
        <f ca="1">INDIRECT("'("&amp;$A$4&amp;")'!ah44")</f>
        <v>0</v>
      </c>
      <c r="AI44" s="46" t="str">
        <f t="shared" ca="1" si="41"/>
        <v>-</v>
      </c>
      <c r="AJ44" s="46" t="str">
        <f t="shared" ca="1" si="42"/>
        <v>-</v>
      </c>
      <c r="AK44" s="24"/>
      <c r="AL44" s="24">
        <f ca="1">INDIRECT("'("&amp;$A$4&amp;")'!al44")</f>
        <v>5</v>
      </c>
      <c r="AM44" s="24">
        <f ca="1">INDIRECT("'("&amp;$A$4&amp;")'!am44")</f>
        <v>0</v>
      </c>
      <c r="AN44" s="24">
        <f ca="1">INDIRECT("'("&amp;$A$4&amp;")'!an44")</f>
        <v>0</v>
      </c>
      <c r="AO44" s="24">
        <f ca="1">INDIRECT("'("&amp;$A$4&amp;")'!ao44")</f>
        <v>0</v>
      </c>
      <c r="AP44" s="24">
        <f ca="1">INDIRECT("'("&amp;$A$4&amp;")'!ag44")</f>
        <v>0</v>
      </c>
      <c r="AQ44" s="24">
        <f ca="1">INDIRECT("'("&amp;$A$4&amp;")'!aq44")</f>
        <v>1</v>
      </c>
      <c r="AR44" s="46">
        <f t="shared" ca="1" si="48"/>
        <v>0</v>
      </c>
      <c r="AS44" s="46">
        <f t="shared" ca="1" si="49"/>
        <v>0.16666666666666666</v>
      </c>
      <c r="AT44" s="24"/>
      <c r="AU44" s="22">
        <f t="shared" ca="1" si="50"/>
        <v>8</v>
      </c>
      <c r="AV44" s="22">
        <f t="shared" ca="1" si="51"/>
        <v>0</v>
      </c>
      <c r="AW44" s="22">
        <f t="shared" ca="1" si="52"/>
        <v>0</v>
      </c>
      <c r="AX44" s="22">
        <f t="shared" ca="1" si="53"/>
        <v>0</v>
      </c>
      <c r="AY44" s="22">
        <f t="shared" ca="1" si="54"/>
        <v>0</v>
      </c>
      <c r="AZ44" s="22">
        <f t="shared" ca="1" si="55"/>
        <v>49</v>
      </c>
      <c r="BA44" s="46">
        <f t="shared" ca="1" si="56"/>
        <v>0</v>
      </c>
      <c r="BB44" s="46">
        <f t="shared" ca="1" si="57"/>
        <v>0.85964912280701755</v>
      </c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 s="8" customFormat="1" ht="15" customHeight="1" x14ac:dyDescent="0.35">
      <c r="A45" s="2" t="s">
        <v>52</v>
      </c>
      <c r="B45" s="24">
        <f ca="1">INDIRECT("'("&amp;$A$4&amp;")'!b45")</f>
        <v>5</v>
      </c>
      <c r="C45" s="24">
        <f ca="1">INDIRECT("'("&amp;$A$4&amp;")'!c45")</f>
        <v>0</v>
      </c>
      <c r="D45" s="24">
        <f ca="1">INDIRECT("'("&amp;$A$4&amp;")'!d45")</f>
        <v>0</v>
      </c>
      <c r="E45" s="24">
        <f ca="1">INDIRECT("'("&amp;$A$4&amp;")'!e45")</f>
        <v>0</v>
      </c>
      <c r="F45" s="24">
        <f ca="1">INDIRECT("'("&amp;$A$4&amp;")'!f45")</f>
        <v>0</v>
      </c>
      <c r="G45" s="24">
        <f ca="1">INDIRECT("'("&amp;$A$4&amp;")'!g45")</f>
        <v>3</v>
      </c>
      <c r="H45" s="46">
        <f t="shared" ca="1" si="19"/>
        <v>0</v>
      </c>
      <c r="I45" s="46">
        <f t="shared" ca="1" si="20"/>
        <v>0.375</v>
      </c>
      <c r="J45" s="24"/>
      <c r="K45" s="24">
        <f ca="1">INDIRECT("'("&amp;$A$4&amp;")'!k45")</f>
        <v>5</v>
      </c>
      <c r="L45" s="24">
        <f ca="1">INDIRECT("'("&amp;$A$4&amp;")'!l45")</f>
        <v>0</v>
      </c>
      <c r="M45" s="24">
        <f ca="1">INDIRECT("'("&amp;$A$4&amp;")'!m45")</f>
        <v>0</v>
      </c>
      <c r="N45" s="24">
        <f ca="1">INDIRECT("'("&amp;$A$4&amp;")'!n45")</f>
        <v>0</v>
      </c>
      <c r="O45" s="24">
        <f ca="1">INDIRECT("'("&amp;$A$4&amp;")'!o45")</f>
        <v>0</v>
      </c>
      <c r="P45" s="24">
        <f ca="1">INDIRECT("'("&amp;$A$4&amp;")'!p45")</f>
        <v>4</v>
      </c>
      <c r="Q45" s="46">
        <f t="shared" ca="1" si="26"/>
        <v>0</v>
      </c>
      <c r="R45" s="46">
        <f t="shared" ca="1" si="27"/>
        <v>0.44444444444444442</v>
      </c>
      <c r="S45" s="24"/>
      <c r="T45" s="22">
        <f t="shared" ca="1" si="28"/>
        <v>10</v>
      </c>
      <c r="U45" s="22">
        <f t="shared" ca="1" si="29"/>
        <v>0</v>
      </c>
      <c r="V45" s="22">
        <f t="shared" ca="1" si="30"/>
        <v>0</v>
      </c>
      <c r="W45" s="22">
        <f t="shared" ca="1" si="31"/>
        <v>0</v>
      </c>
      <c r="X45" s="22">
        <f t="shared" ca="1" si="32"/>
        <v>0</v>
      </c>
      <c r="Y45" s="22">
        <f t="shared" ca="1" si="33"/>
        <v>7</v>
      </c>
      <c r="Z45" s="46">
        <f t="shared" ca="1" si="34"/>
        <v>0</v>
      </c>
      <c r="AA45" s="46">
        <f t="shared" ca="1" si="35"/>
        <v>0.41176470588235292</v>
      </c>
      <c r="AB45" s="24"/>
      <c r="AC45" s="24">
        <f ca="1">INDIRECT("'("&amp;$A$4&amp;")'!ac45")</f>
        <v>1</v>
      </c>
      <c r="AD45" s="24">
        <f ca="1">INDIRECT("'("&amp;$A$4&amp;")'!ad45")</f>
        <v>0</v>
      </c>
      <c r="AE45" s="24">
        <f ca="1">INDIRECT("'("&amp;$A$4&amp;")'!ae45")</f>
        <v>0</v>
      </c>
      <c r="AF45" s="24">
        <f ca="1">INDIRECT("'("&amp;$A$4&amp;")'!af45")</f>
        <v>0</v>
      </c>
      <c r="AG45" s="24">
        <f ca="1">INDIRECT("'("&amp;$A$4&amp;")'!ag45")</f>
        <v>0</v>
      </c>
      <c r="AH45" s="24">
        <f ca="1">INDIRECT("'("&amp;$A$4&amp;")'!ah45")</f>
        <v>2</v>
      </c>
      <c r="AI45" s="46">
        <f t="shared" ca="1" si="41"/>
        <v>0</v>
      </c>
      <c r="AJ45" s="46">
        <f t="shared" ca="1" si="42"/>
        <v>0.66666666666666663</v>
      </c>
      <c r="AK45" s="24"/>
      <c r="AL45" s="24">
        <f ca="1">INDIRECT("'("&amp;$A$4&amp;")'!al45")</f>
        <v>1</v>
      </c>
      <c r="AM45" s="24">
        <f ca="1">INDIRECT("'("&amp;$A$4&amp;")'!am45")</f>
        <v>0</v>
      </c>
      <c r="AN45" s="24">
        <f ca="1">INDIRECT("'("&amp;$A$4&amp;")'!an45")</f>
        <v>0</v>
      </c>
      <c r="AO45" s="24">
        <f ca="1">INDIRECT("'("&amp;$A$4&amp;")'!ao45")</f>
        <v>0</v>
      </c>
      <c r="AP45" s="24">
        <f ca="1">INDIRECT("'("&amp;$A$4&amp;")'!ag45")</f>
        <v>0</v>
      </c>
      <c r="AQ45" s="24">
        <f ca="1">INDIRECT("'("&amp;$A$4&amp;")'!aq45")</f>
        <v>0</v>
      </c>
      <c r="AR45" s="46">
        <f t="shared" ca="1" si="48"/>
        <v>0</v>
      </c>
      <c r="AS45" s="46">
        <f t="shared" ca="1" si="49"/>
        <v>0</v>
      </c>
      <c r="AT45" s="24"/>
      <c r="AU45" s="22">
        <f t="shared" ca="1" si="50"/>
        <v>12</v>
      </c>
      <c r="AV45" s="22">
        <f t="shared" ca="1" si="51"/>
        <v>0</v>
      </c>
      <c r="AW45" s="22">
        <f t="shared" ca="1" si="52"/>
        <v>0</v>
      </c>
      <c r="AX45" s="22">
        <f t="shared" ca="1" si="53"/>
        <v>0</v>
      </c>
      <c r="AY45" s="22">
        <f t="shared" ca="1" si="54"/>
        <v>0</v>
      </c>
      <c r="AZ45" s="22">
        <f t="shared" ca="1" si="55"/>
        <v>9</v>
      </c>
      <c r="BA45" s="46">
        <f t="shared" ca="1" si="56"/>
        <v>0</v>
      </c>
      <c r="BB45" s="46">
        <f t="shared" ca="1" si="57"/>
        <v>0.42857142857142855</v>
      </c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 s="8" customFormat="1" ht="15" customHeight="1" x14ac:dyDescent="0.35">
      <c r="A46" s="2" t="s">
        <v>53</v>
      </c>
      <c r="B46" s="24">
        <f ca="1">INDIRECT("'("&amp;$A$4&amp;")'!b46")</f>
        <v>7</v>
      </c>
      <c r="C46" s="24">
        <f ca="1">INDIRECT("'("&amp;$A$4&amp;")'!c46")</f>
        <v>0</v>
      </c>
      <c r="D46" s="24">
        <f ca="1">INDIRECT("'("&amp;$A$4&amp;")'!d46")</f>
        <v>0</v>
      </c>
      <c r="E46" s="24">
        <f ca="1">INDIRECT("'("&amp;$A$4&amp;")'!e46")</f>
        <v>0</v>
      </c>
      <c r="F46" s="24">
        <f ca="1">INDIRECT("'("&amp;$A$4&amp;")'!f46")</f>
        <v>0</v>
      </c>
      <c r="G46" s="24">
        <f ca="1">INDIRECT("'("&amp;$A$4&amp;")'!g46")</f>
        <v>24</v>
      </c>
      <c r="H46" s="46">
        <f t="shared" ca="1" si="19"/>
        <v>0</v>
      </c>
      <c r="I46" s="46">
        <f t="shared" ca="1" si="20"/>
        <v>0.77419354838709675</v>
      </c>
      <c r="J46" s="24"/>
      <c r="K46" s="24">
        <f ca="1">INDIRECT("'("&amp;$A$4&amp;")'!k46")</f>
        <v>12</v>
      </c>
      <c r="L46" s="24">
        <f ca="1">INDIRECT("'("&amp;$A$4&amp;")'!l46")</f>
        <v>0</v>
      </c>
      <c r="M46" s="24">
        <f ca="1">INDIRECT("'("&amp;$A$4&amp;")'!m46")</f>
        <v>0</v>
      </c>
      <c r="N46" s="24">
        <f ca="1">INDIRECT("'("&amp;$A$4&amp;")'!n46")</f>
        <v>0</v>
      </c>
      <c r="O46" s="24">
        <f ca="1">INDIRECT("'("&amp;$A$4&amp;")'!o46")</f>
        <v>0</v>
      </c>
      <c r="P46" s="24">
        <f ca="1">INDIRECT("'("&amp;$A$4&amp;")'!p46")</f>
        <v>8</v>
      </c>
      <c r="Q46" s="46">
        <f t="shared" ca="1" si="26"/>
        <v>0</v>
      </c>
      <c r="R46" s="46">
        <f t="shared" ca="1" si="27"/>
        <v>0.4</v>
      </c>
      <c r="S46" s="24"/>
      <c r="T46" s="22">
        <f t="shared" ca="1" si="28"/>
        <v>19</v>
      </c>
      <c r="U46" s="22">
        <f t="shared" ca="1" si="29"/>
        <v>0</v>
      </c>
      <c r="V46" s="22">
        <f t="shared" ca="1" si="30"/>
        <v>0</v>
      </c>
      <c r="W46" s="22">
        <f t="shared" ca="1" si="31"/>
        <v>0</v>
      </c>
      <c r="X46" s="22">
        <f t="shared" ca="1" si="32"/>
        <v>0</v>
      </c>
      <c r="Y46" s="22">
        <f t="shared" ca="1" si="33"/>
        <v>32</v>
      </c>
      <c r="Z46" s="46">
        <f t="shared" ca="1" si="34"/>
        <v>0</v>
      </c>
      <c r="AA46" s="46">
        <f t="shared" ca="1" si="35"/>
        <v>0.62745098039215685</v>
      </c>
      <c r="AB46" s="24"/>
      <c r="AC46" s="24">
        <f ca="1">INDIRECT("'("&amp;$A$4&amp;")'!ac46")</f>
        <v>3</v>
      </c>
      <c r="AD46" s="24">
        <f ca="1">INDIRECT("'("&amp;$A$4&amp;")'!ad46")</f>
        <v>0</v>
      </c>
      <c r="AE46" s="24">
        <f ca="1">INDIRECT("'("&amp;$A$4&amp;")'!ae46")</f>
        <v>0</v>
      </c>
      <c r="AF46" s="24">
        <f ca="1">INDIRECT("'("&amp;$A$4&amp;")'!af46")</f>
        <v>0</v>
      </c>
      <c r="AG46" s="24">
        <f ca="1">INDIRECT("'("&amp;$A$4&amp;")'!ag46")</f>
        <v>0</v>
      </c>
      <c r="AH46" s="24">
        <f ca="1">INDIRECT("'("&amp;$A$4&amp;")'!ah46")</f>
        <v>0</v>
      </c>
      <c r="AI46" s="46">
        <f t="shared" ca="1" si="41"/>
        <v>0</v>
      </c>
      <c r="AJ46" s="46">
        <f t="shared" ca="1" si="42"/>
        <v>0</v>
      </c>
      <c r="AK46" s="24"/>
      <c r="AL46" s="24">
        <f ca="1">INDIRECT("'("&amp;$A$4&amp;")'!al46")</f>
        <v>12</v>
      </c>
      <c r="AM46" s="24">
        <f ca="1">INDIRECT("'("&amp;$A$4&amp;")'!am46")</f>
        <v>0</v>
      </c>
      <c r="AN46" s="24">
        <f ca="1">INDIRECT("'("&amp;$A$4&amp;")'!an46")</f>
        <v>1</v>
      </c>
      <c r="AO46" s="24">
        <f ca="1">INDIRECT("'("&amp;$A$4&amp;")'!ao46")</f>
        <v>0</v>
      </c>
      <c r="AP46" s="24">
        <f ca="1">INDIRECT("'("&amp;$A$4&amp;")'!ag46")</f>
        <v>0</v>
      </c>
      <c r="AQ46" s="24">
        <f ca="1">INDIRECT("'("&amp;$A$4&amp;")'!aq46")</f>
        <v>7</v>
      </c>
      <c r="AR46" s="46">
        <f t="shared" ca="1" si="48"/>
        <v>7.6923076923076927E-2</v>
      </c>
      <c r="AS46" s="46">
        <f t="shared" ca="1" si="49"/>
        <v>0.35</v>
      </c>
      <c r="AT46" s="24"/>
      <c r="AU46" s="22">
        <f t="shared" ca="1" si="50"/>
        <v>34</v>
      </c>
      <c r="AV46" s="22">
        <f t="shared" ca="1" si="51"/>
        <v>0</v>
      </c>
      <c r="AW46" s="22">
        <f t="shared" ca="1" si="52"/>
        <v>1</v>
      </c>
      <c r="AX46" s="22">
        <f t="shared" ca="1" si="53"/>
        <v>0</v>
      </c>
      <c r="AY46" s="22">
        <f t="shared" ca="1" si="54"/>
        <v>0</v>
      </c>
      <c r="AZ46" s="22">
        <f t="shared" ca="1" si="55"/>
        <v>39</v>
      </c>
      <c r="BA46" s="46">
        <f t="shared" ca="1" si="56"/>
        <v>2.8571428571428571E-2</v>
      </c>
      <c r="BB46" s="46">
        <f t="shared" ca="1" si="57"/>
        <v>0.52702702702702697</v>
      </c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s="8" customFormat="1" ht="15" customHeight="1" x14ac:dyDescent="0.35">
      <c r="A47" s="2" t="s">
        <v>54</v>
      </c>
      <c r="B47" s="24">
        <f ca="1">INDIRECT("'("&amp;$A$4&amp;")'!b47")</f>
        <v>12</v>
      </c>
      <c r="C47" s="24">
        <f ca="1">INDIRECT("'("&amp;$A$4&amp;")'!c47")</f>
        <v>0</v>
      </c>
      <c r="D47" s="24">
        <f ca="1">INDIRECT("'("&amp;$A$4&amp;")'!d47")</f>
        <v>0</v>
      </c>
      <c r="E47" s="24">
        <f ca="1">INDIRECT("'("&amp;$A$4&amp;")'!e47")</f>
        <v>0</v>
      </c>
      <c r="F47" s="24">
        <f ca="1">INDIRECT("'("&amp;$A$4&amp;")'!f47")</f>
        <v>0</v>
      </c>
      <c r="G47" s="24">
        <f ca="1">INDIRECT("'("&amp;$A$4&amp;")'!g47")</f>
        <v>12</v>
      </c>
      <c r="H47" s="46">
        <f t="shared" ca="1" si="19"/>
        <v>0</v>
      </c>
      <c r="I47" s="46">
        <f t="shared" ca="1" si="20"/>
        <v>0.5</v>
      </c>
      <c r="J47" s="24"/>
      <c r="K47" s="24">
        <f ca="1">INDIRECT("'("&amp;$A$4&amp;")'!k47")</f>
        <v>37</v>
      </c>
      <c r="L47" s="24">
        <f ca="1">INDIRECT("'("&amp;$A$4&amp;")'!l47")</f>
        <v>1</v>
      </c>
      <c r="M47" s="24">
        <f ca="1">INDIRECT("'("&amp;$A$4&amp;")'!m47")</f>
        <v>0</v>
      </c>
      <c r="N47" s="24">
        <f ca="1">INDIRECT("'("&amp;$A$4&amp;")'!n47")</f>
        <v>0</v>
      </c>
      <c r="O47" s="24">
        <f ca="1">INDIRECT("'("&amp;$A$4&amp;")'!o47")</f>
        <v>0</v>
      </c>
      <c r="P47" s="24">
        <f ca="1">INDIRECT("'("&amp;$A$4&amp;")'!p47")</f>
        <v>9</v>
      </c>
      <c r="Q47" s="46">
        <f t="shared" ca="1" si="26"/>
        <v>2.6315789473684209E-2</v>
      </c>
      <c r="R47" s="46">
        <f t="shared" ca="1" si="27"/>
        <v>0.19148936170212766</v>
      </c>
      <c r="S47" s="24"/>
      <c r="T47" s="22">
        <f t="shared" ca="1" si="28"/>
        <v>49</v>
      </c>
      <c r="U47" s="22">
        <f t="shared" ca="1" si="29"/>
        <v>1</v>
      </c>
      <c r="V47" s="22">
        <f t="shared" ca="1" si="30"/>
        <v>0</v>
      </c>
      <c r="W47" s="22">
        <f t="shared" ca="1" si="31"/>
        <v>0</v>
      </c>
      <c r="X47" s="22">
        <f t="shared" ca="1" si="32"/>
        <v>0</v>
      </c>
      <c r="Y47" s="22">
        <f t="shared" ca="1" si="33"/>
        <v>21</v>
      </c>
      <c r="Z47" s="46">
        <f t="shared" ca="1" si="34"/>
        <v>0.02</v>
      </c>
      <c r="AA47" s="46">
        <f t="shared" ca="1" si="35"/>
        <v>0.29577464788732394</v>
      </c>
      <c r="AB47" s="24"/>
      <c r="AC47" s="24">
        <f ca="1">INDIRECT("'("&amp;$A$4&amp;")'!ac47")</f>
        <v>0</v>
      </c>
      <c r="AD47" s="24">
        <f ca="1">INDIRECT("'("&amp;$A$4&amp;")'!ad47")</f>
        <v>0</v>
      </c>
      <c r="AE47" s="24">
        <f ca="1">INDIRECT("'("&amp;$A$4&amp;")'!ae47")</f>
        <v>0</v>
      </c>
      <c r="AF47" s="24">
        <f ca="1">INDIRECT("'("&amp;$A$4&amp;")'!af47")</f>
        <v>0</v>
      </c>
      <c r="AG47" s="24">
        <f ca="1">INDIRECT("'("&amp;$A$4&amp;")'!ag47")</f>
        <v>0</v>
      </c>
      <c r="AH47" s="24">
        <f ca="1">INDIRECT("'("&amp;$A$4&amp;")'!ah47")</f>
        <v>0</v>
      </c>
      <c r="AI47" s="46" t="str">
        <f t="shared" ca="1" si="41"/>
        <v>-</v>
      </c>
      <c r="AJ47" s="46" t="str">
        <f t="shared" ca="1" si="42"/>
        <v>-</v>
      </c>
      <c r="AK47" s="24"/>
      <c r="AL47" s="24">
        <f ca="1">INDIRECT("'("&amp;$A$4&amp;")'!al47")</f>
        <v>10</v>
      </c>
      <c r="AM47" s="24">
        <f ca="1">INDIRECT("'("&amp;$A$4&amp;")'!am47")</f>
        <v>0</v>
      </c>
      <c r="AN47" s="24">
        <f ca="1">INDIRECT("'("&amp;$A$4&amp;")'!an47")</f>
        <v>0</v>
      </c>
      <c r="AO47" s="24">
        <f ca="1">INDIRECT("'("&amp;$A$4&amp;")'!ao47")</f>
        <v>0</v>
      </c>
      <c r="AP47" s="24">
        <f ca="1">INDIRECT("'("&amp;$A$4&amp;")'!ag47")</f>
        <v>0</v>
      </c>
      <c r="AQ47" s="24">
        <f ca="1">INDIRECT("'("&amp;$A$4&amp;")'!aq47")</f>
        <v>0</v>
      </c>
      <c r="AR47" s="46">
        <f t="shared" ca="1" si="48"/>
        <v>0</v>
      </c>
      <c r="AS47" s="46">
        <f t="shared" ca="1" si="49"/>
        <v>0</v>
      </c>
      <c r="AT47" s="24"/>
      <c r="AU47" s="22">
        <f t="shared" ca="1" si="50"/>
        <v>59</v>
      </c>
      <c r="AV47" s="22">
        <f t="shared" ca="1" si="51"/>
        <v>1</v>
      </c>
      <c r="AW47" s="22">
        <f t="shared" ca="1" si="52"/>
        <v>0</v>
      </c>
      <c r="AX47" s="22">
        <f t="shared" ca="1" si="53"/>
        <v>0</v>
      </c>
      <c r="AY47" s="22">
        <f t="shared" ca="1" si="54"/>
        <v>0</v>
      </c>
      <c r="AZ47" s="22">
        <f t="shared" ca="1" si="55"/>
        <v>21</v>
      </c>
      <c r="BA47" s="46">
        <f t="shared" ca="1" si="56"/>
        <v>1.6666666666666666E-2</v>
      </c>
      <c r="BB47" s="46">
        <f t="shared" ca="1" si="57"/>
        <v>0.25925925925925924</v>
      </c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s="8" customFormat="1" ht="15" customHeight="1" x14ac:dyDescent="0.35">
      <c r="A48" s="2" t="s">
        <v>55</v>
      </c>
      <c r="B48" s="24">
        <f ca="1">INDIRECT("'("&amp;$A$4&amp;")'!b48")</f>
        <v>0</v>
      </c>
      <c r="C48" s="24">
        <f ca="1">INDIRECT("'("&amp;$A$4&amp;")'!c48")</f>
        <v>0</v>
      </c>
      <c r="D48" s="24">
        <f ca="1">INDIRECT("'("&amp;$A$4&amp;")'!d48")</f>
        <v>0</v>
      </c>
      <c r="E48" s="24">
        <f ca="1">INDIRECT("'("&amp;$A$4&amp;")'!e48")</f>
        <v>0</v>
      </c>
      <c r="F48" s="24">
        <f ca="1">INDIRECT("'("&amp;$A$4&amp;")'!f48")</f>
        <v>0</v>
      </c>
      <c r="G48" s="24">
        <f ca="1">INDIRECT("'("&amp;$A$4&amp;")'!g48")</f>
        <v>0</v>
      </c>
      <c r="H48" s="46" t="str">
        <f t="shared" ca="1" si="19"/>
        <v>-</v>
      </c>
      <c r="I48" s="46" t="str">
        <f t="shared" ca="1" si="20"/>
        <v>-</v>
      </c>
      <c r="J48" s="24"/>
      <c r="K48" s="24">
        <f ca="1">INDIRECT("'("&amp;$A$4&amp;")'!k48")</f>
        <v>0</v>
      </c>
      <c r="L48" s="24">
        <f ca="1">INDIRECT("'("&amp;$A$4&amp;")'!l48")</f>
        <v>0</v>
      </c>
      <c r="M48" s="24">
        <f ca="1">INDIRECT("'("&amp;$A$4&amp;")'!m48")</f>
        <v>0</v>
      </c>
      <c r="N48" s="24">
        <f ca="1">INDIRECT("'("&amp;$A$4&amp;")'!n48")</f>
        <v>0</v>
      </c>
      <c r="O48" s="24">
        <f ca="1">INDIRECT("'("&amp;$A$4&amp;")'!o48")</f>
        <v>0</v>
      </c>
      <c r="P48" s="24">
        <f ca="1">INDIRECT("'("&amp;$A$4&amp;")'!p48")</f>
        <v>2</v>
      </c>
      <c r="Q48" s="46" t="str">
        <f t="shared" ca="1" si="26"/>
        <v>-</v>
      </c>
      <c r="R48" s="46">
        <f t="shared" ca="1" si="27"/>
        <v>1</v>
      </c>
      <c r="S48" s="24"/>
      <c r="T48" s="22">
        <f t="shared" ca="1" si="28"/>
        <v>0</v>
      </c>
      <c r="U48" s="22">
        <f t="shared" ca="1" si="29"/>
        <v>0</v>
      </c>
      <c r="V48" s="22">
        <f t="shared" ca="1" si="30"/>
        <v>0</v>
      </c>
      <c r="W48" s="22">
        <f t="shared" ca="1" si="31"/>
        <v>0</v>
      </c>
      <c r="X48" s="22">
        <f t="shared" ca="1" si="32"/>
        <v>0</v>
      </c>
      <c r="Y48" s="22">
        <f t="shared" ca="1" si="33"/>
        <v>2</v>
      </c>
      <c r="Z48" s="46" t="str">
        <f t="shared" ca="1" si="34"/>
        <v>-</v>
      </c>
      <c r="AA48" s="46">
        <f t="shared" ca="1" si="35"/>
        <v>1</v>
      </c>
      <c r="AB48" s="24"/>
      <c r="AC48" s="24">
        <f ca="1">INDIRECT("'("&amp;$A$4&amp;")'!ac48")</f>
        <v>0</v>
      </c>
      <c r="AD48" s="24">
        <f ca="1">INDIRECT("'("&amp;$A$4&amp;")'!ad48")</f>
        <v>0</v>
      </c>
      <c r="AE48" s="24">
        <f ca="1">INDIRECT("'("&amp;$A$4&amp;")'!ae48")</f>
        <v>0</v>
      </c>
      <c r="AF48" s="24">
        <f ca="1">INDIRECT("'("&amp;$A$4&amp;")'!af48")</f>
        <v>0</v>
      </c>
      <c r="AG48" s="24">
        <f ca="1">INDIRECT("'("&amp;$A$4&amp;")'!ag48")</f>
        <v>0</v>
      </c>
      <c r="AH48" s="24">
        <f ca="1">INDIRECT("'("&amp;$A$4&amp;")'!ah48")</f>
        <v>0</v>
      </c>
      <c r="AI48" s="46" t="str">
        <f t="shared" ca="1" si="41"/>
        <v>-</v>
      </c>
      <c r="AJ48" s="46" t="str">
        <f t="shared" ca="1" si="42"/>
        <v>-</v>
      </c>
      <c r="AK48" s="24"/>
      <c r="AL48" s="24">
        <f ca="1">INDIRECT("'("&amp;$A$4&amp;")'!al48")</f>
        <v>0</v>
      </c>
      <c r="AM48" s="24">
        <f ca="1">INDIRECT("'("&amp;$A$4&amp;")'!am48")</f>
        <v>0</v>
      </c>
      <c r="AN48" s="24">
        <f ca="1">INDIRECT("'("&amp;$A$4&amp;")'!an48")</f>
        <v>0</v>
      </c>
      <c r="AO48" s="24">
        <f ca="1">INDIRECT("'("&amp;$A$4&amp;")'!ao48")</f>
        <v>0</v>
      </c>
      <c r="AP48" s="24">
        <f ca="1">INDIRECT("'("&amp;$A$4&amp;")'!ag48")</f>
        <v>0</v>
      </c>
      <c r="AQ48" s="24">
        <f ca="1">INDIRECT("'("&amp;$A$4&amp;")'!aq48")</f>
        <v>0</v>
      </c>
      <c r="AR48" s="46" t="str">
        <f t="shared" ca="1" si="48"/>
        <v>-</v>
      </c>
      <c r="AS48" s="46" t="str">
        <f t="shared" ca="1" si="49"/>
        <v>-</v>
      </c>
      <c r="AT48" s="24"/>
      <c r="AU48" s="22">
        <f t="shared" ca="1" si="50"/>
        <v>0</v>
      </c>
      <c r="AV48" s="22">
        <f t="shared" ca="1" si="51"/>
        <v>0</v>
      </c>
      <c r="AW48" s="22">
        <f t="shared" ca="1" si="52"/>
        <v>0</v>
      </c>
      <c r="AX48" s="22">
        <f t="shared" ca="1" si="53"/>
        <v>0</v>
      </c>
      <c r="AY48" s="22">
        <f t="shared" ca="1" si="54"/>
        <v>0</v>
      </c>
      <c r="AZ48" s="22">
        <f t="shared" ca="1" si="55"/>
        <v>2</v>
      </c>
      <c r="BA48" s="46" t="str">
        <f t="shared" ca="1" si="56"/>
        <v>-</v>
      </c>
      <c r="BB48" s="46">
        <f t="shared" ca="1" si="57"/>
        <v>1</v>
      </c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s="8" customFormat="1" ht="15" customHeight="1" x14ac:dyDescent="0.35">
      <c r="A49" s="21" t="s">
        <v>56</v>
      </c>
      <c r="B49" s="22">
        <f ca="1">SUM(B50:B56)</f>
        <v>328</v>
      </c>
      <c r="C49" s="22">
        <f t="shared" ref="C49:G49" ca="1" si="58">SUM(C50:C56)</f>
        <v>37</v>
      </c>
      <c r="D49" s="22">
        <f t="shared" ca="1" si="58"/>
        <v>12</v>
      </c>
      <c r="E49" s="22">
        <f t="shared" ca="1" si="58"/>
        <v>17</v>
      </c>
      <c r="F49" s="22">
        <f t="shared" ca="1" si="58"/>
        <v>5</v>
      </c>
      <c r="G49" s="22">
        <f t="shared" ca="1" si="58"/>
        <v>41</v>
      </c>
      <c r="H49" s="46">
        <f t="shared" ca="1" si="19"/>
        <v>0.17794486215538846</v>
      </c>
      <c r="I49" s="46">
        <f t="shared" ca="1" si="20"/>
        <v>9.3181818181818185E-2</v>
      </c>
      <c r="J49" s="22"/>
      <c r="K49" s="22">
        <f ca="1">SUM(K50:K56)</f>
        <v>53</v>
      </c>
      <c r="L49" s="22">
        <f t="shared" ref="L49" ca="1" si="59">SUM(L50:L56)</f>
        <v>1</v>
      </c>
      <c r="M49" s="22">
        <f t="shared" ref="M49" ca="1" si="60">SUM(M50:M56)</f>
        <v>0</v>
      </c>
      <c r="N49" s="22">
        <f t="shared" ref="N49" ca="1" si="61">SUM(N50:N56)</f>
        <v>0</v>
      </c>
      <c r="O49" s="22">
        <f t="shared" ref="O49" ca="1" si="62">SUM(O50:O56)</f>
        <v>0</v>
      </c>
      <c r="P49" s="22">
        <f t="shared" ref="P49" ca="1" si="63">SUM(P50:P56)</f>
        <v>1</v>
      </c>
      <c r="Q49" s="46">
        <f t="shared" ca="1" si="26"/>
        <v>1.8518518518518517E-2</v>
      </c>
      <c r="R49" s="46">
        <f t="shared" ca="1" si="27"/>
        <v>1.8181818181818181E-2</v>
      </c>
      <c r="S49" s="22"/>
      <c r="T49" s="22">
        <f t="shared" ca="1" si="28"/>
        <v>381</v>
      </c>
      <c r="U49" s="22">
        <f t="shared" ca="1" si="29"/>
        <v>38</v>
      </c>
      <c r="V49" s="22">
        <f t="shared" ca="1" si="30"/>
        <v>12</v>
      </c>
      <c r="W49" s="22">
        <f t="shared" ca="1" si="31"/>
        <v>17</v>
      </c>
      <c r="X49" s="22">
        <f t="shared" ca="1" si="32"/>
        <v>5</v>
      </c>
      <c r="Y49" s="22">
        <f t="shared" ca="1" si="33"/>
        <v>42</v>
      </c>
      <c r="Z49" s="46">
        <f t="shared" ca="1" si="34"/>
        <v>0.15894039735099338</v>
      </c>
      <c r="AA49" s="46">
        <f t="shared" ca="1" si="35"/>
        <v>8.4848484848484854E-2</v>
      </c>
      <c r="AB49" s="22"/>
      <c r="AC49" s="22">
        <f ca="1">SUM(AC50:AC56)</f>
        <v>29</v>
      </c>
      <c r="AD49" s="22">
        <f t="shared" ref="AD49" ca="1" si="64">SUM(AD50:AD56)</f>
        <v>2</v>
      </c>
      <c r="AE49" s="22">
        <f t="shared" ref="AE49" ca="1" si="65">SUM(AE50:AE56)</f>
        <v>1</v>
      </c>
      <c r="AF49" s="22">
        <f t="shared" ref="AF49" ca="1" si="66">SUM(AF50:AF56)</f>
        <v>1</v>
      </c>
      <c r="AG49" s="22">
        <f t="shared" ref="AG49" ca="1" si="67">SUM(AG50:AG56)</f>
        <v>0</v>
      </c>
      <c r="AH49" s="22">
        <f t="shared" ref="AH49" ca="1" si="68">SUM(AH50:AH56)</f>
        <v>0</v>
      </c>
      <c r="AI49" s="46">
        <f t="shared" ca="1" si="41"/>
        <v>0.12121212121212122</v>
      </c>
      <c r="AJ49" s="46">
        <f t="shared" ca="1" si="42"/>
        <v>0</v>
      </c>
      <c r="AK49" s="22"/>
      <c r="AL49" s="22">
        <f ca="1">SUM(AL50:AL56)</f>
        <v>210</v>
      </c>
      <c r="AM49" s="22">
        <f t="shared" ref="AM49" ca="1" si="69">SUM(AM50:AM56)</f>
        <v>4</v>
      </c>
      <c r="AN49" s="22">
        <f t="shared" ref="AN49" ca="1" si="70">SUM(AN50:AN56)</f>
        <v>16</v>
      </c>
      <c r="AO49" s="22">
        <f t="shared" ref="AO49" ca="1" si="71">SUM(AO50:AO56)</f>
        <v>20</v>
      </c>
      <c r="AP49" s="22">
        <f t="shared" ref="AP49" ca="1" si="72">SUM(AP50:AP56)</f>
        <v>0</v>
      </c>
      <c r="AQ49" s="22">
        <f t="shared" ref="AQ49" ca="1" si="73">SUM(AQ50:AQ56)</f>
        <v>42</v>
      </c>
      <c r="AR49" s="46">
        <f t="shared" ca="1" si="48"/>
        <v>0.16</v>
      </c>
      <c r="AS49" s="46">
        <f t="shared" ca="1" si="49"/>
        <v>0.14383561643835616</v>
      </c>
      <c r="AT49" s="22"/>
      <c r="AU49" s="22">
        <f t="shared" ca="1" si="50"/>
        <v>620</v>
      </c>
      <c r="AV49" s="22">
        <f t="shared" ca="1" si="51"/>
        <v>44</v>
      </c>
      <c r="AW49" s="22">
        <f t="shared" ca="1" si="52"/>
        <v>29</v>
      </c>
      <c r="AX49" s="22">
        <f t="shared" ca="1" si="53"/>
        <v>38</v>
      </c>
      <c r="AY49" s="22">
        <f t="shared" ca="1" si="54"/>
        <v>5</v>
      </c>
      <c r="AZ49" s="22">
        <f t="shared" ca="1" si="55"/>
        <v>84</v>
      </c>
      <c r="BA49" s="46">
        <f t="shared" ca="1" si="56"/>
        <v>0.15760869565217392</v>
      </c>
      <c r="BB49" s="46">
        <f t="shared" ca="1" si="57"/>
        <v>0.1024390243902439</v>
      </c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s="8" customFormat="1" ht="15" customHeight="1" x14ac:dyDescent="0.35">
      <c r="A50" s="2" t="s">
        <v>57</v>
      </c>
      <c r="B50" s="24">
        <f ca="1">INDIRECT("'("&amp;$A$4&amp;")'!b50")</f>
        <v>16</v>
      </c>
      <c r="C50" s="24">
        <f ca="1">INDIRECT("'("&amp;$A$4&amp;")'!c50")</f>
        <v>7</v>
      </c>
      <c r="D50" s="24">
        <f ca="1">INDIRECT("'("&amp;$A$4&amp;")'!d50")</f>
        <v>2</v>
      </c>
      <c r="E50" s="24">
        <f ca="1">INDIRECT("'("&amp;$A$4&amp;")'!e50")</f>
        <v>1</v>
      </c>
      <c r="F50" s="24">
        <f ca="1">INDIRECT("'("&amp;$A$4&amp;")'!f50")</f>
        <v>1</v>
      </c>
      <c r="G50" s="24">
        <f ca="1">INDIRECT("'("&amp;$A$4&amp;")'!g50")</f>
        <v>28</v>
      </c>
      <c r="H50" s="46">
        <f t="shared" ca="1" si="19"/>
        <v>0.40740740740740738</v>
      </c>
      <c r="I50" s="46">
        <f t="shared" ca="1" si="20"/>
        <v>0.50909090909090904</v>
      </c>
      <c r="J50" s="24"/>
      <c r="K50" s="24">
        <f ca="1">INDIRECT("'("&amp;$A$4&amp;")'!k50")</f>
        <v>0</v>
      </c>
      <c r="L50" s="24">
        <f ca="1">INDIRECT("'("&amp;$A$4&amp;")'!l50")</f>
        <v>0</v>
      </c>
      <c r="M50" s="24">
        <f ca="1">INDIRECT("'("&amp;$A$4&amp;")'!m50")</f>
        <v>0</v>
      </c>
      <c r="N50" s="24">
        <f ca="1">INDIRECT("'("&amp;$A$4&amp;")'!n50")</f>
        <v>0</v>
      </c>
      <c r="O50" s="24">
        <f ca="1">INDIRECT("'("&amp;$A$4&amp;")'!o50")</f>
        <v>0</v>
      </c>
      <c r="P50" s="24">
        <f ca="1">INDIRECT("'("&amp;$A$4&amp;")'!p50")</f>
        <v>0</v>
      </c>
      <c r="Q50" s="46" t="str">
        <f t="shared" ca="1" si="26"/>
        <v>-</v>
      </c>
      <c r="R50" s="46" t="str">
        <f t="shared" ca="1" si="27"/>
        <v>-</v>
      </c>
      <c r="S50" s="24"/>
      <c r="T50" s="22">
        <f t="shared" ca="1" si="28"/>
        <v>16</v>
      </c>
      <c r="U50" s="22">
        <f t="shared" ca="1" si="29"/>
        <v>7</v>
      </c>
      <c r="V50" s="22">
        <f t="shared" ca="1" si="30"/>
        <v>2</v>
      </c>
      <c r="W50" s="22">
        <f t="shared" ca="1" si="31"/>
        <v>1</v>
      </c>
      <c r="X50" s="22">
        <f t="shared" ca="1" si="32"/>
        <v>1</v>
      </c>
      <c r="Y50" s="22">
        <f t="shared" ca="1" si="33"/>
        <v>28</v>
      </c>
      <c r="Z50" s="46">
        <f t="shared" ca="1" si="34"/>
        <v>0.40740740740740738</v>
      </c>
      <c r="AA50" s="46">
        <f t="shared" ca="1" si="35"/>
        <v>0.50909090909090904</v>
      </c>
      <c r="AB50" s="24"/>
      <c r="AC50" s="24">
        <f ca="1">INDIRECT("'("&amp;$A$4&amp;")'!ac50")</f>
        <v>0</v>
      </c>
      <c r="AD50" s="24">
        <f ca="1">INDIRECT("'("&amp;$A$4&amp;")'!ad50")</f>
        <v>0</v>
      </c>
      <c r="AE50" s="24">
        <f ca="1">INDIRECT("'("&amp;$A$4&amp;")'!ae50")</f>
        <v>0</v>
      </c>
      <c r="AF50" s="24">
        <f ca="1">INDIRECT("'("&amp;$A$4&amp;")'!af50")</f>
        <v>0</v>
      </c>
      <c r="AG50" s="24">
        <f ca="1">INDIRECT("'("&amp;$A$4&amp;")'!ag50")</f>
        <v>0</v>
      </c>
      <c r="AH50" s="24">
        <f ca="1">INDIRECT("'("&amp;$A$4&amp;")'!ah50")</f>
        <v>0</v>
      </c>
      <c r="AI50" s="46" t="str">
        <f t="shared" ca="1" si="41"/>
        <v>-</v>
      </c>
      <c r="AJ50" s="46" t="str">
        <f t="shared" ca="1" si="42"/>
        <v>-</v>
      </c>
      <c r="AK50" s="24"/>
      <c r="AL50" s="24">
        <f ca="1">INDIRECT("'("&amp;$A$4&amp;")'!al50")</f>
        <v>51</v>
      </c>
      <c r="AM50" s="24">
        <f ca="1">INDIRECT("'("&amp;$A$4&amp;")'!am50")</f>
        <v>1</v>
      </c>
      <c r="AN50" s="24">
        <f ca="1">INDIRECT("'("&amp;$A$4&amp;")'!an50")</f>
        <v>1</v>
      </c>
      <c r="AO50" s="24">
        <f ca="1">INDIRECT("'("&amp;$A$4&amp;")'!ao50")</f>
        <v>2</v>
      </c>
      <c r="AP50" s="24">
        <f ca="1">INDIRECT("'("&amp;$A$4&amp;")'!ag50")</f>
        <v>0</v>
      </c>
      <c r="AQ50" s="24">
        <f ca="1">INDIRECT("'("&amp;$A$4&amp;")'!aq50")</f>
        <v>24</v>
      </c>
      <c r="AR50" s="46">
        <f t="shared" ca="1" si="48"/>
        <v>7.2727272727272724E-2</v>
      </c>
      <c r="AS50" s="46">
        <f t="shared" ca="1" si="49"/>
        <v>0.30379746835443039</v>
      </c>
      <c r="AT50" s="24"/>
      <c r="AU50" s="22">
        <f t="shared" ca="1" si="50"/>
        <v>67</v>
      </c>
      <c r="AV50" s="22">
        <f t="shared" ca="1" si="51"/>
        <v>8</v>
      </c>
      <c r="AW50" s="22">
        <f t="shared" ca="1" si="52"/>
        <v>3</v>
      </c>
      <c r="AX50" s="22">
        <f t="shared" ca="1" si="53"/>
        <v>3</v>
      </c>
      <c r="AY50" s="22">
        <f t="shared" ca="1" si="54"/>
        <v>1</v>
      </c>
      <c r="AZ50" s="22">
        <f t="shared" ca="1" si="55"/>
        <v>52</v>
      </c>
      <c r="BA50" s="46">
        <f t="shared" ca="1" si="56"/>
        <v>0.18292682926829268</v>
      </c>
      <c r="BB50" s="46">
        <f t="shared" ca="1" si="57"/>
        <v>0.38805970149253732</v>
      </c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s="8" customFormat="1" ht="15" customHeight="1" x14ac:dyDescent="0.35">
      <c r="A51" s="2" t="s">
        <v>58</v>
      </c>
      <c r="B51" s="24">
        <f ca="1">INDIRECT("'("&amp;$A$4&amp;")'!b51")</f>
        <v>26</v>
      </c>
      <c r="C51" s="24">
        <f ca="1">INDIRECT("'("&amp;$A$4&amp;")'!c51")</f>
        <v>5</v>
      </c>
      <c r="D51" s="24">
        <f ca="1">INDIRECT("'("&amp;$A$4&amp;")'!d51")</f>
        <v>0</v>
      </c>
      <c r="E51" s="24">
        <f ca="1">INDIRECT("'("&amp;$A$4&amp;")'!e51")</f>
        <v>0</v>
      </c>
      <c r="F51" s="24">
        <f ca="1">INDIRECT("'("&amp;$A$4&amp;")'!f51")</f>
        <v>0</v>
      </c>
      <c r="G51" s="24">
        <f ca="1">INDIRECT("'("&amp;$A$4&amp;")'!g51")</f>
        <v>1</v>
      </c>
      <c r="H51" s="46">
        <f t="shared" ca="1" si="19"/>
        <v>0.16129032258064516</v>
      </c>
      <c r="I51" s="46">
        <f t="shared" ca="1" si="20"/>
        <v>3.125E-2</v>
      </c>
      <c r="J51" s="24"/>
      <c r="K51" s="24">
        <f ca="1">INDIRECT("'("&amp;$A$4&amp;")'!k51")</f>
        <v>14</v>
      </c>
      <c r="L51" s="24">
        <f ca="1">INDIRECT("'("&amp;$A$4&amp;")'!l51")</f>
        <v>1</v>
      </c>
      <c r="M51" s="24">
        <f ca="1">INDIRECT("'("&amp;$A$4&amp;")'!m51")</f>
        <v>0</v>
      </c>
      <c r="N51" s="24">
        <f ca="1">INDIRECT("'("&amp;$A$4&amp;")'!n51")</f>
        <v>0</v>
      </c>
      <c r="O51" s="24">
        <f ca="1">INDIRECT("'("&amp;$A$4&amp;")'!o51")</f>
        <v>0</v>
      </c>
      <c r="P51" s="24">
        <f ca="1">INDIRECT("'("&amp;$A$4&amp;")'!p51")</f>
        <v>1</v>
      </c>
      <c r="Q51" s="46">
        <f t="shared" ca="1" si="26"/>
        <v>6.6666666666666666E-2</v>
      </c>
      <c r="R51" s="46">
        <f t="shared" ca="1" si="27"/>
        <v>6.25E-2</v>
      </c>
      <c r="S51" s="24"/>
      <c r="T51" s="22">
        <f t="shared" ca="1" si="28"/>
        <v>40</v>
      </c>
      <c r="U51" s="22">
        <f t="shared" ca="1" si="29"/>
        <v>6</v>
      </c>
      <c r="V51" s="22">
        <f t="shared" ca="1" si="30"/>
        <v>0</v>
      </c>
      <c r="W51" s="22">
        <f t="shared" ca="1" si="31"/>
        <v>0</v>
      </c>
      <c r="X51" s="22">
        <f t="shared" ca="1" si="32"/>
        <v>0</v>
      </c>
      <c r="Y51" s="22">
        <f t="shared" ca="1" si="33"/>
        <v>2</v>
      </c>
      <c r="Z51" s="46">
        <f t="shared" ca="1" si="34"/>
        <v>0.13043478260869565</v>
      </c>
      <c r="AA51" s="46">
        <f t="shared" ca="1" si="35"/>
        <v>4.1666666666666664E-2</v>
      </c>
      <c r="AB51" s="24"/>
      <c r="AC51" s="24">
        <f ca="1">INDIRECT("'("&amp;$A$4&amp;")'!ac51")</f>
        <v>7</v>
      </c>
      <c r="AD51" s="24">
        <f ca="1">INDIRECT("'("&amp;$A$4&amp;")'!ad51")</f>
        <v>0</v>
      </c>
      <c r="AE51" s="24">
        <f ca="1">INDIRECT("'("&amp;$A$4&amp;")'!ae51")</f>
        <v>0</v>
      </c>
      <c r="AF51" s="24">
        <f ca="1">INDIRECT("'("&amp;$A$4&amp;")'!af51")</f>
        <v>0</v>
      </c>
      <c r="AG51" s="24">
        <f ca="1">INDIRECT("'("&amp;$A$4&amp;")'!ag51")</f>
        <v>0</v>
      </c>
      <c r="AH51" s="24">
        <f ca="1">INDIRECT("'("&amp;$A$4&amp;")'!ah51")</f>
        <v>0</v>
      </c>
      <c r="AI51" s="46">
        <f t="shared" ca="1" si="41"/>
        <v>0</v>
      </c>
      <c r="AJ51" s="46">
        <f t="shared" ca="1" si="42"/>
        <v>0</v>
      </c>
      <c r="AK51" s="24"/>
      <c r="AL51" s="24">
        <f ca="1">INDIRECT("'("&amp;$A$4&amp;")'!al51")</f>
        <v>16</v>
      </c>
      <c r="AM51" s="24">
        <f ca="1">INDIRECT("'("&amp;$A$4&amp;")'!am51")</f>
        <v>0</v>
      </c>
      <c r="AN51" s="24">
        <f ca="1">INDIRECT("'("&amp;$A$4&amp;")'!an51")</f>
        <v>0</v>
      </c>
      <c r="AO51" s="24">
        <f ca="1">INDIRECT("'("&amp;$A$4&amp;")'!ao51")</f>
        <v>0</v>
      </c>
      <c r="AP51" s="24">
        <f ca="1">INDIRECT("'("&amp;$A$4&amp;")'!ag51")</f>
        <v>0</v>
      </c>
      <c r="AQ51" s="24">
        <f ca="1">INDIRECT("'("&amp;$A$4&amp;")'!aq51")</f>
        <v>1</v>
      </c>
      <c r="AR51" s="46">
        <f t="shared" ca="1" si="48"/>
        <v>0</v>
      </c>
      <c r="AS51" s="46">
        <f t="shared" ca="1" si="49"/>
        <v>5.8823529411764705E-2</v>
      </c>
      <c r="AT51" s="24"/>
      <c r="AU51" s="22">
        <f t="shared" ca="1" si="50"/>
        <v>63</v>
      </c>
      <c r="AV51" s="22">
        <f t="shared" ca="1" si="51"/>
        <v>6</v>
      </c>
      <c r="AW51" s="22">
        <f t="shared" ca="1" si="52"/>
        <v>0</v>
      </c>
      <c r="AX51" s="22">
        <f t="shared" ca="1" si="53"/>
        <v>0</v>
      </c>
      <c r="AY51" s="22">
        <f t="shared" ca="1" si="54"/>
        <v>0</v>
      </c>
      <c r="AZ51" s="22">
        <f t="shared" ca="1" si="55"/>
        <v>3</v>
      </c>
      <c r="BA51" s="46">
        <f t="shared" ca="1" si="56"/>
        <v>8.6956521739130432E-2</v>
      </c>
      <c r="BB51" s="46">
        <f t="shared" ca="1" si="57"/>
        <v>4.1666666666666664E-2</v>
      </c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s="8" customFormat="1" ht="15" customHeight="1" x14ac:dyDescent="0.35">
      <c r="A52" s="2" t="s">
        <v>59</v>
      </c>
      <c r="B52" s="24">
        <f ca="1">INDIRECT("'("&amp;$A$4&amp;")'!b52")</f>
        <v>27</v>
      </c>
      <c r="C52" s="24">
        <f ca="1">INDIRECT("'("&amp;$A$4&amp;")'!c52")</f>
        <v>4</v>
      </c>
      <c r="D52" s="24">
        <f ca="1">INDIRECT("'("&amp;$A$4&amp;")'!d52")</f>
        <v>0</v>
      </c>
      <c r="E52" s="24">
        <f ca="1">INDIRECT("'("&amp;$A$4&amp;")'!e52")</f>
        <v>0</v>
      </c>
      <c r="F52" s="24">
        <f ca="1">INDIRECT("'("&amp;$A$4&amp;")'!f52")</f>
        <v>0</v>
      </c>
      <c r="G52" s="24">
        <f ca="1">INDIRECT("'("&amp;$A$4&amp;")'!g52")</f>
        <v>1</v>
      </c>
      <c r="H52" s="46">
        <f t="shared" ca="1" si="19"/>
        <v>0.12903225806451613</v>
      </c>
      <c r="I52" s="46">
        <f t="shared" ca="1" si="20"/>
        <v>3.125E-2</v>
      </c>
      <c r="J52" s="24"/>
      <c r="K52" s="24">
        <f ca="1">INDIRECT("'("&amp;$A$4&amp;")'!k52")</f>
        <v>26</v>
      </c>
      <c r="L52" s="24">
        <f ca="1">INDIRECT("'("&amp;$A$4&amp;")'!l52")</f>
        <v>0</v>
      </c>
      <c r="M52" s="24">
        <f ca="1">INDIRECT("'("&amp;$A$4&amp;")'!m52")</f>
        <v>0</v>
      </c>
      <c r="N52" s="24">
        <f ca="1">INDIRECT("'("&amp;$A$4&amp;")'!n52")</f>
        <v>0</v>
      </c>
      <c r="O52" s="24">
        <f ca="1">INDIRECT("'("&amp;$A$4&amp;")'!o52")</f>
        <v>0</v>
      </c>
      <c r="P52" s="24">
        <f ca="1">INDIRECT("'("&amp;$A$4&amp;")'!p52")</f>
        <v>0</v>
      </c>
      <c r="Q52" s="46">
        <f t="shared" ca="1" si="26"/>
        <v>0</v>
      </c>
      <c r="R52" s="46">
        <f t="shared" ca="1" si="27"/>
        <v>0</v>
      </c>
      <c r="S52" s="24"/>
      <c r="T52" s="22">
        <f t="shared" ca="1" si="28"/>
        <v>53</v>
      </c>
      <c r="U52" s="22">
        <f t="shared" ca="1" si="29"/>
        <v>4</v>
      </c>
      <c r="V52" s="22">
        <f t="shared" ca="1" si="30"/>
        <v>0</v>
      </c>
      <c r="W52" s="22">
        <f t="shared" ca="1" si="31"/>
        <v>0</v>
      </c>
      <c r="X52" s="22">
        <f t="shared" ca="1" si="32"/>
        <v>0</v>
      </c>
      <c r="Y52" s="22">
        <f t="shared" ca="1" si="33"/>
        <v>1</v>
      </c>
      <c r="Z52" s="46">
        <f t="shared" ca="1" si="34"/>
        <v>7.0175438596491224E-2</v>
      </c>
      <c r="AA52" s="46">
        <f t="shared" ca="1" si="35"/>
        <v>1.7241379310344827E-2</v>
      </c>
      <c r="AB52" s="24"/>
      <c r="AC52" s="24">
        <f ca="1">INDIRECT("'("&amp;$A$4&amp;")'!ac52")</f>
        <v>3</v>
      </c>
      <c r="AD52" s="24">
        <f ca="1">INDIRECT("'("&amp;$A$4&amp;")'!ad52")</f>
        <v>0</v>
      </c>
      <c r="AE52" s="24">
        <f ca="1">INDIRECT("'("&amp;$A$4&amp;")'!ae52")</f>
        <v>0</v>
      </c>
      <c r="AF52" s="24">
        <f ca="1">INDIRECT("'("&amp;$A$4&amp;")'!af52")</f>
        <v>0</v>
      </c>
      <c r="AG52" s="24">
        <f ca="1">INDIRECT("'("&amp;$A$4&amp;")'!ag52")</f>
        <v>0</v>
      </c>
      <c r="AH52" s="24">
        <f ca="1">INDIRECT("'("&amp;$A$4&amp;")'!ah52")</f>
        <v>0</v>
      </c>
      <c r="AI52" s="46">
        <f t="shared" ca="1" si="41"/>
        <v>0</v>
      </c>
      <c r="AJ52" s="46">
        <f t="shared" ca="1" si="42"/>
        <v>0</v>
      </c>
      <c r="AK52" s="24"/>
      <c r="AL52" s="24">
        <f ca="1">INDIRECT("'("&amp;$A$4&amp;")'!al52")</f>
        <v>35</v>
      </c>
      <c r="AM52" s="24">
        <f ca="1">INDIRECT("'("&amp;$A$4&amp;")'!am52")</f>
        <v>0</v>
      </c>
      <c r="AN52" s="24">
        <f ca="1">INDIRECT("'("&amp;$A$4&amp;")'!an52")</f>
        <v>2</v>
      </c>
      <c r="AO52" s="24">
        <f ca="1">INDIRECT("'("&amp;$A$4&amp;")'!ao52")</f>
        <v>0</v>
      </c>
      <c r="AP52" s="24">
        <f ca="1">INDIRECT("'("&amp;$A$4&amp;")'!ag52")</f>
        <v>0</v>
      </c>
      <c r="AQ52" s="24">
        <f ca="1">INDIRECT("'("&amp;$A$4&amp;")'!aq52")</f>
        <v>0</v>
      </c>
      <c r="AR52" s="46">
        <f t="shared" ca="1" si="48"/>
        <v>5.4054054054054057E-2</v>
      </c>
      <c r="AS52" s="46">
        <f t="shared" ca="1" si="49"/>
        <v>0</v>
      </c>
      <c r="AT52" s="24"/>
      <c r="AU52" s="22">
        <f t="shared" ca="1" si="50"/>
        <v>91</v>
      </c>
      <c r="AV52" s="22">
        <f t="shared" ca="1" si="51"/>
        <v>4</v>
      </c>
      <c r="AW52" s="22">
        <f t="shared" ca="1" si="52"/>
        <v>2</v>
      </c>
      <c r="AX52" s="22">
        <f t="shared" ca="1" si="53"/>
        <v>0</v>
      </c>
      <c r="AY52" s="22">
        <f t="shared" ca="1" si="54"/>
        <v>0</v>
      </c>
      <c r="AZ52" s="22">
        <f t="shared" ca="1" si="55"/>
        <v>1</v>
      </c>
      <c r="BA52" s="46">
        <f t="shared" ca="1" si="56"/>
        <v>6.1855670103092786E-2</v>
      </c>
      <c r="BB52" s="46">
        <f t="shared" ca="1" si="57"/>
        <v>1.020408163265306E-2</v>
      </c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s="8" customFormat="1" ht="15" customHeight="1" x14ac:dyDescent="0.35">
      <c r="A53" s="2" t="s">
        <v>60</v>
      </c>
      <c r="B53" s="24">
        <f ca="1">INDIRECT("'("&amp;$A$4&amp;")'!b53")</f>
        <v>6</v>
      </c>
      <c r="C53" s="24">
        <f ca="1">INDIRECT("'("&amp;$A$4&amp;")'!c53")</f>
        <v>0</v>
      </c>
      <c r="D53" s="24">
        <f ca="1">INDIRECT("'("&amp;$A$4&amp;")'!d53")</f>
        <v>0</v>
      </c>
      <c r="E53" s="24">
        <f ca="1">INDIRECT("'("&amp;$A$4&amp;")'!e53")</f>
        <v>0</v>
      </c>
      <c r="F53" s="24">
        <f ca="1">INDIRECT("'("&amp;$A$4&amp;")'!f53")</f>
        <v>0</v>
      </c>
      <c r="G53" s="24">
        <f ca="1">INDIRECT("'("&amp;$A$4&amp;")'!g53")</f>
        <v>0</v>
      </c>
      <c r="H53" s="46">
        <f t="shared" ca="1" si="19"/>
        <v>0</v>
      </c>
      <c r="I53" s="46">
        <f t="shared" ca="1" si="20"/>
        <v>0</v>
      </c>
      <c r="J53" s="24"/>
      <c r="K53" s="24">
        <f ca="1">INDIRECT("'("&amp;$A$4&amp;")'!k53")</f>
        <v>6</v>
      </c>
      <c r="L53" s="24">
        <f ca="1">INDIRECT("'("&amp;$A$4&amp;")'!l53")</f>
        <v>0</v>
      </c>
      <c r="M53" s="24">
        <f ca="1">INDIRECT("'("&amp;$A$4&amp;")'!m53")</f>
        <v>0</v>
      </c>
      <c r="N53" s="24">
        <f ca="1">INDIRECT("'("&amp;$A$4&amp;")'!n53")</f>
        <v>0</v>
      </c>
      <c r="O53" s="24">
        <f ca="1">INDIRECT("'("&amp;$A$4&amp;")'!o53")</f>
        <v>0</v>
      </c>
      <c r="P53" s="24">
        <f ca="1">INDIRECT("'("&amp;$A$4&amp;")'!p53")</f>
        <v>0</v>
      </c>
      <c r="Q53" s="46">
        <f t="shared" ca="1" si="26"/>
        <v>0</v>
      </c>
      <c r="R53" s="46">
        <f t="shared" ca="1" si="27"/>
        <v>0</v>
      </c>
      <c r="S53" s="24"/>
      <c r="T53" s="22">
        <f t="shared" ca="1" si="28"/>
        <v>12</v>
      </c>
      <c r="U53" s="22">
        <f t="shared" ca="1" si="29"/>
        <v>0</v>
      </c>
      <c r="V53" s="22">
        <f t="shared" ca="1" si="30"/>
        <v>0</v>
      </c>
      <c r="W53" s="22">
        <f t="shared" ca="1" si="31"/>
        <v>0</v>
      </c>
      <c r="X53" s="22">
        <f t="shared" ca="1" si="32"/>
        <v>0</v>
      </c>
      <c r="Y53" s="22">
        <f t="shared" ca="1" si="33"/>
        <v>0</v>
      </c>
      <c r="Z53" s="46">
        <f t="shared" ca="1" si="34"/>
        <v>0</v>
      </c>
      <c r="AA53" s="46">
        <f t="shared" ca="1" si="35"/>
        <v>0</v>
      </c>
      <c r="AB53" s="24"/>
      <c r="AC53" s="24">
        <f ca="1">INDIRECT("'("&amp;$A$4&amp;")'!ac53")</f>
        <v>1</v>
      </c>
      <c r="AD53" s="24">
        <f ca="1">INDIRECT("'("&amp;$A$4&amp;")'!ad53")</f>
        <v>0</v>
      </c>
      <c r="AE53" s="24">
        <f ca="1">INDIRECT("'("&amp;$A$4&amp;")'!ae53")</f>
        <v>0</v>
      </c>
      <c r="AF53" s="24">
        <f ca="1">INDIRECT("'("&amp;$A$4&amp;")'!af53")</f>
        <v>0</v>
      </c>
      <c r="AG53" s="24">
        <f ca="1">INDIRECT("'("&amp;$A$4&amp;")'!ag53")</f>
        <v>0</v>
      </c>
      <c r="AH53" s="24">
        <f ca="1">INDIRECT("'("&amp;$A$4&amp;")'!ah53")</f>
        <v>0</v>
      </c>
      <c r="AI53" s="46">
        <f t="shared" ca="1" si="41"/>
        <v>0</v>
      </c>
      <c r="AJ53" s="46">
        <f t="shared" ca="1" si="42"/>
        <v>0</v>
      </c>
      <c r="AK53" s="24"/>
      <c r="AL53" s="24">
        <f ca="1">INDIRECT("'("&amp;$A$4&amp;")'!al53")</f>
        <v>20</v>
      </c>
      <c r="AM53" s="24">
        <f ca="1">INDIRECT("'("&amp;$A$4&amp;")'!am53")</f>
        <v>0</v>
      </c>
      <c r="AN53" s="24">
        <f ca="1">INDIRECT("'("&amp;$A$4&amp;")'!an53")</f>
        <v>1</v>
      </c>
      <c r="AO53" s="24">
        <f ca="1">INDIRECT("'("&amp;$A$4&amp;")'!ao53")</f>
        <v>0</v>
      </c>
      <c r="AP53" s="24">
        <f ca="1">INDIRECT("'("&amp;$A$4&amp;")'!ag53")</f>
        <v>0</v>
      </c>
      <c r="AQ53" s="24">
        <f ca="1">INDIRECT("'("&amp;$A$4&amp;")'!aq53")</f>
        <v>4</v>
      </c>
      <c r="AR53" s="46">
        <f t="shared" ca="1" si="48"/>
        <v>4.7619047619047616E-2</v>
      </c>
      <c r="AS53" s="46">
        <f t="shared" ca="1" si="49"/>
        <v>0.16</v>
      </c>
      <c r="AT53" s="24"/>
      <c r="AU53" s="22">
        <f t="shared" ca="1" si="50"/>
        <v>33</v>
      </c>
      <c r="AV53" s="22">
        <f t="shared" ca="1" si="51"/>
        <v>0</v>
      </c>
      <c r="AW53" s="22">
        <f t="shared" ca="1" si="52"/>
        <v>1</v>
      </c>
      <c r="AX53" s="22">
        <f t="shared" ca="1" si="53"/>
        <v>0</v>
      </c>
      <c r="AY53" s="22">
        <f t="shared" ca="1" si="54"/>
        <v>0</v>
      </c>
      <c r="AZ53" s="22">
        <f t="shared" ca="1" si="55"/>
        <v>4</v>
      </c>
      <c r="BA53" s="46">
        <f t="shared" ca="1" si="56"/>
        <v>2.9411764705882353E-2</v>
      </c>
      <c r="BB53" s="46">
        <f t="shared" ca="1" si="57"/>
        <v>0.10526315789473684</v>
      </c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s="8" customFormat="1" ht="15" customHeight="1" x14ac:dyDescent="0.35">
      <c r="A54" s="2" t="s">
        <v>61</v>
      </c>
      <c r="B54" s="24">
        <f ca="1">INDIRECT("'("&amp;$A$4&amp;")'!b54")</f>
        <v>53</v>
      </c>
      <c r="C54" s="24">
        <f ca="1">INDIRECT("'("&amp;$A$4&amp;")'!c54")</f>
        <v>12</v>
      </c>
      <c r="D54" s="24">
        <f ca="1">INDIRECT("'("&amp;$A$4&amp;")'!d54")</f>
        <v>3</v>
      </c>
      <c r="E54" s="24">
        <f ca="1">INDIRECT("'("&amp;$A$4&amp;")'!e54")</f>
        <v>4</v>
      </c>
      <c r="F54" s="24">
        <f ca="1">INDIRECT("'("&amp;$A$4&amp;")'!f54")</f>
        <v>0</v>
      </c>
      <c r="G54" s="24">
        <f ca="1">INDIRECT("'("&amp;$A$4&amp;")'!g54")</f>
        <v>1</v>
      </c>
      <c r="H54" s="46">
        <f t="shared" ca="1" si="19"/>
        <v>0.2638888888888889</v>
      </c>
      <c r="I54" s="46">
        <f t="shared" ca="1" si="20"/>
        <v>1.3698630136986301E-2</v>
      </c>
      <c r="J54" s="24"/>
      <c r="K54" s="24">
        <f ca="1">INDIRECT("'("&amp;$A$4&amp;")'!k54")</f>
        <v>0</v>
      </c>
      <c r="L54" s="24">
        <f ca="1">INDIRECT("'("&amp;$A$4&amp;")'!l54")</f>
        <v>0</v>
      </c>
      <c r="M54" s="24">
        <f ca="1">INDIRECT("'("&amp;$A$4&amp;")'!m54")</f>
        <v>0</v>
      </c>
      <c r="N54" s="24">
        <f ca="1">INDIRECT("'("&amp;$A$4&amp;")'!n54")</f>
        <v>0</v>
      </c>
      <c r="O54" s="24">
        <f ca="1">INDIRECT("'("&amp;$A$4&amp;")'!o54")</f>
        <v>0</v>
      </c>
      <c r="P54" s="24">
        <f ca="1">INDIRECT("'("&amp;$A$4&amp;")'!p54")</f>
        <v>0</v>
      </c>
      <c r="Q54" s="46" t="str">
        <f t="shared" ca="1" si="26"/>
        <v>-</v>
      </c>
      <c r="R54" s="46" t="str">
        <f t="shared" ca="1" si="27"/>
        <v>-</v>
      </c>
      <c r="S54" s="24"/>
      <c r="T54" s="22">
        <f t="shared" ca="1" si="28"/>
        <v>53</v>
      </c>
      <c r="U54" s="22">
        <f t="shared" ca="1" si="29"/>
        <v>12</v>
      </c>
      <c r="V54" s="22">
        <f t="shared" ca="1" si="30"/>
        <v>3</v>
      </c>
      <c r="W54" s="22">
        <f t="shared" ca="1" si="31"/>
        <v>4</v>
      </c>
      <c r="X54" s="22">
        <f t="shared" ca="1" si="32"/>
        <v>0</v>
      </c>
      <c r="Y54" s="22">
        <f t="shared" ca="1" si="33"/>
        <v>1</v>
      </c>
      <c r="Z54" s="46">
        <f t="shared" ca="1" si="34"/>
        <v>0.2638888888888889</v>
      </c>
      <c r="AA54" s="46">
        <f t="shared" ca="1" si="35"/>
        <v>1.3698630136986301E-2</v>
      </c>
      <c r="AB54" s="24"/>
      <c r="AC54" s="24">
        <f ca="1">INDIRECT("'("&amp;$A$4&amp;")'!ac54")</f>
        <v>2</v>
      </c>
      <c r="AD54" s="24">
        <f ca="1">INDIRECT("'("&amp;$A$4&amp;")'!ad54")</f>
        <v>0</v>
      </c>
      <c r="AE54" s="24">
        <f ca="1">INDIRECT("'("&amp;$A$4&amp;")'!ae54")</f>
        <v>0</v>
      </c>
      <c r="AF54" s="24">
        <f ca="1">INDIRECT("'("&amp;$A$4&amp;")'!af54")</f>
        <v>0</v>
      </c>
      <c r="AG54" s="24">
        <f ca="1">INDIRECT("'("&amp;$A$4&amp;")'!ag54")</f>
        <v>0</v>
      </c>
      <c r="AH54" s="24">
        <f ca="1">INDIRECT("'("&amp;$A$4&amp;")'!ah54")</f>
        <v>0</v>
      </c>
      <c r="AI54" s="46">
        <f t="shared" ca="1" si="41"/>
        <v>0</v>
      </c>
      <c r="AJ54" s="46">
        <f t="shared" ca="1" si="42"/>
        <v>0</v>
      </c>
      <c r="AK54" s="24"/>
      <c r="AL54" s="24">
        <f ca="1">INDIRECT("'("&amp;$A$4&amp;")'!al54")</f>
        <v>10</v>
      </c>
      <c r="AM54" s="24">
        <f ca="1">INDIRECT("'("&amp;$A$4&amp;")'!am54")</f>
        <v>0</v>
      </c>
      <c r="AN54" s="24">
        <f ca="1">INDIRECT("'("&amp;$A$4&amp;")'!an54")</f>
        <v>1</v>
      </c>
      <c r="AO54" s="24">
        <f ca="1">INDIRECT("'("&amp;$A$4&amp;")'!ao54")</f>
        <v>0</v>
      </c>
      <c r="AP54" s="24">
        <f ca="1">INDIRECT("'("&amp;$A$4&amp;")'!ag54")</f>
        <v>0</v>
      </c>
      <c r="AQ54" s="24">
        <f ca="1">INDIRECT("'("&amp;$A$4&amp;")'!aq54")</f>
        <v>8</v>
      </c>
      <c r="AR54" s="46">
        <f t="shared" ca="1" si="48"/>
        <v>9.0909090909090912E-2</v>
      </c>
      <c r="AS54" s="46">
        <f t="shared" ca="1" si="49"/>
        <v>0.42105263157894735</v>
      </c>
      <c r="AT54" s="24"/>
      <c r="AU54" s="22">
        <f t="shared" ca="1" si="50"/>
        <v>65</v>
      </c>
      <c r="AV54" s="22">
        <f t="shared" ca="1" si="51"/>
        <v>12</v>
      </c>
      <c r="AW54" s="22">
        <f t="shared" ca="1" si="52"/>
        <v>4</v>
      </c>
      <c r="AX54" s="22">
        <f t="shared" ca="1" si="53"/>
        <v>4</v>
      </c>
      <c r="AY54" s="22">
        <f t="shared" ca="1" si="54"/>
        <v>0</v>
      </c>
      <c r="AZ54" s="22">
        <f t="shared" ca="1" si="55"/>
        <v>9</v>
      </c>
      <c r="BA54" s="46">
        <f t="shared" ca="1" si="56"/>
        <v>0.23529411764705882</v>
      </c>
      <c r="BB54" s="46">
        <f t="shared" ca="1" si="57"/>
        <v>9.5744680851063829E-2</v>
      </c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s="8" customFormat="1" ht="15" customHeight="1" x14ac:dyDescent="0.35">
      <c r="A55" s="2" t="s">
        <v>62</v>
      </c>
      <c r="B55" s="24">
        <f ca="1">INDIRECT("'("&amp;$A$4&amp;")'!b55")</f>
        <v>29</v>
      </c>
      <c r="C55" s="24">
        <f ca="1">INDIRECT("'("&amp;$A$4&amp;")'!c55")</f>
        <v>0</v>
      </c>
      <c r="D55" s="24">
        <f ca="1">INDIRECT("'("&amp;$A$4&amp;")'!d55")</f>
        <v>0</v>
      </c>
      <c r="E55" s="24">
        <f ca="1">INDIRECT("'("&amp;$A$4&amp;")'!e55")</f>
        <v>1</v>
      </c>
      <c r="F55" s="24">
        <f ca="1">INDIRECT("'("&amp;$A$4&amp;")'!f55")</f>
        <v>0</v>
      </c>
      <c r="G55" s="24">
        <f ca="1">INDIRECT("'("&amp;$A$4&amp;")'!g55")</f>
        <v>6</v>
      </c>
      <c r="H55" s="46">
        <f t="shared" ca="1" si="19"/>
        <v>3.3333333333333333E-2</v>
      </c>
      <c r="I55" s="46">
        <f t="shared" ca="1" si="20"/>
        <v>0.16666666666666666</v>
      </c>
      <c r="J55" s="24"/>
      <c r="K55" s="24">
        <f ca="1">INDIRECT("'("&amp;$A$4&amp;")'!k55")</f>
        <v>7</v>
      </c>
      <c r="L55" s="24">
        <f ca="1">INDIRECT("'("&amp;$A$4&amp;")'!l55")</f>
        <v>0</v>
      </c>
      <c r="M55" s="24">
        <f ca="1">INDIRECT("'("&amp;$A$4&amp;")'!m55")</f>
        <v>0</v>
      </c>
      <c r="N55" s="24">
        <f ca="1">INDIRECT("'("&amp;$A$4&amp;")'!n55")</f>
        <v>0</v>
      </c>
      <c r="O55" s="24">
        <f ca="1">INDIRECT("'("&amp;$A$4&amp;")'!o55")</f>
        <v>0</v>
      </c>
      <c r="P55" s="24">
        <f ca="1">INDIRECT("'("&amp;$A$4&amp;")'!p55")</f>
        <v>0</v>
      </c>
      <c r="Q55" s="46">
        <f t="shared" ca="1" si="26"/>
        <v>0</v>
      </c>
      <c r="R55" s="46">
        <f t="shared" ca="1" si="27"/>
        <v>0</v>
      </c>
      <c r="S55" s="24"/>
      <c r="T55" s="22">
        <f t="shared" ca="1" si="28"/>
        <v>36</v>
      </c>
      <c r="U55" s="22">
        <f t="shared" ca="1" si="29"/>
        <v>0</v>
      </c>
      <c r="V55" s="22">
        <f t="shared" ca="1" si="30"/>
        <v>0</v>
      </c>
      <c r="W55" s="22">
        <f t="shared" ca="1" si="31"/>
        <v>1</v>
      </c>
      <c r="X55" s="22">
        <f t="shared" ca="1" si="32"/>
        <v>0</v>
      </c>
      <c r="Y55" s="22">
        <f t="shared" ca="1" si="33"/>
        <v>6</v>
      </c>
      <c r="Z55" s="46">
        <f t="shared" ca="1" si="34"/>
        <v>2.7027027027027029E-2</v>
      </c>
      <c r="AA55" s="46">
        <f t="shared" ca="1" si="35"/>
        <v>0.13953488372093023</v>
      </c>
      <c r="AB55" s="24"/>
      <c r="AC55" s="24">
        <f ca="1">INDIRECT("'("&amp;$A$4&amp;")'!ac55")</f>
        <v>0</v>
      </c>
      <c r="AD55" s="24">
        <f ca="1">INDIRECT("'("&amp;$A$4&amp;")'!ad55")</f>
        <v>0</v>
      </c>
      <c r="AE55" s="24">
        <f ca="1">INDIRECT("'("&amp;$A$4&amp;")'!ae55")</f>
        <v>0</v>
      </c>
      <c r="AF55" s="24">
        <f ca="1">INDIRECT("'("&amp;$A$4&amp;")'!af55")</f>
        <v>0</v>
      </c>
      <c r="AG55" s="24">
        <f ca="1">INDIRECT("'("&amp;$A$4&amp;")'!ag55")</f>
        <v>0</v>
      </c>
      <c r="AH55" s="24">
        <f ca="1">INDIRECT("'("&amp;$A$4&amp;")'!ah55")</f>
        <v>0</v>
      </c>
      <c r="AI55" s="46" t="str">
        <f t="shared" ca="1" si="41"/>
        <v>-</v>
      </c>
      <c r="AJ55" s="46" t="str">
        <f t="shared" ca="1" si="42"/>
        <v>-</v>
      </c>
      <c r="AK55" s="24"/>
      <c r="AL55" s="24">
        <f ca="1">INDIRECT("'("&amp;$A$4&amp;")'!al55")</f>
        <v>37</v>
      </c>
      <c r="AM55" s="24">
        <f ca="1">INDIRECT("'("&amp;$A$4&amp;")'!am55")</f>
        <v>1</v>
      </c>
      <c r="AN55" s="24">
        <f ca="1">INDIRECT("'("&amp;$A$4&amp;")'!an55")</f>
        <v>6</v>
      </c>
      <c r="AO55" s="24">
        <f ca="1">INDIRECT("'("&amp;$A$4&amp;")'!ao55")</f>
        <v>1</v>
      </c>
      <c r="AP55" s="24">
        <f ca="1">INDIRECT("'("&amp;$A$4&amp;")'!ag55")</f>
        <v>0</v>
      </c>
      <c r="AQ55" s="24">
        <f ca="1">INDIRECT("'("&amp;$A$4&amp;")'!aq55")</f>
        <v>2</v>
      </c>
      <c r="AR55" s="46">
        <f t="shared" ca="1" si="48"/>
        <v>0.17777777777777778</v>
      </c>
      <c r="AS55" s="46">
        <f t="shared" ca="1" si="49"/>
        <v>4.2553191489361701E-2</v>
      </c>
      <c r="AT55" s="24"/>
      <c r="AU55" s="22">
        <f t="shared" ca="1" si="50"/>
        <v>73</v>
      </c>
      <c r="AV55" s="22">
        <f t="shared" ca="1" si="51"/>
        <v>1</v>
      </c>
      <c r="AW55" s="22">
        <f t="shared" ca="1" si="52"/>
        <v>6</v>
      </c>
      <c r="AX55" s="22">
        <f t="shared" ca="1" si="53"/>
        <v>2</v>
      </c>
      <c r="AY55" s="22">
        <f t="shared" ca="1" si="54"/>
        <v>0</v>
      </c>
      <c r="AZ55" s="22">
        <f t="shared" ca="1" si="55"/>
        <v>8</v>
      </c>
      <c r="BA55" s="46">
        <f t="shared" ca="1" si="56"/>
        <v>0.10975609756097561</v>
      </c>
      <c r="BB55" s="46">
        <f t="shared" ca="1" si="57"/>
        <v>8.8888888888888892E-2</v>
      </c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s="8" customFormat="1" ht="15" customHeight="1" thickBot="1" x14ac:dyDescent="0.4">
      <c r="A56" s="27" t="s">
        <v>63</v>
      </c>
      <c r="B56" s="24">
        <f ca="1">INDIRECT("'("&amp;$A$4&amp;")'!b56")</f>
        <v>171</v>
      </c>
      <c r="C56" s="24">
        <f ca="1">INDIRECT("'("&amp;$A$4&amp;")'!c56")</f>
        <v>9</v>
      </c>
      <c r="D56" s="24">
        <f ca="1">INDIRECT("'("&amp;$A$4&amp;")'!d56")</f>
        <v>7</v>
      </c>
      <c r="E56" s="24">
        <f ca="1">INDIRECT("'("&amp;$A$4&amp;")'!e56")</f>
        <v>11</v>
      </c>
      <c r="F56" s="24">
        <f ca="1">INDIRECT("'("&amp;$A$4&amp;")'!f56")</f>
        <v>4</v>
      </c>
      <c r="G56" s="24">
        <f ca="1">INDIRECT("'("&amp;$A$4&amp;")'!g56")</f>
        <v>4</v>
      </c>
      <c r="H56" s="46">
        <f t="shared" ca="1" si="19"/>
        <v>0.15346534653465346</v>
      </c>
      <c r="I56" s="46">
        <f t="shared" ca="1" si="20"/>
        <v>1.9417475728155338E-2</v>
      </c>
      <c r="J56" s="28"/>
      <c r="K56" s="24">
        <f ca="1">INDIRECT("'("&amp;$A$4&amp;")'!k56")</f>
        <v>0</v>
      </c>
      <c r="L56" s="24">
        <f ca="1">INDIRECT("'("&amp;$A$4&amp;")'!l56")</f>
        <v>0</v>
      </c>
      <c r="M56" s="24">
        <f ca="1">INDIRECT("'("&amp;$A$4&amp;")'!m56")</f>
        <v>0</v>
      </c>
      <c r="N56" s="24">
        <f ca="1">INDIRECT("'("&amp;$A$4&amp;")'!n56")</f>
        <v>0</v>
      </c>
      <c r="O56" s="24">
        <f ca="1">INDIRECT("'("&amp;$A$4&amp;")'!o56")</f>
        <v>0</v>
      </c>
      <c r="P56" s="24">
        <f ca="1">INDIRECT("'("&amp;$A$4&amp;")'!p56")</f>
        <v>0</v>
      </c>
      <c r="Q56" s="46" t="str">
        <f t="shared" ca="1" si="26"/>
        <v>-</v>
      </c>
      <c r="R56" s="46" t="str">
        <f t="shared" ca="1" si="27"/>
        <v>-</v>
      </c>
      <c r="S56" s="28"/>
      <c r="T56" s="22">
        <f t="shared" ca="1" si="28"/>
        <v>171</v>
      </c>
      <c r="U56" s="22">
        <f t="shared" ca="1" si="29"/>
        <v>9</v>
      </c>
      <c r="V56" s="22">
        <f t="shared" ca="1" si="30"/>
        <v>7</v>
      </c>
      <c r="W56" s="22">
        <f t="shared" ca="1" si="31"/>
        <v>11</v>
      </c>
      <c r="X56" s="22">
        <f t="shared" ca="1" si="32"/>
        <v>4</v>
      </c>
      <c r="Y56" s="22">
        <f t="shared" ca="1" si="33"/>
        <v>4</v>
      </c>
      <c r="Z56" s="46">
        <f t="shared" ca="1" si="34"/>
        <v>0.15346534653465346</v>
      </c>
      <c r="AA56" s="46">
        <f t="shared" ca="1" si="35"/>
        <v>1.9417475728155338E-2</v>
      </c>
      <c r="AB56" s="28"/>
      <c r="AC56" s="24">
        <f ca="1">INDIRECT("'("&amp;$A$4&amp;")'!ac56")</f>
        <v>16</v>
      </c>
      <c r="AD56" s="24">
        <f ca="1">INDIRECT("'("&amp;$A$4&amp;")'!ad56")</f>
        <v>2</v>
      </c>
      <c r="AE56" s="24">
        <f ca="1">INDIRECT("'("&amp;$A$4&amp;")'!ae56")</f>
        <v>1</v>
      </c>
      <c r="AF56" s="24">
        <f ca="1">INDIRECT("'("&amp;$A$4&amp;")'!af56")</f>
        <v>1</v>
      </c>
      <c r="AG56" s="24">
        <f ca="1">INDIRECT("'("&amp;$A$4&amp;")'!ag56")</f>
        <v>0</v>
      </c>
      <c r="AH56" s="24">
        <f ca="1">INDIRECT("'("&amp;$A$4&amp;")'!ah56")</f>
        <v>0</v>
      </c>
      <c r="AI56" s="46">
        <f t="shared" ca="1" si="41"/>
        <v>0.2</v>
      </c>
      <c r="AJ56" s="46">
        <f t="shared" ca="1" si="42"/>
        <v>0</v>
      </c>
      <c r="AK56" s="28"/>
      <c r="AL56" s="24">
        <f ca="1">INDIRECT("'("&amp;$A$4&amp;")'!al56")</f>
        <v>41</v>
      </c>
      <c r="AM56" s="24">
        <f ca="1">INDIRECT("'("&amp;$A$4&amp;")'!am56")</f>
        <v>2</v>
      </c>
      <c r="AN56" s="24">
        <f ca="1">INDIRECT("'("&amp;$A$4&amp;")'!an56")</f>
        <v>5</v>
      </c>
      <c r="AO56" s="24">
        <f ca="1">INDIRECT("'("&amp;$A$4&amp;")'!ao56")</f>
        <v>17</v>
      </c>
      <c r="AP56" s="24">
        <f ca="1">INDIRECT("'("&amp;$A$4&amp;")'!ag56")</f>
        <v>0</v>
      </c>
      <c r="AQ56" s="24">
        <f ca="1">INDIRECT("'("&amp;$A$4&amp;")'!aq56")</f>
        <v>3</v>
      </c>
      <c r="AR56" s="46">
        <f t="shared" ca="1" si="48"/>
        <v>0.36923076923076925</v>
      </c>
      <c r="AS56" s="46">
        <f t="shared" ca="1" si="49"/>
        <v>4.4117647058823532E-2</v>
      </c>
      <c r="AT56" s="28"/>
      <c r="AU56" s="30">
        <f t="shared" ca="1" si="50"/>
        <v>228</v>
      </c>
      <c r="AV56" s="30">
        <f t="shared" ca="1" si="51"/>
        <v>13</v>
      </c>
      <c r="AW56" s="30">
        <f t="shared" ca="1" si="52"/>
        <v>13</v>
      </c>
      <c r="AX56" s="30">
        <f t="shared" ca="1" si="53"/>
        <v>29</v>
      </c>
      <c r="AY56" s="30">
        <f t="shared" ca="1" si="54"/>
        <v>4</v>
      </c>
      <c r="AZ56" s="30">
        <f t="shared" ca="1" si="55"/>
        <v>7</v>
      </c>
      <c r="BA56" s="46">
        <f t="shared" ca="1" si="56"/>
        <v>0.20557491289198607</v>
      </c>
      <c r="BB56" s="46">
        <f t="shared" ca="1" si="57"/>
        <v>2.3809523809523808E-2</v>
      </c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 s="8" customFormat="1" ht="15" customHeigh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 x14ac:dyDescent="0.35">
      <c r="A58" s="80" t="s">
        <v>64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</row>
    <row r="59" spans="1:63" x14ac:dyDescent="0.35">
      <c r="A59" s="38" t="s">
        <v>76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1:63" x14ac:dyDescent="0.3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1:63" x14ac:dyDescent="0.35">
      <c r="A61" s="33" t="s">
        <v>65</v>
      </c>
    </row>
    <row r="62" spans="1:63" x14ac:dyDescent="0.35">
      <c r="A62" s="82" t="s">
        <v>66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4" spans="1:63" x14ac:dyDescent="0.35">
      <c r="A64" s="4" t="s">
        <v>67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54" x14ac:dyDescent="0.35">
      <c r="A65" s="35" t="s">
        <v>68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7" spans="1:54" x14ac:dyDescent="0.35">
      <c r="A67" s="80" t="s">
        <v>69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</row>
    <row r="68" spans="1:54" x14ac:dyDescent="0.35">
      <c r="A68" s="35"/>
      <c r="BB68" s="8"/>
    </row>
    <row r="69" spans="1:54" x14ac:dyDescent="0.35">
      <c r="A69" s="4" t="s">
        <v>70</v>
      </c>
      <c r="X69" s="36"/>
      <c r="BB69" s="37" t="s">
        <v>71</v>
      </c>
    </row>
    <row r="70" spans="1:54" x14ac:dyDescent="0.35">
      <c r="A70" s="35" t="s">
        <v>72</v>
      </c>
      <c r="X70" s="36"/>
      <c r="BB70" s="36" t="s">
        <v>73</v>
      </c>
    </row>
  </sheetData>
  <mergeCells count="13">
    <mergeCell ref="A58:X58"/>
    <mergeCell ref="A60:X60"/>
    <mergeCell ref="A62:X62"/>
    <mergeCell ref="A67:X67"/>
    <mergeCell ref="A4:L4"/>
    <mergeCell ref="A1:BB1"/>
    <mergeCell ref="B5:BB5"/>
    <mergeCell ref="B6:H6"/>
    <mergeCell ref="K6:R6"/>
    <mergeCell ref="T6:Z6"/>
    <mergeCell ref="AC6:AI6"/>
    <mergeCell ref="AL6:AR6"/>
    <mergeCell ref="AU6:BB6"/>
  </mergeCells>
  <hyperlinks>
    <hyperlink ref="A65" r:id="rId1" xr:uid="{00000000-0004-0000-0300-000000000000}"/>
    <hyperlink ref="A70" r:id="rId2" xr:uid="{00000000-0004-0000-0300-000001000000}"/>
    <hyperlink ref="BB69" r:id="rId3" xr:uid="{00000000-0004-0000-0300-000002000000}"/>
  </hyperlinks>
  <pageMargins left="0.7" right="0.7" top="0.75" bottom="0.75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87"/>
  <sheetViews>
    <sheetView tabSelected="1" zoomScaleNormal="100" workbookViewId="0">
      <pane ySplit="8" topLeftCell="A9" activePane="bottomLeft" state="frozen"/>
      <selection pane="bottomLeft" activeCell="A4" sqref="A4:L4"/>
    </sheetView>
  </sheetViews>
  <sheetFormatPr defaultColWidth="9.1796875" defaultRowHeight="14.5" x14ac:dyDescent="0.35"/>
  <cols>
    <col min="1" max="1" width="50.7265625" style="4" customWidth="1"/>
    <col min="2" max="5" width="8.7265625" style="4" customWidth="1"/>
    <col min="6" max="6" width="9.7265625" style="4" customWidth="1"/>
    <col min="7" max="7" width="8.7265625" style="4" customWidth="1"/>
    <col min="8" max="8" width="9.7265625" style="4" customWidth="1"/>
    <col min="9" max="9" width="8.7265625" style="4" customWidth="1"/>
    <col min="10" max="10" width="2.7265625" style="4" customWidth="1"/>
    <col min="11" max="14" width="8.7265625" style="4" customWidth="1"/>
    <col min="15" max="15" width="9.7265625" style="4" customWidth="1"/>
    <col min="16" max="16" width="8.7265625" style="4" customWidth="1"/>
    <col min="17" max="17" width="9.7265625" style="4" customWidth="1"/>
    <col min="18" max="18" width="8.7265625" style="4" customWidth="1"/>
    <col min="19" max="19" width="2.7265625" style="4" customWidth="1"/>
    <col min="20" max="23" width="8.7265625" style="4" customWidth="1"/>
    <col min="24" max="24" width="11.7265625" style="4" customWidth="1"/>
    <col min="25" max="25" width="8.7265625" style="4" customWidth="1"/>
    <col min="26" max="26" width="11.7265625" style="4" customWidth="1"/>
    <col min="27" max="27" width="9.7265625" style="4" customWidth="1"/>
    <col min="28" max="28" width="2.7265625" style="4" customWidth="1"/>
    <col min="29" max="32" width="8.7265625" style="4" customWidth="1"/>
    <col min="33" max="33" width="9.7265625" style="4" customWidth="1"/>
    <col min="34" max="34" width="8.7265625" style="4" customWidth="1"/>
    <col min="35" max="35" width="9.7265625" style="4" customWidth="1"/>
    <col min="36" max="36" width="8.7265625" style="4" customWidth="1"/>
    <col min="37" max="37" width="2.7265625" style="4" customWidth="1"/>
    <col min="38" max="41" width="8.7265625" style="4" customWidth="1"/>
    <col min="42" max="42" width="9.7265625" style="4" customWidth="1"/>
    <col min="43" max="43" width="8.7265625" style="4" customWidth="1"/>
    <col min="44" max="44" width="9.7265625" style="4" customWidth="1"/>
    <col min="45" max="45" width="8.7265625" style="4" customWidth="1"/>
    <col min="46" max="46" width="2.7265625" style="4" customWidth="1"/>
    <col min="47" max="50" width="8.7265625" style="4" customWidth="1"/>
    <col min="51" max="51" width="11.7265625" style="4" customWidth="1"/>
    <col min="52" max="52" width="8.7265625" style="4" customWidth="1"/>
    <col min="53" max="53" width="11.7265625" style="4" customWidth="1"/>
    <col min="54" max="54" width="9.7265625" style="4" customWidth="1"/>
    <col min="55" max="55" width="9.1796875" style="4"/>
    <col min="56" max="56" width="0" style="4" hidden="1" customWidth="1"/>
    <col min="57" max="16384" width="9.1796875" style="4"/>
  </cols>
  <sheetData>
    <row r="1" spans="1:64" s="1" customFormat="1" ht="23.25" customHeight="1" x14ac:dyDescent="0.5">
      <c r="A1" s="83" t="s">
        <v>86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</row>
    <row r="2" spans="1:64" s="1" customFormat="1" ht="23.25" customHeight="1" x14ac:dyDescent="0.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</row>
    <row r="3" spans="1:64" s="1" customFormat="1" ht="23.25" customHeight="1" x14ac:dyDescent="0.5">
      <c r="A3" s="21" t="s">
        <v>87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</row>
    <row r="4" spans="1:64" s="1" customFormat="1" ht="23.25" customHeight="1" x14ac:dyDescent="0.5">
      <c r="A4" s="92" t="s">
        <v>88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</row>
    <row r="5" spans="1:64" s="3" customFormat="1" x14ac:dyDescent="0.35">
      <c r="A5" s="2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</row>
    <row r="6" spans="1:64" s="8" customFormat="1" ht="15.75" customHeight="1" thickBot="1" x14ac:dyDescent="0.4">
      <c r="A6" s="4"/>
      <c r="B6" s="85" t="s">
        <v>92</v>
      </c>
      <c r="C6" s="85"/>
      <c r="D6" s="85"/>
      <c r="E6" s="85"/>
      <c r="F6" s="85"/>
      <c r="G6" s="85"/>
      <c r="H6" s="85"/>
      <c r="I6" s="40"/>
      <c r="J6" s="39"/>
      <c r="K6" s="87" t="s">
        <v>91</v>
      </c>
      <c r="L6" s="87"/>
      <c r="M6" s="87"/>
      <c r="N6" s="87"/>
      <c r="O6" s="87"/>
      <c r="P6" s="87"/>
      <c r="Q6" s="87"/>
      <c r="R6" s="87"/>
      <c r="S6" s="39"/>
      <c r="T6" s="86" t="s">
        <v>2</v>
      </c>
      <c r="U6" s="86"/>
      <c r="V6" s="86"/>
      <c r="W6" s="86"/>
      <c r="X6" s="86"/>
      <c r="Y6" s="86"/>
      <c r="Z6" s="86"/>
      <c r="AA6" s="7"/>
      <c r="AB6" s="39"/>
      <c r="AC6" s="87" t="s">
        <v>93</v>
      </c>
      <c r="AD6" s="87"/>
      <c r="AE6" s="87"/>
      <c r="AF6" s="87"/>
      <c r="AG6" s="87"/>
      <c r="AH6" s="87"/>
      <c r="AI6" s="87"/>
      <c r="AJ6" s="40"/>
      <c r="AK6" s="39"/>
      <c r="AL6" s="87" t="s">
        <v>4</v>
      </c>
      <c r="AM6" s="87"/>
      <c r="AN6" s="87"/>
      <c r="AO6" s="87"/>
      <c r="AP6" s="87"/>
      <c r="AQ6" s="87"/>
      <c r="AR6" s="87"/>
      <c r="AS6" s="40"/>
      <c r="AT6" s="39"/>
      <c r="AU6" s="86" t="s">
        <v>5</v>
      </c>
      <c r="AV6" s="86"/>
      <c r="AW6" s="86"/>
      <c r="AX6" s="86"/>
      <c r="AY6" s="86"/>
      <c r="AZ6" s="86"/>
      <c r="BA6" s="86"/>
      <c r="BB6" s="86"/>
    </row>
    <row r="7" spans="1:64" s="15" customFormat="1" ht="58.5" thickBot="1" x14ac:dyDescent="0.4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 t="s">
        <v>13</v>
      </c>
      <c r="I7" s="11" t="s">
        <v>14</v>
      </c>
      <c r="J7" s="41"/>
      <c r="K7" s="10" t="s">
        <v>7</v>
      </c>
      <c r="L7" s="10" t="s">
        <v>8</v>
      </c>
      <c r="M7" s="10" t="s">
        <v>9</v>
      </c>
      <c r="N7" s="10" t="s">
        <v>10</v>
      </c>
      <c r="O7" s="10" t="s">
        <v>11</v>
      </c>
      <c r="P7" s="10" t="s">
        <v>12</v>
      </c>
      <c r="Q7" s="11" t="s">
        <v>13</v>
      </c>
      <c r="R7" s="11" t="s">
        <v>14</v>
      </c>
      <c r="S7" s="41"/>
      <c r="T7" s="13" t="s">
        <v>7</v>
      </c>
      <c r="U7" s="13" t="s">
        <v>8</v>
      </c>
      <c r="V7" s="13" t="s">
        <v>9</v>
      </c>
      <c r="W7" s="13" t="s">
        <v>10</v>
      </c>
      <c r="X7" s="13" t="s">
        <v>11</v>
      </c>
      <c r="Y7" s="13" t="s">
        <v>12</v>
      </c>
      <c r="Z7" s="14" t="s">
        <v>13</v>
      </c>
      <c r="AA7" s="14" t="s">
        <v>14</v>
      </c>
      <c r="AB7" s="41"/>
      <c r="AC7" s="10" t="s">
        <v>7</v>
      </c>
      <c r="AD7" s="10" t="s">
        <v>8</v>
      </c>
      <c r="AE7" s="10" t="s">
        <v>9</v>
      </c>
      <c r="AF7" s="10" t="s">
        <v>10</v>
      </c>
      <c r="AG7" s="10" t="s">
        <v>11</v>
      </c>
      <c r="AH7" s="10" t="s">
        <v>12</v>
      </c>
      <c r="AI7" s="11" t="s">
        <v>13</v>
      </c>
      <c r="AJ7" s="11" t="s">
        <v>14</v>
      </c>
      <c r="AK7" s="41"/>
      <c r="AL7" s="10" t="s">
        <v>7</v>
      </c>
      <c r="AM7" s="10" t="s">
        <v>8</v>
      </c>
      <c r="AN7" s="10" t="s">
        <v>9</v>
      </c>
      <c r="AO7" s="10" t="s">
        <v>10</v>
      </c>
      <c r="AP7" s="10" t="s">
        <v>11</v>
      </c>
      <c r="AQ7" s="10" t="s">
        <v>12</v>
      </c>
      <c r="AR7" s="11" t="s">
        <v>13</v>
      </c>
      <c r="AS7" s="11" t="s">
        <v>14</v>
      </c>
      <c r="AT7" s="41"/>
      <c r="AU7" s="13" t="s">
        <v>7</v>
      </c>
      <c r="AV7" s="13" t="s">
        <v>8</v>
      </c>
      <c r="AW7" s="13" t="s">
        <v>9</v>
      </c>
      <c r="AX7" s="13" t="s">
        <v>10</v>
      </c>
      <c r="AY7" s="13" t="s">
        <v>11</v>
      </c>
      <c r="AZ7" s="13" t="s">
        <v>12</v>
      </c>
      <c r="BA7" s="14" t="s">
        <v>13</v>
      </c>
      <c r="BB7" s="14" t="s">
        <v>14</v>
      </c>
    </row>
    <row r="8" spans="1:64" s="8" customFormat="1" ht="15" customHeight="1" x14ac:dyDescent="0.35">
      <c r="A8" s="16" t="s">
        <v>15</v>
      </c>
      <c r="B8" s="22">
        <f ca="1">B9+B49</f>
        <v>824</v>
      </c>
      <c r="C8" s="22">
        <f t="shared" ref="C8:G8" ca="1" si="0">C9+C49</f>
        <v>48</v>
      </c>
      <c r="D8" s="22">
        <f t="shared" ca="1" si="0"/>
        <v>17</v>
      </c>
      <c r="E8" s="22">
        <f t="shared" ca="1" si="0"/>
        <v>18</v>
      </c>
      <c r="F8" s="22">
        <f t="shared" ca="1" si="0"/>
        <v>5</v>
      </c>
      <c r="G8" s="22">
        <f t="shared" ca="1" si="0"/>
        <v>194</v>
      </c>
      <c r="H8" s="76">
        <f ca="1">IF(SUM(B8:F8)=0,"-",(SUM(C8:F8)/SUM(B8:F8)))</f>
        <v>9.6491228070175433E-2</v>
      </c>
      <c r="I8" s="76">
        <f ca="1">IF(SUM(B8:G8)=0,"-",(G8/SUM(B8:G8)))</f>
        <v>0.17540687160940324</v>
      </c>
      <c r="J8" s="17"/>
      <c r="K8" s="22">
        <f ca="1">K9+K49</f>
        <v>1063</v>
      </c>
      <c r="L8" s="22">
        <f t="shared" ref="L8:P8" ca="1" si="1">L9+L49</f>
        <v>10</v>
      </c>
      <c r="M8" s="22">
        <f t="shared" ca="1" si="1"/>
        <v>1</v>
      </c>
      <c r="N8" s="22">
        <f t="shared" ca="1" si="1"/>
        <v>0</v>
      </c>
      <c r="O8" s="22">
        <f t="shared" ca="1" si="1"/>
        <v>4</v>
      </c>
      <c r="P8" s="22">
        <f t="shared" ca="1" si="1"/>
        <v>430</v>
      </c>
      <c r="Q8" s="76">
        <f ca="1">IF(SUM(K8:O8)=0,"-",(SUM(L8:O8)/SUM(K8:O8)))</f>
        <v>1.3914656771799629E-2</v>
      </c>
      <c r="R8" s="76">
        <f ca="1">IF(SUM(K8:P8)=0,"-",(P8/SUM(K8:P8)))</f>
        <v>0.28514588859416445</v>
      </c>
      <c r="S8" s="17"/>
      <c r="T8" s="17">
        <f ca="1">B8+K8</f>
        <v>1887</v>
      </c>
      <c r="U8" s="17">
        <f t="shared" ref="U8:Y23" ca="1" si="2">C8+L8</f>
        <v>58</v>
      </c>
      <c r="V8" s="17">
        <f t="shared" ca="1" si="2"/>
        <v>18</v>
      </c>
      <c r="W8" s="17">
        <f t="shared" ca="1" si="2"/>
        <v>18</v>
      </c>
      <c r="X8" s="17">
        <f t="shared" ca="1" si="2"/>
        <v>9</v>
      </c>
      <c r="Y8" s="17">
        <f t="shared" ca="1" si="2"/>
        <v>624</v>
      </c>
      <c r="Z8" s="77">
        <f ca="1">IF(SUM(T8:X8)=0,"-",(SUM(U8:X8)/SUM(T8:X8)))</f>
        <v>5.1758793969849247E-2</v>
      </c>
      <c r="AA8" s="76">
        <f ca="1">IF(SUM(T8:Y8)=0,"-",(Y8/SUM(T8:Y8)))</f>
        <v>0.23871461361897475</v>
      </c>
      <c r="AB8" s="17"/>
      <c r="AC8" s="22">
        <f ca="1">AC9+AC49</f>
        <v>91</v>
      </c>
      <c r="AD8" s="22">
        <f t="shared" ref="AD8:AH8" ca="1" si="3">AD9+AD49</f>
        <v>2</v>
      </c>
      <c r="AE8" s="22">
        <f t="shared" ca="1" si="3"/>
        <v>1</v>
      </c>
      <c r="AF8" s="22">
        <f t="shared" ca="1" si="3"/>
        <v>1</v>
      </c>
      <c r="AG8" s="22">
        <f t="shared" ca="1" si="3"/>
        <v>0</v>
      </c>
      <c r="AH8" s="22">
        <f t="shared" ca="1" si="3"/>
        <v>29</v>
      </c>
      <c r="AI8" s="76">
        <f ca="1">IF(SUM(AC8:AG8)=0,"-",(SUM(AD8:AG8)/SUM(AC8:AG8)))</f>
        <v>4.2105263157894736E-2</v>
      </c>
      <c r="AJ8" s="76">
        <f ca="1">IF(SUM(AC8:AH8)=0,"-",(AH8/SUM(AC8:AH8)))</f>
        <v>0.23387096774193547</v>
      </c>
      <c r="AK8" s="70"/>
      <c r="AL8" s="71">
        <f ca="1">AL9+AL49</f>
        <v>701</v>
      </c>
      <c r="AM8" s="71">
        <f t="shared" ref="AM8:AQ8" ca="1" si="4">AM9+AM49</f>
        <v>18</v>
      </c>
      <c r="AN8" s="71">
        <f t="shared" ca="1" si="4"/>
        <v>28</v>
      </c>
      <c r="AO8" s="71">
        <f t="shared" ca="1" si="4"/>
        <v>30</v>
      </c>
      <c r="AP8" s="71">
        <f t="shared" ca="1" si="4"/>
        <v>0</v>
      </c>
      <c r="AQ8" s="71">
        <f t="shared" ca="1" si="4"/>
        <v>236</v>
      </c>
      <c r="AR8" s="76">
        <f ca="1">IF(SUM(AL8:AP8)=0,"-",(SUM(AM8:AP8)/SUM(AL8:AP8)))</f>
        <v>9.7812097812097806E-2</v>
      </c>
      <c r="AS8" s="76">
        <f ca="1">IF(SUM(AL8:AQ8)=0,"-",(AQ8/SUM(AL8:AQ8)))</f>
        <v>0.23297137216189537</v>
      </c>
      <c r="AT8" s="70"/>
      <c r="AU8" s="70">
        <f ca="1">AL8+AC8+T8</f>
        <v>2679</v>
      </c>
      <c r="AV8" s="70">
        <f t="shared" ref="AV8:AZ23" ca="1" si="5">AM8+AD8+U8</f>
        <v>78</v>
      </c>
      <c r="AW8" s="70">
        <f t="shared" ca="1" si="5"/>
        <v>47</v>
      </c>
      <c r="AX8" s="70">
        <f t="shared" ca="1" si="5"/>
        <v>49</v>
      </c>
      <c r="AY8" s="70">
        <f t="shared" ca="1" si="5"/>
        <v>9</v>
      </c>
      <c r="AZ8" s="70">
        <f t="shared" ca="1" si="5"/>
        <v>889</v>
      </c>
      <c r="BA8" s="76">
        <f ca="1">IF(SUM(AU8:AY8)=0,"-",(SUM(AV8:AY8)/SUM(AU8:AY8)))</f>
        <v>6.3941299790356398E-2</v>
      </c>
      <c r="BB8" s="76">
        <f ca="1">IF(SUM(AU8:AZ8)=0,"-",(AZ8/SUM(AU8:AZ8)))</f>
        <v>0.23700346574246867</v>
      </c>
      <c r="BC8" s="19"/>
      <c r="BD8" s="19"/>
      <c r="BE8" s="19"/>
      <c r="BF8" s="19"/>
      <c r="BG8" s="19"/>
      <c r="BH8" s="19"/>
      <c r="BI8" s="19"/>
      <c r="BJ8" s="19"/>
      <c r="BK8" s="19"/>
      <c r="BL8" s="20"/>
    </row>
    <row r="9" spans="1:64" s="8" customFormat="1" ht="15" customHeight="1" x14ac:dyDescent="0.35">
      <c r="A9" s="21" t="s">
        <v>16</v>
      </c>
      <c r="B9" s="22">
        <f ca="1">SUM(B10:B48)</f>
        <v>496</v>
      </c>
      <c r="C9" s="22">
        <f t="shared" ref="C9:G9" ca="1" si="6">SUM(C10:C48)</f>
        <v>11</v>
      </c>
      <c r="D9" s="22">
        <f t="shared" ca="1" si="6"/>
        <v>5</v>
      </c>
      <c r="E9" s="22">
        <f t="shared" ca="1" si="6"/>
        <v>1</v>
      </c>
      <c r="F9" s="22">
        <f t="shared" ca="1" si="6"/>
        <v>0</v>
      </c>
      <c r="G9" s="22">
        <f t="shared" ca="1" si="6"/>
        <v>153</v>
      </c>
      <c r="H9" s="76">
        <f t="shared" ref="H9:H56" ca="1" si="7">IF(SUM(B9:F9)=0,"-",(SUM(C9:F9)/SUM(B9:F9)))</f>
        <v>3.3138401559454189E-2</v>
      </c>
      <c r="I9" s="76">
        <f t="shared" ref="I9:I56" ca="1" si="8">IF(SUM(B9:G9)=0,"-",(G9/SUM(B9:G9)))</f>
        <v>0.22972972972972974</v>
      </c>
      <c r="J9" s="22"/>
      <c r="K9" s="22">
        <f ca="1">SUM(K10:K48)</f>
        <v>1010</v>
      </c>
      <c r="L9" s="22">
        <f t="shared" ref="L9:P9" ca="1" si="9">SUM(L10:L48)</f>
        <v>9</v>
      </c>
      <c r="M9" s="22">
        <f t="shared" ca="1" si="9"/>
        <v>1</v>
      </c>
      <c r="N9" s="22">
        <f t="shared" ca="1" si="9"/>
        <v>0</v>
      </c>
      <c r="O9" s="22">
        <f t="shared" ca="1" si="9"/>
        <v>4</v>
      </c>
      <c r="P9" s="22">
        <f t="shared" ca="1" si="9"/>
        <v>429</v>
      </c>
      <c r="Q9" s="76">
        <f t="shared" ref="Q9:Q56" ca="1" si="10">IF(SUM(K9:O9)=0,"-",(SUM(L9:O9)/SUM(K9:O9)))</f>
        <v>1.3671875E-2</v>
      </c>
      <c r="R9" s="76">
        <f t="shared" ref="R9:R56" ca="1" si="11">IF(SUM(K9:P9)=0,"-",(P9/SUM(K9:P9)))</f>
        <v>0.29525120440467995</v>
      </c>
      <c r="S9" s="22"/>
      <c r="T9" s="22">
        <f t="shared" ref="T9:Y56" ca="1" si="12">B9+K9</f>
        <v>1506</v>
      </c>
      <c r="U9" s="22">
        <f t="shared" ca="1" si="2"/>
        <v>20</v>
      </c>
      <c r="V9" s="22">
        <f t="shared" ca="1" si="2"/>
        <v>6</v>
      </c>
      <c r="W9" s="22">
        <f t="shared" ca="1" si="2"/>
        <v>1</v>
      </c>
      <c r="X9" s="22">
        <f t="shared" ca="1" si="2"/>
        <v>4</v>
      </c>
      <c r="Y9" s="22">
        <f t="shared" ca="1" si="2"/>
        <v>582</v>
      </c>
      <c r="Z9" s="76">
        <f t="shared" ref="Z9:Z56" ca="1" si="13">IF(SUM(T9:X9)=0,"-",(SUM(U9:X9)/SUM(T9:X9)))</f>
        <v>2.0169160702667534E-2</v>
      </c>
      <c r="AA9" s="76">
        <f t="shared" ref="AA9:AA56" ca="1" si="14">IF(SUM(T9:Y9)=0,"-",(Y9/SUM(T9:Y9)))</f>
        <v>0.27465785747994337</v>
      </c>
      <c r="AB9" s="22"/>
      <c r="AC9" s="22">
        <f ca="1">SUM(AC10:AC48)</f>
        <v>62</v>
      </c>
      <c r="AD9" s="22">
        <f t="shared" ref="AD9:AH9" ca="1" si="15">SUM(AD10:AD48)</f>
        <v>0</v>
      </c>
      <c r="AE9" s="22">
        <f t="shared" ca="1" si="15"/>
        <v>0</v>
      </c>
      <c r="AF9" s="22">
        <f t="shared" ca="1" si="15"/>
        <v>0</v>
      </c>
      <c r="AG9" s="22">
        <f t="shared" ca="1" si="15"/>
        <v>0</v>
      </c>
      <c r="AH9" s="22">
        <f t="shared" ca="1" si="15"/>
        <v>29</v>
      </c>
      <c r="AI9" s="76">
        <f t="shared" ref="AI9:AI56" ca="1" si="16">IF(SUM(AC9:AG9)=0,"-",(SUM(AD9:AG9)/SUM(AC9:AG9)))</f>
        <v>0</v>
      </c>
      <c r="AJ9" s="76">
        <f t="shared" ref="AJ9:AJ56" ca="1" si="17">IF(SUM(AC9:AH9)=0,"-",(AH9/SUM(AC9:AH9)))</f>
        <v>0.31868131868131866</v>
      </c>
      <c r="AK9" s="71"/>
      <c r="AL9" s="71">
        <f ca="1">SUM(AL10:AL48)</f>
        <v>491</v>
      </c>
      <c r="AM9" s="71">
        <f t="shared" ref="AM9:AQ9" ca="1" si="18">SUM(AM10:AM48)</f>
        <v>14</v>
      </c>
      <c r="AN9" s="71">
        <f t="shared" ca="1" si="18"/>
        <v>12</v>
      </c>
      <c r="AO9" s="71">
        <f t="shared" ca="1" si="18"/>
        <v>10</v>
      </c>
      <c r="AP9" s="71">
        <f t="shared" ca="1" si="18"/>
        <v>0</v>
      </c>
      <c r="AQ9" s="71">
        <f t="shared" ca="1" si="18"/>
        <v>194</v>
      </c>
      <c r="AR9" s="76">
        <f t="shared" ref="AR9:AR56" ca="1" si="19">IF(SUM(AL9:AP9)=0,"-",(SUM(AM9:AP9)/SUM(AL9:AP9)))</f>
        <v>6.8311195445920306E-2</v>
      </c>
      <c r="AS9" s="76">
        <f t="shared" ref="AS9:AS56" ca="1" si="20">IF(SUM(AL9:AQ9)=0,"-",(AQ9/SUM(AL9:AQ9)))</f>
        <v>0.26907073509015256</v>
      </c>
      <c r="AT9" s="71"/>
      <c r="AU9" s="71">
        <f t="shared" ref="AU9:AZ56" ca="1" si="21">AL9+AC9+T9</f>
        <v>2059</v>
      </c>
      <c r="AV9" s="71">
        <f t="shared" ca="1" si="5"/>
        <v>34</v>
      </c>
      <c r="AW9" s="71">
        <f t="shared" ca="1" si="5"/>
        <v>18</v>
      </c>
      <c r="AX9" s="71">
        <f t="shared" ca="1" si="5"/>
        <v>11</v>
      </c>
      <c r="AY9" s="71">
        <f t="shared" ca="1" si="5"/>
        <v>4</v>
      </c>
      <c r="AZ9" s="71">
        <f t="shared" ca="1" si="5"/>
        <v>805</v>
      </c>
      <c r="BA9" s="76">
        <f t="shared" ref="BA9:BA56" ca="1" si="22">IF(SUM(AU9:AY9)=0,"-",(SUM(AV9:AY9)/SUM(AU9:AY9)))</f>
        <v>3.1514581373471309E-2</v>
      </c>
      <c r="BB9" s="76">
        <f t="shared" ref="BB9:BB56" ca="1" si="23">IF(SUM(AU9:AZ9)=0,"-",(AZ9/SUM(AU9:AZ9)))</f>
        <v>0.27465029000341179</v>
      </c>
      <c r="BC9" s="19"/>
      <c r="BD9" s="19"/>
      <c r="BE9" s="19"/>
      <c r="BF9" s="19"/>
      <c r="BG9" s="19"/>
      <c r="BH9" s="19"/>
      <c r="BI9" s="19"/>
      <c r="BJ9" s="19"/>
      <c r="BK9" s="19"/>
    </row>
    <row r="10" spans="1:64" s="8" customFormat="1" ht="15" customHeight="1" x14ac:dyDescent="0.35">
      <c r="A10" s="2" t="s">
        <v>17</v>
      </c>
      <c r="B10" s="24">
        <f ca="1">ROUND(FIRE1121_raw!B10,0)</f>
        <v>21</v>
      </c>
      <c r="C10" s="24">
        <f ca="1">ROUND(FIRE1121_raw!C10,0)</f>
        <v>1</v>
      </c>
      <c r="D10" s="24">
        <f ca="1">ROUND(FIRE1121_raw!D10,0)</f>
        <v>0</v>
      </c>
      <c r="E10" s="24">
        <f ca="1">ROUND(FIRE1121_raw!E10,0)</f>
        <v>0</v>
      </c>
      <c r="F10" s="24">
        <f ca="1">ROUND(FIRE1121_raw!F10,0)</f>
        <v>0</v>
      </c>
      <c r="G10" s="24">
        <f ca="1">ROUND(FIRE1121_raw!G10,0)</f>
        <v>3</v>
      </c>
      <c r="H10" s="46">
        <f t="shared" ca="1" si="7"/>
        <v>4.5454545454545456E-2</v>
      </c>
      <c r="I10" s="46">
        <f t="shared" ca="1" si="8"/>
        <v>0.12</v>
      </c>
      <c r="J10" s="24"/>
      <c r="K10" s="24">
        <f ca="1">ROUND(FIRE1121_raw!K10,0)</f>
        <v>22</v>
      </c>
      <c r="L10" s="24">
        <f ca="1">ROUND(FIRE1121_raw!L10,0)</f>
        <v>0</v>
      </c>
      <c r="M10" s="24">
        <f ca="1">ROUND(FIRE1121_raw!M10,0)</f>
        <v>0</v>
      </c>
      <c r="N10" s="24">
        <f ca="1">ROUND(FIRE1121_raw!N10,0)</f>
        <v>0</v>
      </c>
      <c r="O10" s="24">
        <f ca="1">ROUND(FIRE1121_raw!O10,0)</f>
        <v>1</v>
      </c>
      <c r="P10" s="24">
        <f ca="1">ROUND(FIRE1121_raw!P10,0)</f>
        <v>7</v>
      </c>
      <c r="Q10" s="46">
        <f t="shared" ca="1" si="10"/>
        <v>4.3478260869565216E-2</v>
      </c>
      <c r="R10" s="46">
        <f t="shared" ca="1" si="11"/>
        <v>0.23333333333333334</v>
      </c>
      <c r="S10" s="24"/>
      <c r="T10" s="22">
        <f t="shared" ca="1" si="12"/>
        <v>43</v>
      </c>
      <c r="U10" s="22">
        <f t="shared" ca="1" si="2"/>
        <v>1</v>
      </c>
      <c r="V10" s="22">
        <f t="shared" ca="1" si="2"/>
        <v>0</v>
      </c>
      <c r="W10" s="22">
        <f t="shared" ca="1" si="2"/>
        <v>0</v>
      </c>
      <c r="X10" s="22">
        <f t="shared" ca="1" si="2"/>
        <v>1</v>
      </c>
      <c r="Y10" s="22">
        <f t="shared" ca="1" si="2"/>
        <v>10</v>
      </c>
      <c r="Z10" s="46">
        <f t="shared" ca="1" si="13"/>
        <v>4.4444444444444446E-2</v>
      </c>
      <c r="AA10" s="46">
        <f t="shared" ca="1" si="14"/>
        <v>0.18181818181818182</v>
      </c>
      <c r="AB10" s="24"/>
      <c r="AC10" s="24">
        <f ca="1">ROUND(FIRE1121_raw!AC10,0)</f>
        <v>2</v>
      </c>
      <c r="AD10" s="24">
        <f ca="1">ROUND(FIRE1121_raw!AD10,0)</f>
        <v>0</v>
      </c>
      <c r="AE10" s="24">
        <f ca="1">ROUND(FIRE1121_raw!AE10,0)</f>
        <v>0</v>
      </c>
      <c r="AF10" s="24">
        <f ca="1">ROUND(FIRE1121_raw!AF10,0)</f>
        <v>0</v>
      </c>
      <c r="AG10" s="24">
        <f ca="1">ROUND(FIRE1121_raw!AG10,0)</f>
        <v>0</v>
      </c>
      <c r="AH10" s="24">
        <f ca="1">ROUND(FIRE1121_raw!AH10,0)</f>
        <v>0</v>
      </c>
      <c r="AI10" s="46">
        <f t="shared" ca="1" si="16"/>
        <v>0</v>
      </c>
      <c r="AJ10" s="46">
        <f t="shared" ca="1" si="17"/>
        <v>0</v>
      </c>
      <c r="AK10" s="24"/>
      <c r="AL10" s="24">
        <f ca="1">ROUND(FIRE1121_raw!AL10,0)</f>
        <v>19</v>
      </c>
      <c r="AM10" s="24">
        <f ca="1">ROUND(FIRE1121_raw!AM10,0)</f>
        <v>0</v>
      </c>
      <c r="AN10" s="24">
        <f ca="1">ROUND(FIRE1121_raw!AN10,0)</f>
        <v>0</v>
      </c>
      <c r="AO10" s="24">
        <f ca="1">ROUND(FIRE1121_raw!AO10,0)</f>
        <v>0</v>
      </c>
      <c r="AP10" s="24">
        <f ca="1">ROUND(FIRE1121_raw!AP10,0)</f>
        <v>0</v>
      </c>
      <c r="AQ10" s="24">
        <f ca="1">ROUND(FIRE1121_raw!AQ10,0)</f>
        <v>4</v>
      </c>
      <c r="AR10" s="46">
        <f t="shared" ca="1" si="19"/>
        <v>0</v>
      </c>
      <c r="AS10" s="46">
        <f t="shared" ca="1" si="20"/>
        <v>0.17391304347826086</v>
      </c>
      <c r="AT10" s="24"/>
      <c r="AU10" s="22">
        <f t="shared" ca="1" si="21"/>
        <v>64</v>
      </c>
      <c r="AV10" s="22">
        <f t="shared" ca="1" si="5"/>
        <v>1</v>
      </c>
      <c r="AW10" s="22">
        <f t="shared" ca="1" si="5"/>
        <v>0</v>
      </c>
      <c r="AX10" s="22">
        <f t="shared" ca="1" si="5"/>
        <v>0</v>
      </c>
      <c r="AY10" s="22">
        <f t="shared" ca="1" si="5"/>
        <v>1</v>
      </c>
      <c r="AZ10" s="22">
        <f t="shared" ca="1" si="5"/>
        <v>14</v>
      </c>
      <c r="BA10" s="46">
        <f t="shared" ca="1" si="22"/>
        <v>3.0303030303030304E-2</v>
      </c>
      <c r="BB10" s="46">
        <f t="shared" ca="1" si="23"/>
        <v>0.17499999999999999</v>
      </c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4" s="8" customFormat="1" ht="15" customHeight="1" x14ac:dyDescent="0.35">
      <c r="A11" s="2" t="s">
        <v>18</v>
      </c>
      <c r="B11" s="24">
        <f ca="1">ROUND(FIRE1121_raw!B11,0)</f>
        <v>18</v>
      </c>
      <c r="C11" s="24">
        <f ca="1">ROUND(FIRE1121_raw!C11,0)</f>
        <v>1</v>
      </c>
      <c r="D11" s="24">
        <f ca="1">ROUND(FIRE1121_raw!D11,0)</f>
        <v>0</v>
      </c>
      <c r="E11" s="24">
        <f ca="1">ROUND(FIRE1121_raw!E11,0)</f>
        <v>1</v>
      </c>
      <c r="F11" s="24">
        <f ca="1">ROUND(FIRE1121_raw!F11,0)</f>
        <v>0</v>
      </c>
      <c r="G11" s="24">
        <f ca="1">ROUND(FIRE1121_raw!G11,0)</f>
        <v>5</v>
      </c>
      <c r="H11" s="46">
        <f t="shared" ca="1" si="7"/>
        <v>0.1</v>
      </c>
      <c r="I11" s="46">
        <f t="shared" ca="1" si="8"/>
        <v>0.2</v>
      </c>
      <c r="J11" s="24"/>
      <c r="K11" s="24">
        <f ca="1">ROUND(FIRE1121_raw!K11,0)</f>
        <v>19</v>
      </c>
      <c r="L11" s="24">
        <f ca="1">ROUND(FIRE1121_raw!L11,0)</f>
        <v>1</v>
      </c>
      <c r="M11" s="24">
        <f ca="1">ROUND(FIRE1121_raw!M11,0)</f>
        <v>0</v>
      </c>
      <c r="N11" s="24">
        <f ca="1">ROUND(FIRE1121_raw!N11,0)</f>
        <v>0</v>
      </c>
      <c r="O11" s="24">
        <f ca="1">ROUND(FIRE1121_raw!O11,0)</f>
        <v>0</v>
      </c>
      <c r="P11" s="24">
        <f ca="1">ROUND(FIRE1121_raw!P11,0)</f>
        <v>13</v>
      </c>
      <c r="Q11" s="46">
        <f t="shared" ca="1" si="10"/>
        <v>0.05</v>
      </c>
      <c r="R11" s="46">
        <f t="shared" ca="1" si="11"/>
        <v>0.39393939393939392</v>
      </c>
      <c r="S11" s="24"/>
      <c r="T11" s="22">
        <f t="shared" ca="1" si="12"/>
        <v>37</v>
      </c>
      <c r="U11" s="22">
        <f t="shared" ca="1" si="2"/>
        <v>2</v>
      </c>
      <c r="V11" s="22">
        <f t="shared" ca="1" si="2"/>
        <v>0</v>
      </c>
      <c r="W11" s="22">
        <f t="shared" ca="1" si="2"/>
        <v>1</v>
      </c>
      <c r="X11" s="22">
        <f t="shared" ca="1" si="2"/>
        <v>0</v>
      </c>
      <c r="Y11" s="22">
        <f t="shared" ca="1" si="2"/>
        <v>18</v>
      </c>
      <c r="Z11" s="46">
        <f t="shared" ca="1" si="13"/>
        <v>7.4999999999999997E-2</v>
      </c>
      <c r="AA11" s="46">
        <f t="shared" ca="1" si="14"/>
        <v>0.31034482758620691</v>
      </c>
      <c r="AB11" s="24"/>
      <c r="AC11" s="24">
        <f ca="1">ROUND(FIRE1121_raw!AC11,0)</f>
        <v>0</v>
      </c>
      <c r="AD11" s="24">
        <f ca="1">ROUND(FIRE1121_raw!AD11,0)</f>
        <v>0</v>
      </c>
      <c r="AE11" s="24">
        <f ca="1">ROUND(FIRE1121_raw!AE11,0)</f>
        <v>0</v>
      </c>
      <c r="AF11" s="24">
        <f ca="1">ROUND(FIRE1121_raw!AF11,0)</f>
        <v>0</v>
      </c>
      <c r="AG11" s="24">
        <f ca="1">ROUND(FIRE1121_raw!AG11,0)</f>
        <v>0</v>
      </c>
      <c r="AH11" s="24">
        <f ca="1">ROUND(FIRE1121_raw!AH11,0)</f>
        <v>0</v>
      </c>
      <c r="AI11" s="46" t="str">
        <f t="shared" ca="1" si="16"/>
        <v>-</v>
      </c>
      <c r="AJ11" s="46" t="str">
        <f t="shared" ca="1" si="17"/>
        <v>-</v>
      </c>
      <c r="AK11" s="24"/>
      <c r="AL11" s="24">
        <f ca="1">ROUND(FIRE1121_raw!AL11,0)</f>
        <v>16</v>
      </c>
      <c r="AM11" s="24">
        <f ca="1">ROUND(FIRE1121_raw!AM11,0)</f>
        <v>0</v>
      </c>
      <c r="AN11" s="24">
        <f ca="1">ROUND(FIRE1121_raw!AN11,0)</f>
        <v>0</v>
      </c>
      <c r="AO11" s="24">
        <f ca="1">ROUND(FIRE1121_raw!AO11,0)</f>
        <v>0</v>
      </c>
      <c r="AP11" s="24">
        <f ca="1">ROUND(FIRE1121_raw!AP11,0)</f>
        <v>0</v>
      </c>
      <c r="AQ11" s="24">
        <f ca="1">ROUND(FIRE1121_raw!AQ11,0)</f>
        <v>10</v>
      </c>
      <c r="AR11" s="46">
        <f t="shared" ca="1" si="19"/>
        <v>0</v>
      </c>
      <c r="AS11" s="46">
        <f t="shared" ca="1" si="20"/>
        <v>0.38461538461538464</v>
      </c>
      <c r="AT11" s="24"/>
      <c r="AU11" s="22">
        <f t="shared" ca="1" si="21"/>
        <v>53</v>
      </c>
      <c r="AV11" s="22">
        <f t="shared" ca="1" si="5"/>
        <v>2</v>
      </c>
      <c r="AW11" s="22">
        <f t="shared" ca="1" si="5"/>
        <v>0</v>
      </c>
      <c r="AX11" s="22">
        <f t="shared" ca="1" si="5"/>
        <v>1</v>
      </c>
      <c r="AY11" s="22">
        <f t="shared" ca="1" si="5"/>
        <v>0</v>
      </c>
      <c r="AZ11" s="22">
        <f t="shared" ca="1" si="5"/>
        <v>28</v>
      </c>
      <c r="BA11" s="46">
        <f t="shared" ca="1" si="22"/>
        <v>5.3571428571428568E-2</v>
      </c>
      <c r="BB11" s="46">
        <f t="shared" ca="1" si="23"/>
        <v>0.33333333333333331</v>
      </c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4" s="8" customFormat="1" ht="15" customHeight="1" x14ac:dyDescent="0.35">
      <c r="A12" s="2" t="s">
        <v>19</v>
      </c>
      <c r="B12" s="24">
        <f ca="1">ROUND(FIRE1121_raw!B12,0)</f>
        <v>20</v>
      </c>
      <c r="C12" s="24">
        <f ca="1">ROUND(FIRE1121_raw!C12,0)</f>
        <v>0</v>
      </c>
      <c r="D12" s="24">
        <f ca="1">ROUND(FIRE1121_raw!D12,0)</f>
        <v>0</v>
      </c>
      <c r="E12" s="24">
        <f ca="1">ROUND(FIRE1121_raw!E12,0)</f>
        <v>0</v>
      </c>
      <c r="F12" s="24">
        <f ca="1">ROUND(FIRE1121_raw!F12,0)</f>
        <v>0</v>
      </c>
      <c r="G12" s="24">
        <f ca="1">ROUND(FIRE1121_raw!G12,0)</f>
        <v>1</v>
      </c>
      <c r="H12" s="46">
        <f t="shared" ca="1" si="7"/>
        <v>0</v>
      </c>
      <c r="I12" s="46">
        <f t="shared" ca="1" si="8"/>
        <v>4.7619047619047616E-2</v>
      </c>
      <c r="J12" s="24"/>
      <c r="K12" s="24">
        <f ca="1">ROUND(FIRE1121_raw!K12,0)</f>
        <v>19</v>
      </c>
      <c r="L12" s="24">
        <f ca="1">ROUND(FIRE1121_raw!L12,0)</f>
        <v>1</v>
      </c>
      <c r="M12" s="24">
        <f ca="1">ROUND(FIRE1121_raw!M12,0)</f>
        <v>0</v>
      </c>
      <c r="N12" s="24">
        <f ca="1">ROUND(FIRE1121_raw!N12,0)</f>
        <v>0</v>
      </c>
      <c r="O12" s="24">
        <f ca="1">ROUND(FIRE1121_raw!O12,0)</f>
        <v>0</v>
      </c>
      <c r="P12" s="24">
        <f ca="1">ROUND(FIRE1121_raw!P12,0)</f>
        <v>0</v>
      </c>
      <c r="Q12" s="46">
        <f t="shared" ca="1" si="10"/>
        <v>0.05</v>
      </c>
      <c r="R12" s="46">
        <f t="shared" ca="1" si="11"/>
        <v>0</v>
      </c>
      <c r="S12" s="24"/>
      <c r="T12" s="22">
        <f t="shared" ca="1" si="12"/>
        <v>39</v>
      </c>
      <c r="U12" s="22">
        <f t="shared" ca="1" si="2"/>
        <v>1</v>
      </c>
      <c r="V12" s="22">
        <f t="shared" ca="1" si="2"/>
        <v>0</v>
      </c>
      <c r="W12" s="22">
        <f t="shared" ca="1" si="2"/>
        <v>0</v>
      </c>
      <c r="X12" s="22">
        <f t="shared" ca="1" si="2"/>
        <v>0</v>
      </c>
      <c r="Y12" s="22">
        <f t="shared" ca="1" si="2"/>
        <v>1</v>
      </c>
      <c r="Z12" s="46">
        <f t="shared" ca="1" si="13"/>
        <v>2.5000000000000001E-2</v>
      </c>
      <c r="AA12" s="46">
        <f t="shared" ca="1" si="14"/>
        <v>2.4390243902439025E-2</v>
      </c>
      <c r="AB12" s="24"/>
      <c r="AC12" s="24">
        <f ca="1">ROUND(FIRE1121_raw!AC12,0)</f>
        <v>9</v>
      </c>
      <c r="AD12" s="24">
        <f ca="1">ROUND(FIRE1121_raw!AD12,0)</f>
        <v>0</v>
      </c>
      <c r="AE12" s="24">
        <f ca="1">ROUND(FIRE1121_raw!AE12,0)</f>
        <v>0</v>
      </c>
      <c r="AF12" s="24">
        <f ca="1">ROUND(FIRE1121_raw!AF12,0)</f>
        <v>0</v>
      </c>
      <c r="AG12" s="24">
        <f ca="1">ROUND(FIRE1121_raw!AG12,0)</f>
        <v>0</v>
      </c>
      <c r="AH12" s="24">
        <f ca="1">ROUND(FIRE1121_raw!AH12,0)</f>
        <v>0</v>
      </c>
      <c r="AI12" s="46">
        <f t="shared" ca="1" si="16"/>
        <v>0</v>
      </c>
      <c r="AJ12" s="46">
        <f t="shared" ca="1" si="17"/>
        <v>0</v>
      </c>
      <c r="AK12" s="24"/>
      <c r="AL12" s="24">
        <f ca="1">ROUND(FIRE1121_raw!AL12,0)</f>
        <v>32</v>
      </c>
      <c r="AM12" s="24">
        <f ca="1">ROUND(FIRE1121_raw!AM12,0)</f>
        <v>3</v>
      </c>
      <c r="AN12" s="24">
        <f ca="1">ROUND(FIRE1121_raw!AN12,0)</f>
        <v>2</v>
      </c>
      <c r="AO12" s="24">
        <f ca="1">ROUND(FIRE1121_raw!AO12,0)</f>
        <v>2</v>
      </c>
      <c r="AP12" s="24">
        <f ca="1">ROUND(FIRE1121_raw!AP12,0)</f>
        <v>0</v>
      </c>
      <c r="AQ12" s="24">
        <f ca="1">ROUND(FIRE1121_raw!AQ12,0)</f>
        <v>2</v>
      </c>
      <c r="AR12" s="46">
        <f t="shared" ca="1" si="19"/>
        <v>0.17948717948717949</v>
      </c>
      <c r="AS12" s="46">
        <f t="shared" ca="1" si="20"/>
        <v>4.878048780487805E-2</v>
      </c>
      <c r="AT12" s="24"/>
      <c r="AU12" s="22">
        <f t="shared" ca="1" si="21"/>
        <v>80</v>
      </c>
      <c r="AV12" s="22">
        <f t="shared" ca="1" si="5"/>
        <v>4</v>
      </c>
      <c r="AW12" s="22">
        <f t="shared" ca="1" si="5"/>
        <v>2</v>
      </c>
      <c r="AX12" s="22">
        <f t="shared" ca="1" si="5"/>
        <v>2</v>
      </c>
      <c r="AY12" s="22">
        <f t="shared" ca="1" si="5"/>
        <v>0</v>
      </c>
      <c r="AZ12" s="22">
        <f t="shared" ca="1" si="5"/>
        <v>3</v>
      </c>
      <c r="BA12" s="46">
        <f t="shared" ca="1" si="22"/>
        <v>9.0909090909090912E-2</v>
      </c>
      <c r="BB12" s="46">
        <f t="shared" ca="1" si="23"/>
        <v>3.2967032967032968E-2</v>
      </c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4" s="8" customFormat="1" ht="15" customHeight="1" x14ac:dyDescent="0.35">
      <c r="A13" s="2" t="s">
        <v>20</v>
      </c>
      <c r="B13" s="24">
        <f ca="1">ROUND(FIRE1121_raw!B13,0)</f>
        <v>11</v>
      </c>
      <c r="C13" s="24">
        <f ca="1">ROUND(FIRE1121_raw!C13,0)</f>
        <v>0</v>
      </c>
      <c r="D13" s="24">
        <f ca="1">ROUND(FIRE1121_raw!D13,0)</f>
        <v>0</v>
      </c>
      <c r="E13" s="24">
        <f ca="1">ROUND(FIRE1121_raw!E13,0)</f>
        <v>0</v>
      </c>
      <c r="F13" s="24">
        <f ca="1">ROUND(FIRE1121_raw!F13,0)</f>
        <v>0</v>
      </c>
      <c r="G13" s="24">
        <f ca="1">ROUND(FIRE1121_raw!G13,0)</f>
        <v>0</v>
      </c>
      <c r="H13" s="46">
        <f t="shared" ca="1" si="7"/>
        <v>0</v>
      </c>
      <c r="I13" s="46">
        <f t="shared" ca="1" si="8"/>
        <v>0</v>
      </c>
      <c r="J13" s="24"/>
      <c r="K13" s="24">
        <f ca="1">ROUND(FIRE1121_raw!K13,0)</f>
        <v>20</v>
      </c>
      <c r="L13" s="24">
        <f ca="1">ROUND(FIRE1121_raw!L13,0)</f>
        <v>0</v>
      </c>
      <c r="M13" s="24">
        <f ca="1">ROUND(FIRE1121_raw!M13,0)</f>
        <v>0</v>
      </c>
      <c r="N13" s="24">
        <f ca="1">ROUND(FIRE1121_raw!N13,0)</f>
        <v>0</v>
      </c>
      <c r="O13" s="24">
        <f ca="1">ROUND(FIRE1121_raw!O13,0)</f>
        <v>0</v>
      </c>
      <c r="P13" s="24">
        <f ca="1">ROUND(FIRE1121_raw!P13,0)</f>
        <v>0</v>
      </c>
      <c r="Q13" s="46">
        <f t="shared" ca="1" si="10"/>
        <v>0</v>
      </c>
      <c r="R13" s="46">
        <f t="shared" ca="1" si="11"/>
        <v>0</v>
      </c>
      <c r="S13" s="24"/>
      <c r="T13" s="22">
        <f t="shared" ca="1" si="12"/>
        <v>31</v>
      </c>
      <c r="U13" s="22">
        <f t="shared" ca="1" si="2"/>
        <v>0</v>
      </c>
      <c r="V13" s="22">
        <f t="shared" ca="1" si="2"/>
        <v>0</v>
      </c>
      <c r="W13" s="22">
        <f t="shared" ca="1" si="2"/>
        <v>0</v>
      </c>
      <c r="X13" s="22">
        <f t="shared" ca="1" si="2"/>
        <v>0</v>
      </c>
      <c r="Y13" s="22">
        <f t="shared" ca="1" si="2"/>
        <v>0</v>
      </c>
      <c r="Z13" s="46">
        <f t="shared" ca="1" si="13"/>
        <v>0</v>
      </c>
      <c r="AA13" s="46">
        <f t="shared" ca="1" si="14"/>
        <v>0</v>
      </c>
      <c r="AB13" s="24"/>
      <c r="AC13" s="24">
        <f ca="1">ROUND(FIRE1121_raw!AC13,0)</f>
        <v>0</v>
      </c>
      <c r="AD13" s="24">
        <f ca="1">ROUND(FIRE1121_raw!AD13,0)</f>
        <v>0</v>
      </c>
      <c r="AE13" s="24">
        <f ca="1">ROUND(FIRE1121_raw!AE13,0)</f>
        <v>0</v>
      </c>
      <c r="AF13" s="24">
        <f ca="1">ROUND(FIRE1121_raw!AF13,0)</f>
        <v>0</v>
      </c>
      <c r="AG13" s="24">
        <f ca="1">ROUND(FIRE1121_raw!AG13,0)</f>
        <v>0</v>
      </c>
      <c r="AH13" s="24">
        <f ca="1">ROUND(FIRE1121_raw!AH13,0)</f>
        <v>0</v>
      </c>
      <c r="AI13" s="46" t="str">
        <f t="shared" ca="1" si="16"/>
        <v>-</v>
      </c>
      <c r="AJ13" s="46" t="str">
        <f t="shared" ca="1" si="17"/>
        <v>-</v>
      </c>
      <c r="AK13" s="24"/>
      <c r="AL13" s="24">
        <f ca="1">ROUND(FIRE1121_raw!AL13,0)</f>
        <v>13</v>
      </c>
      <c r="AM13" s="24">
        <f ca="1">ROUND(FIRE1121_raw!AM13,0)</f>
        <v>0</v>
      </c>
      <c r="AN13" s="24">
        <f ca="1">ROUND(FIRE1121_raw!AN13,0)</f>
        <v>0</v>
      </c>
      <c r="AO13" s="24">
        <f ca="1">ROUND(FIRE1121_raw!AO13,0)</f>
        <v>0</v>
      </c>
      <c r="AP13" s="24">
        <f ca="1">ROUND(FIRE1121_raw!AP13,0)</f>
        <v>0</v>
      </c>
      <c r="AQ13" s="24">
        <f ca="1">ROUND(FIRE1121_raw!AQ13,0)</f>
        <v>0</v>
      </c>
      <c r="AR13" s="46">
        <f t="shared" ca="1" si="19"/>
        <v>0</v>
      </c>
      <c r="AS13" s="46">
        <f t="shared" ca="1" si="20"/>
        <v>0</v>
      </c>
      <c r="AT13" s="24"/>
      <c r="AU13" s="22">
        <f t="shared" ca="1" si="21"/>
        <v>44</v>
      </c>
      <c r="AV13" s="22">
        <f t="shared" ca="1" si="5"/>
        <v>0</v>
      </c>
      <c r="AW13" s="22">
        <f t="shared" ca="1" si="5"/>
        <v>0</v>
      </c>
      <c r="AX13" s="22">
        <f t="shared" ca="1" si="5"/>
        <v>0</v>
      </c>
      <c r="AY13" s="22">
        <f t="shared" ca="1" si="5"/>
        <v>0</v>
      </c>
      <c r="AZ13" s="22">
        <f t="shared" ca="1" si="5"/>
        <v>0</v>
      </c>
      <c r="BA13" s="46">
        <f t="shared" ca="1" si="22"/>
        <v>0</v>
      </c>
      <c r="BB13" s="46">
        <f t="shared" ca="1" si="23"/>
        <v>0</v>
      </c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4" s="8" customFormat="1" ht="15" customHeight="1" x14ac:dyDescent="0.35">
      <c r="A14" s="2" t="s">
        <v>21</v>
      </c>
      <c r="B14" s="24">
        <f ca="1">ROUND(FIRE1121_raw!B14,0)</f>
        <v>7</v>
      </c>
      <c r="C14" s="24">
        <f ca="1">ROUND(FIRE1121_raw!C14,0)</f>
        <v>0</v>
      </c>
      <c r="D14" s="24">
        <f ca="1">ROUND(FIRE1121_raw!D14,0)</f>
        <v>0</v>
      </c>
      <c r="E14" s="24">
        <f ca="1">ROUND(FIRE1121_raw!E14,0)</f>
        <v>0</v>
      </c>
      <c r="F14" s="24">
        <f ca="1">ROUND(FIRE1121_raw!F14,0)</f>
        <v>0</v>
      </c>
      <c r="G14" s="24">
        <f ca="1">ROUND(FIRE1121_raw!G14,0)</f>
        <v>0</v>
      </c>
      <c r="H14" s="46">
        <f t="shared" ca="1" si="7"/>
        <v>0</v>
      </c>
      <c r="I14" s="46">
        <f t="shared" ca="1" si="8"/>
        <v>0</v>
      </c>
      <c r="J14" s="24"/>
      <c r="K14" s="24">
        <f ca="1">ROUND(FIRE1121_raw!K14,0)</f>
        <v>30</v>
      </c>
      <c r="L14" s="24">
        <f ca="1">ROUND(FIRE1121_raw!L14,0)</f>
        <v>0</v>
      </c>
      <c r="M14" s="24">
        <f ca="1">ROUND(FIRE1121_raw!M14,0)</f>
        <v>0</v>
      </c>
      <c r="N14" s="24">
        <f ca="1">ROUND(FIRE1121_raw!N14,0)</f>
        <v>0</v>
      </c>
      <c r="O14" s="24">
        <f ca="1">ROUND(FIRE1121_raw!O14,0)</f>
        <v>0</v>
      </c>
      <c r="P14" s="24">
        <f ca="1">ROUND(FIRE1121_raw!P14,0)</f>
        <v>0</v>
      </c>
      <c r="Q14" s="46">
        <f t="shared" ca="1" si="10"/>
        <v>0</v>
      </c>
      <c r="R14" s="46">
        <f t="shared" ca="1" si="11"/>
        <v>0</v>
      </c>
      <c r="S14" s="24"/>
      <c r="T14" s="22">
        <f t="shared" ca="1" si="12"/>
        <v>37</v>
      </c>
      <c r="U14" s="22">
        <f t="shared" ca="1" si="2"/>
        <v>0</v>
      </c>
      <c r="V14" s="22">
        <f t="shared" ca="1" si="2"/>
        <v>0</v>
      </c>
      <c r="W14" s="22">
        <f t="shared" ca="1" si="2"/>
        <v>0</v>
      </c>
      <c r="X14" s="22">
        <f t="shared" ca="1" si="2"/>
        <v>0</v>
      </c>
      <c r="Y14" s="22">
        <f t="shared" ca="1" si="2"/>
        <v>0</v>
      </c>
      <c r="Z14" s="46">
        <f t="shared" ca="1" si="13"/>
        <v>0</v>
      </c>
      <c r="AA14" s="46">
        <f t="shared" ca="1" si="14"/>
        <v>0</v>
      </c>
      <c r="AB14" s="24"/>
      <c r="AC14" s="24">
        <f ca="1">ROUND(FIRE1121_raw!AC14,0)</f>
        <v>4</v>
      </c>
      <c r="AD14" s="24">
        <f ca="1">ROUND(FIRE1121_raw!AD14,0)</f>
        <v>0</v>
      </c>
      <c r="AE14" s="24">
        <f ca="1">ROUND(FIRE1121_raw!AE14,0)</f>
        <v>0</v>
      </c>
      <c r="AF14" s="24">
        <f ca="1">ROUND(FIRE1121_raw!AF14,0)</f>
        <v>0</v>
      </c>
      <c r="AG14" s="24">
        <f ca="1">ROUND(FIRE1121_raw!AG14,0)</f>
        <v>0</v>
      </c>
      <c r="AH14" s="24">
        <f ca="1">ROUND(FIRE1121_raw!AH14,0)</f>
        <v>5</v>
      </c>
      <c r="AI14" s="46">
        <f t="shared" ca="1" si="16"/>
        <v>0</v>
      </c>
      <c r="AJ14" s="46">
        <f t="shared" ca="1" si="17"/>
        <v>0.55555555555555558</v>
      </c>
      <c r="AK14" s="24"/>
      <c r="AL14" s="24">
        <f ca="1">ROUND(FIRE1121_raw!AL14,0)</f>
        <v>19</v>
      </c>
      <c r="AM14" s="24">
        <f ca="1">ROUND(FIRE1121_raw!AM14,0)</f>
        <v>0</v>
      </c>
      <c r="AN14" s="24">
        <f ca="1">ROUND(FIRE1121_raw!AN14,0)</f>
        <v>1</v>
      </c>
      <c r="AO14" s="24">
        <f ca="1">ROUND(FIRE1121_raw!AO14,0)</f>
        <v>1</v>
      </c>
      <c r="AP14" s="24">
        <f ca="1">ROUND(FIRE1121_raw!AP14,0)</f>
        <v>0</v>
      </c>
      <c r="AQ14" s="24">
        <f ca="1">ROUND(FIRE1121_raw!AQ14,0)</f>
        <v>2</v>
      </c>
      <c r="AR14" s="46">
        <f t="shared" ca="1" si="19"/>
        <v>9.5238095238095233E-2</v>
      </c>
      <c r="AS14" s="46">
        <f t="shared" ca="1" si="20"/>
        <v>8.6956521739130432E-2</v>
      </c>
      <c r="AT14" s="24"/>
      <c r="AU14" s="22">
        <f t="shared" ca="1" si="21"/>
        <v>60</v>
      </c>
      <c r="AV14" s="22">
        <f t="shared" ca="1" si="5"/>
        <v>0</v>
      </c>
      <c r="AW14" s="22">
        <f t="shared" ca="1" si="5"/>
        <v>1</v>
      </c>
      <c r="AX14" s="22">
        <f t="shared" ca="1" si="5"/>
        <v>1</v>
      </c>
      <c r="AY14" s="22">
        <f t="shared" ca="1" si="5"/>
        <v>0</v>
      </c>
      <c r="AZ14" s="22">
        <f t="shared" ca="1" si="5"/>
        <v>7</v>
      </c>
      <c r="BA14" s="46">
        <f t="shared" ca="1" si="22"/>
        <v>3.2258064516129031E-2</v>
      </c>
      <c r="BB14" s="46">
        <f t="shared" ca="1" si="23"/>
        <v>0.10144927536231885</v>
      </c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4" s="8" customFormat="1" ht="15" customHeight="1" x14ac:dyDescent="0.35">
      <c r="A15" s="2" t="s">
        <v>22</v>
      </c>
      <c r="B15" s="24">
        <f ca="1">ROUND(FIRE1121_raw!B15,0)</f>
        <v>18</v>
      </c>
      <c r="C15" s="24">
        <f ca="1">ROUND(FIRE1121_raw!C15,0)</f>
        <v>0</v>
      </c>
      <c r="D15" s="24">
        <f ca="1">ROUND(FIRE1121_raw!D15,0)</f>
        <v>1</v>
      </c>
      <c r="E15" s="24">
        <f ca="1">ROUND(FIRE1121_raw!E15,0)</f>
        <v>0</v>
      </c>
      <c r="F15" s="24">
        <f ca="1">ROUND(FIRE1121_raw!F15,0)</f>
        <v>0</v>
      </c>
      <c r="G15" s="24">
        <f ca="1">ROUND(FIRE1121_raw!G15,0)</f>
        <v>0</v>
      </c>
      <c r="H15" s="46">
        <f t="shared" ca="1" si="7"/>
        <v>5.2631578947368418E-2</v>
      </c>
      <c r="I15" s="46">
        <f t="shared" ca="1" si="8"/>
        <v>0</v>
      </c>
      <c r="J15" s="24"/>
      <c r="K15" s="24">
        <f ca="1">ROUND(FIRE1121_raw!K15,0)</f>
        <v>21</v>
      </c>
      <c r="L15" s="24">
        <f ca="1">ROUND(FIRE1121_raw!L15,0)</f>
        <v>0</v>
      </c>
      <c r="M15" s="24">
        <f ca="1">ROUND(FIRE1121_raw!M15,0)</f>
        <v>0</v>
      </c>
      <c r="N15" s="24">
        <f ca="1">ROUND(FIRE1121_raw!N15,0)</f>
        <v>0</v>
      </c>
      <c r="O15" s="24">
        <f ca="1">ROUND(FIRE1121_raw!O15,0)</f>
        <v>0</v>
      </c>
      <c r="P15" s="24">
        <f ca="1">ROUND(FIRE1121_raw!P15,0)</f>
        <v>0</v>
      </c>
      <c r="Q15" s="46">
        <f t="shared" ca="1" si="10"/>
        <v>0</v>
      </c>
      <c r="R15" s="46">
        <f t="shared" ca="1" si="11"/>
        <v>0</v>
      </c>
      <c r="S15" s="24"/>
      <c r="T15" s="22">
        <f t="shared" ca="1" si="12"/>
        <v>39</v>
      </c>
      <c r="U15" s="22">
        <f t="shared" ca="1" si="2"/>
        <v>0</v>
      </c>
      <c r="V15" s="22">
        <f t="shared" ca="1" si="2"/>
        <v>1</v>
      </c>
      <c r="W15" s="22">
        <f t="shared" ca="1" si="2"/>
        <v>0</v>
      </c>
      <c r="X15" s="22">
        <f t="shared" ca="1" si="2"/>
        <v>0</v>
      </c>
      <c r="Y15" s="22">
        <f t="shared" ca="1" si="2"/>
        <v>0</v>
      </c>
      <c r="Z15" s="46">
        <f t="shared" ca="1" si="13"/>
        <v>2.5000000000000001E-2</v>
      </c>
      <c r="AA15" s="46">
        <f t="shared" ca="1" si="14"/>
        <v>0</v>
      </c>
      <c r="AB15" s="24"/>
      <c r="AC15" s="24">
        <f ca="1">ROUND(FIRE1121_raw!AC15,0)</f>
        <v>0</v>
      </c>
      <c r="AD15" s="24">
        <f ca="1">ROUND(FIRE1121_raw!AD15,0)</f>
        <v>0</v>
      </c>
      <c r="AE15" s="24">
        <f ca="1">ROUND(FIRE1121_raw!AE15,0)</f>
        <v>0</v>
      </c>
      <c r="AF15" s="24">
        <f ca="1">ROUND(FIRE1121_raw!AF15,0)</f>
        <v>0</v>
      </c>
      <c r="AG15" s="24">
        <f ca="1">ROUND(FIRE1121_raw!AG15,0)</f>
        <v>0</v>
      </c>
      <c r="AH15" s="24">
        <f ca="1">ROUND(FIRE1121_raw!AH15,0)</f>
        <v>0</v>
      </c>
      <c r="AI15" s="46" t="str">
        <f t="shared" ca="1" si="16"/>
        <v>-</v>
      </c>
      <c r="AJ15" s="46" t="str">
        <f t="shared" ca="1" si="17"/>
        <v>-</v>
      </c>
      <c r="AK15" s="24"/>
      <c r="AL15" s="24">
        <f ca="1">ROUND(FIRE1121_raw!AL15,0)</f>
        <v>37</v>
      </c>
      <c r="AM15" s="24">
        <f ca="1">ROUND(FIRE1121_raw!AM15,0)</f>
        <v>0</v>
      </c>
      <c r="AN15" s="24">
        <f ca="1">ROUND(FIRE1121_raw!AN15,0)</f>
        <v>0</v>
      </c>
      <c r="AO15" s="24">
        <f ca="1">ROUND(FIRE1121_raw!AO15,0)</f>
        <v>0</v>
      </c>
      <c r="AP15" s="24">
        <f ca="1">ROUND(FIRE1121_raw!AP15,0)</f>
        <v>0</v>
      </c>
      <c r="AQ15" s="24">
        <f ca="1">ROUND(FIRE1121_raw!AQ15,0)</f>
        <v>1</v>
      </c>
      <c r="AR15" s="46">
        <f t="shared" ca="1" si="19"/>
        <v>0</v>
      </c>
      <c r="AS15" s="46">
        <f t="shared" ca="1" si="20"/>
        <v>2.6315789473684209E-2</v>
      </c>
      <c r="AT15" s="24"/>
      <c r="AU15" s="22">
        <f t="shared" ca="1" si="21"/>
        <v>76</v>
      </c>
      <c r="AV15" s="22">
        <f t="shared" ca="1" si="5"/>
        <v>0</v>
      </c>
      <c r="AW15" s="22">
        <f t="shared" ca="1" si="5"/>
        <v>1</v>
      </c>
      <c r="AX15" s="22">
        <f t="shared" ca="1" si="5"/>
        <v>0</v>
      </c>
      <c r="AY15" s="22">
        <f t="shared" ca="1" si="5"/>
        <v>0</v>
      </c>
      <c r="AZ15" s="22">
        <f t="shared" ca="1" si="5"/>
        <v>1</v>
      </c>
      <c r="BA15" s="46">
        <f t="shared" ca="1" si="22"/>
        <v>1.2987012987012988E-2</v>
      </c>
      <c r="BB15" s="46">
        <f t="shared" ca="1" si="23"/>
        <v>1.282051282051282E-2</v>
      </c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4" s="8" customFormat="1" ht="15" customHeight="1" x14ac:dyDescent="0.35">
      <c r="A16" s="2" t="s">
        <v>23</v>
      </c>
      <c r="B16" s="24">
        <f ca="1">ROUND(FIRE1121_raw!B16,0)</f>
        <v>22</v>
      </c>
      <c r="C16" s="24">
        <f ca="1">ROUND(FIRE1121_raw!C16,0)</f>
        <v>0</v>
      </c>
      <c r="D16" s="24">
        <f ca="1">ROUND(FIRE1121_raw!D16,0)</f>
        <v>0</v>
      </c>
      <c r="E16" s="24">
        <f ca="1">ROUND(FIRE1121_raw!E16,0)</f>
        <v>0</v>
      </c>
      <c r="F16" s="24">
        <f ca="1">ROUND(FIRE1121_raw!F16,0)</f>
        <v>0</v>
      </c>
      <c r="G16" s="24">
        <f ca="1">ROUND(FIRE1121_raw!G16,0)</f>
        <v>0</v>
      </c>
      <c r="H16" s="46">
        <f t="shared" ca="1" si="7"/>
        <v>0</v>
      </c>
      <c r="I16" s="46">
        <f t="shared" ca="1" si="8"/>
        <v>0</v>
      </c>
      <c r="J16" s="24"/>
      <c r="K16" s="24">
        <f ca="1">ROUND(FIRE1121_raw!K16,0)</f>
        <v>11</v>
      </c>
      <c r="L16" s="24">
        <f ca="1">ROUND(FIRE1121_raw!L16,0)</f>
        <v>0</v>
      </c>
      <c r="M16" s="24">
        <f ca="1">ROUND(FIRE1121_raw!M16,0)</f>
        <v>0</v>
      </c>
      <c r="N16" s="24">
        <f ca="1">ROUND(FIRE1121_raw!N16,0)</f>
        <v>0</v>
      </c>
      <c r="O16" s="24">
        <f ca="1">ROUND(FIRE1121_raw!O16,0)</f>
        <v>0</v>
      </c>
      <c r="P16" s="24">
        <f ca="1">ROUND(FIRE1121_raw!P16,0)</f>
        <v>0</v>
      </c>
      <c r="Q16" s="46">
        <f t="shared" ca="1" si="10"/>
        <v>0</v>
      </c>
      <c r="R16" s="46">
        <f t="shared" ca="1" si="11"/>
        <v>0</v>
      </c>
      <c r="S16" s="24"/>
      <c r="T16" s="22">
        <f t="shared" ca="1" si="12"/>
        <v>33</v>
      </c>
      <c r="U16" s="22">
        <f t="shared" ca="1" si="2"/>
        <v>0</v>
      </c>
      <c r="V16" s="22">
        <f t="shared" ca="1" si="2"/>
        <v>0</v>
      </c>
      <c r="W16" s="22">
        <f t="shared" ca="1" si="2"/>
        <v>0</v>
      </c>
      <c r="X16" s="22">
        <f t="shared" ca="1" si="2"/>
        <v>0</v>
      </c>
      <c r="Y16" s="22">
        <f t="shared" ca="1" si="2"/>
        <v>0</v>
      </c>
      <c r="Z16" s="46">
        <f t="shared" ca="1" si="13"/>
        <v>0</v>
      </c>
      <c r="AA16" s="46">
        <f t="shared" ca="1" si="14"/>
        <v>0</v>
      </c>
      <c r="AB16" s="24"/>
      <c r="AC16" s="24">
        <f ca="1">ROUND(FIRE1121_raw!AC16,0)</f>
        <v>1</v>
      </c>
      <c r="AD16" s="24">
        <f ca="1">ROUND(FIRE1121_raw!AD16,0)</f>
        <v>0</v>
      </c>
      <c r="AE16" s="24">
        <f ca="1">ROUND(FIRE1121_raw!AE16,0)</f>
        <v>0</v>
      </c>
      <c r="AF16" s="24">
        <f ca="1">ROUND(FIRE1121_raw!AF16,0)</f>
        <v>0</v>
      </c>
      <c r="AG16" s="24">
        <f ca="1">ROUND(FIRE1121_raw!AG16,0)</f>
        <v>0</v>
      </c>
      <c r="AH16" s="24">
        <f ca="1">ROUND(FIRE1121_raw!AH16,0)</f>
        <v>0</v>
      </c>
      <c r="AI16" s="46">
        <f t="shared" ca="1" si="16"/>
        <v>0</v>
      </c>
      <c r="AJ16" s="46">
        <f t="shared" ca="1" si="17"/>
        <v>0</v>
      </c>
      <c r="AK16" s="24"/>
      <c r="AL16" s="24">
        <f ca="1">ROUND(FIRE1121_raw!AL16,0)</f>
        <v>13</v>
      </c>
      <c r="AM16" s="24">
        <f ca="1">ROUND(FIRE1121_raw!AM16,0)</f>
        <v>0</v>
      </c>
      <c r="AN16" s="24">
        <f ca="1">ROUND(FIRE1121_raw!AN16,0)</f>
        <v>0</v>
      </c>
      <c r="AO16" s="24">
        <f ca="1">ROUND(FIRE1121_raw!AO16,0)</f>
        <v>0</v>
      </c>
      <c r="AP16" s="24">
        <f ca="1">ROUND(FIRE1121_raw!AP16,0)</f>
        <v>0</v>
      </c>
      <c r="AQ16" s="24">
        <f ca="1">ROUND(FIRE1121_raw!AQ16,0)</f>
        <v>0</v>
      </c>
      <c r="AR16" s="46">
        <f t="shared" ca="1" si="19"/>
        <v>0</v>
      </c>
      <c r="AS16" s="46">
        <f t="shared" ca="1" si="20"/>
        <v>0</v>
      </c>
      <c r="AT16" s="24"/>
      <c r="AU16" s="22">
        <f t="shared" ca="1" si="21"/>
        <v>47</v>
      </c>
      <c r="AV16" s="22">
        <f t="shared" ca="1" si="5"/>
        <v>0</v>
      </c>
      <c r="AW16" s="22">
        <f t="shared" ca="1" si="5"/>
        <v>0</v>
      </c>
      <c r="AX16" s="22">
        <f t="shared" ca="1" si="5"/>
        <v>0</v>
      </c>
      <c r="AY16" s="22">
        <f t="shared" ca="1" si="5"/>
        <v>0</v>
      </c>
      <c r="AZ16" s="22">
        <f t="shared" ca="1" si="5"/>
        <v>0</v>
      </c>
      <c r="BA16" s="46">
        <f t="shared" ca="1" si="22"/>
        <v>0</v>
      </c>
      <c r="BB16" s="46">
        <f t="shared" ca="1" si="23"/>
        <v>0</v>
      </c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s="8" customFormat="1" ht="15" customHeight="1" x14ac:dyDescent="0.35">
      <c r="A17" s="2" t="s">
        <v>24</v>
      </c>
      <c r="B17" s="24">
        <f ca="1">ROUND(FIRE1121_raw!B17,0)</f>
        <v>0</v>
      </c>
      <c r="C17" s="24">
        <f ca="1">ROUND(FIRE1121_raw!C17,0)</f>
        <v>0</v>
      </c>
      <c r="D17" s="24">
        <f ca="1">ROUND(FIRE1121_raw!D17,0)</f>
        <v>0</v>
      </c>
      <c r="E17" s="24">
        <f ca="1">ROUND(FIRE1121_raw!E17,0)</f>
        <v>0</v>
      </c>
      <c r="F17" s="24">
        <f ca="1">ROUND(FIRE1121_raw!F17,0)</f>
        <v>0</v>
      </c>
      <c r="G17" s="24">
        <f ca="1">ROUND(FIRE1121_raw!G17,0)</f>
        <v>5</v>
      </c>
      <c r="H17" s="46" t="str">
        <f t="shared" ca="1" si="7"/>
        <v>-</v>
      </c>
      <c r="I17" s="46">
        <f t="shared" ca="1" si="8"/>
        <v>1</v>
      </c>
      <c r="J17" s="24"/>
      <c r="K17" s="24">
        <f ca="1">ROUND(FIRE1121_raw!K17,0)</f>
        <v>8</v>
      </c>
      <c r="L17" s="24">
        <f ca="1">ROUND(FIRE1121_raw!L17,0)</f>
        <v>0</v>
      </c>
      <c r="M17" s="24">
        <f ca="1">ROUND(FIRE1121_raw!M17,0)</f>
        <v>0</v>
      </c>
      <c r="N17" s="24">
        <f ca="1">ROUND(FIRE1121_raw!N17,0)</f>
        <v>0</v>
      </c>
      <c r="O17" s="24">
        <f ca="1">ROUND(FIRE1121_raw!O17,0)</f>
        <v>0</v>
      </c>
      <c r="P17" s="24">
        <f ca="1">ROUND(FIRE1121_raw!P17,0)</f>
        <v>15</v>
      </c>
      <c r="Q17" s="46">
        <f t="shared" ca="1" si="10"/>
        <v>0</v>
      </c>
      <c r="R17" s="46">
        <f t="shared" ca="1" si="11"/>
        <v>0.65217391304347827</v>
      </c>
      <c r="S17" s="24"/>
      <c r="T17" s="22">
        <f t="shared" ca="1" si="12"/>
        <v>8</v>
      </c>
      <c r="U17" s="22">
        <f t="shared" ca="1" si="2"/>
        <v>0</v>
      </c>
      <c r="V17" s="22">
        <f t="shared" ca="1" si="2"/>
        <v>0</v>
      </c>
      <c r="W17" s="22">
        <f t="shared" ca="1" si="2"/>
        <v>0</v>
      </c>
      <c r="X17" s="22">
        <f t="shared" ca="1" si="2"/>
        <v>0</v>
      </c>
      <c r="Y17" s="22">
        <f t="shared" ca="1" si="2"/>
        <v>20</v>
      </c>
      <c r="Z17" s="46">
        <f t="shared" ca="1" si="13"/>
        <v>0</v>
      </c>
      <c r="AA17" s="46">
        <f t="shared" ca="1" si="14"/>
        <v>0.7142857142857143</v>
      </c>
      <c r="AB17" s="24"/>
      <c r="AC17" s="24">
        <f ca="1">ROUND(FIRE1121_raw!AC17,0)</f>
        <v>0</v>
      </c>
      <c r="AD17" s="24">
        <f ca="1">ROUND(FIRE1121_raw!AD17,0)</f>
        <v>0</v>
      </c>
      <c r="AE17" s="24">
        <f ca="1">ROUND(FIRE1121_raw!AE17,0)</f>
        <v>0</v>
      </c>
      <c r="AF17" s="24">
        <f ca="1">ROUND(FIRE1121_raw!AF17,0)</f>
        <v>0</v>
      </c>
      <c r="AG17" s="24">
        <f ca="1">ROUND(FIRE1121_raw!AG17,0)</f>
        <v>0</v>
      </c>
      <c r="AH17" s="24">
        <f ca="1">ROUND(FIRE1121_raw!AH17,0)</f>
        <v>3</v>
      </c>
      <c r="AI17" s="46" t="str">
        <f t="shared" ca="1" si="16"/>
        <v>-</v>
      </c>
      <c r="AJ17" s="46">
        <f t="shared" ca="1" si="17"/>
        <v>1</v>
      </c>
      <c r="AK17" s="24"/>
      <c r="AL17" s="24">
        <f ca="1">ROUND(FIRE1121_raw!AL17,0)</f>
        <v>1</v>
      </c>
      <c r="AM17" s="24">
        <f ca="1">ROUND(FIRE1121_raw!AM17,0)</f>
        <v>0</v>
      </c>
      <c r="AN17" s="24">
        <f ca="1">ROUND(FIRE1121_raw!AN17,0)</f>
        <v>0</v>
      </c>
      <c r="AO17" s="24">
        <f ca="1">ROUND(FIRE1121_raw!AO17,0)</f>
        <v>0</v>
      </c>
      <c r="AP17" s="24">
        <f ca="1">ROUND(FIRE1121_raw!AP17,0)</f>
        <v>0</v>
      </c>
      <c r="AQ17" s="24">
        <f ca="1">ROUND(FIRE1121_raw!AQ17,0)</f>
        <v>6</v>
      </c>
      <c r="AR17" s="46">
        <f t="shared" ca="1" si="19"/>
        <v>0</v>
      </c>
      <c r="AS17" s="46">
        <f t="shared" ca="1" si="20"/>
        <v>0.8571428571428571</v>
      </c>
      <c r="AT17" s="24"/>
      <c r="AU17" s="22">
        <f t="shared" ca="1" si="21"/>
        <v>9</v>
      </c>
      <c r="AV17" s="22">
        <f t="shared" ca="1" si="5"/>
        <v>0</v>
      </c>
      <c r="AW17" s="22">
        <f t="shared" ca="1" si="5"/>
        <v>0</v>
      </c>
      <c r="AX17" s="22">
        <f t="shared" ca="1" si="5"/>
        <v>0</v>
      </c>
      <c r="AY17" s="22">
        <f t="shared" ca="1" si="5"/>
        <v>0</v>
      </c>
      <c r="AZ17" s="22">
        <f t="shared" ca="1" si="5"/>
        <v>29</v>
      </c>
      <c r="BA17" s="46">
        <f t="shared" ca="1" si="22"/>
        <v>0</v>
      </c>
      <c r="BB17" s="46">
        <f t="shared" ca="1" si="23"/>
        <v>0.76315789473684215</v>
      </c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 s="8" customFormat="1" ht="15" customHeight="1" x14ac:dyDescent="0.35">
      <c r="A18" s="2" t="s">
        <v>25</v>
      </c>
      <c r="B18" s="24">
        <f ca="1">ROUND(FIRE1121_raw!B18,0)</f>
        <v>1</v>
      </c>
      <c r="C18" s="24">
        <f ca="1">ROUND(FIRE1121_raw!C18,0)</f>
        <v>0</v>
      </c>
      <c r="D18" s="24">
        <f ca="1">ROUND(FIRE1121_raw!D18,0)</f>
        <v>0</v>
      </c>
      <c r="E18" s="24">
        <f ca="1">ROUND(FIRE1121_raw!E18,0)</f>
        <v>0</v>
      </c>
      <c r="F18" s="24">
        <f ca="1">ROUND(FIRE1121_raw!F18,0)</f>
        <v>0</v>
      </c>
      <c r="G18" s="24">
        <f ca="1">ROUND(FIRE1121_raw!G18,0)</f>
        <v>0</v>
      </c>
      <c r="H18" s="46">
        <f t="shared" ca="1" si="7"/>
        <v>0</v>
      </c>
      <c r="I18" s="46">
        <f t="shared" ca="1" si="8"/>
        <v>0</v>
      </c>
      <c r="J18" s="24"/>
      <c r="K18" s="24">
        <f ca="1">ROUND(FIRE1121_raw!K18,0)</f>
        <v>6</v>
      </c>
      <c r="L18" s="24">
        <f ca="1">ROUND(FIRE1121_raw!L18,0)</f>
        <v>0</v>
      </c>
      <c r="M18" s="24">
        <f ca="1">ROUND(FIRE1121_raw!M18,0)</f>
        <v>1</v>
      </c>
      <c r="N18" s="24">
        <f ca="1">ROUND(FIRE1121_raw!N18,0)</f>
        <v>0</v>
      </c>
      <c r="O18" s="24">
        <f ca="1">ROUND(FIRE1121_raw!O18,0)</f>
        <v>0</v>
      </c>
      <c r="P18" s="24">
        <f ca="1">ROUND(FIRE1121_raw!P18,0)</f>
        <v>27</v>
      </c>
      <c r="Q18" s="46">
        <f t="shared" ca="1" si="10"/>
        <v>0.14285714285714285</v>
      </c>
      <c r="R18" s="46">
        <f t="shared" ca="1" si="11"/>
        <v>0.79411764705882348</v>
      </c>
      <c r="S18" s="24"/>
      <c r="T18" s="22">
        <f t="shared" ca="1" si="12"/>
        <v>7</v>
      </c>
      <c r="U18" s="22">
        <f t="shared" ca="1" si="2"/>
        <v>0</v>
      </c>
      <c r="V18" s="22">
        <f t="shared" ca="1" si="2"/>
        <v>1</v>
      </c>
      <c r="W18" s="22">
        <f t="shared" ca="1" si="2"/>
        <v>0</v>
      </c>
      <c r="X18" s="22">
        <f t="shared" ca="1" si="2"/>
        <v>0</v>
      </c>
      <c r="Y18" s="22">
        <f t="shared" ca="1" si="2"/>
        <v>27</v>
      </c>
      <c r="Z18" s="46">
        <f t="shared" ca="1" si="13"/>
        <v>0.125</v>
      </c>
      <c r="AA18" s="46">
        <f t="shared" ca="1" si="14"/>
        <v>0.77142857142857146</v>
      </c>
      <c r="AB18" s="24"/>
      <c r="AC18" s="24">
        <f ca="1">ROUND(FIRE1121_raw!AC18,0)</f>
        <v>0</v>
      </c>
      <c r="AD18" s="24">
        <f ca="1">ROUND(FIRE1121_raw!AD18,0)</f>
        <v>0</v>
      </c>
      <c r="AE18" s="24">
        <f ca="1">ROUND(FIRE1121_raw!AE18,0)</f>
        <v>0</v>
      </c>
      <c r="AF18" s="24">
        <f ca="1">ROUND(FIRE1121_raw!AF18,0)</f>
        <v>0</v>
      </c>
      <c r="AG18" s="24">
        <f ca="1">ROUND(FIRE1121_raw!AG18,0)</f>
        <v>0</v>
      </c>
      <c r="AH18" s="24">
        <f ca="1">ROUND(FIRE1121_raw!AH18,0)</f>
        <v>0</v>
      </c>
      <c r="AI18" s="46" t="str">
        <f t="shared" ca="1" si="16"/>
        <v>-</v>
      </c>
      <c r="AJ18" s="46" t="str">
        <f t="shared" ca="1" si="17"/>
        <v>-</v>
      </c>
      <c r="AK18" s="24"/>
      <c r="AL18" s="24">
        <f ca="1">ROUND(FIRE1121_raw!AL18,0)</f>
        <v>1</v>
      </c>
      <c r="AM18" s="24">
        <f ca="1">ROUND(FIRE1121_raw!AM18,0)</f>
        <v>0</v>
      </c>
      <c r="AN18" s="24">
        <f ca="1">ROUND(FIRE1121_raw!AN18,0)</f>
        <v>0</v>
      </c>
      <c r="AO18" s="24">
        <f ca="1">ROUND(FIRE1121_raw!AO18,0)</f>
        <v>0</v>
      </c>
      <c r="AP18" s="24">
        <f ca="1">ROUND(FIRE1121_raw!AP18,0)</f>
        <v>0</v>
      </c>
      <c r="AQ18" s="24">
        <f ca="1">ROUND(FIRE1121_raw!AQ18,0)</f>
        <v>0</v>
      </c>
      <c r="AR18" s="46">
        <f t="shared" ca="1" si="19"/>
        <v>0</v>
      </c>
      <c r="AS18" s="46">
        <f t="shared" ca="1" si="20"/>
        <v>0</v>
      </c>
      <c r="AT18" s="24"/>
      <c r="AU18" s="22">
        <f t="shared" ca="1" si="21"/>
        <v>8</v>
      </c>
      <c r="AV18" s="22">
        <f t="shared" ca="1" si="5"/>
        <v>0</v>
      </c>
      <c r="AW18" s="22">
        <f t="shared" ca="1" si="5"/>
        <v>1</v>
      </c>
      <c r="AX18" s="22">
        <f t="shared" ca="1" si="5"/>
        <v>0</v>
      </c>
      <c r="AY18" s="22">
        <f t="shared" ca="1" si="5"/>
        <v>0</v>
      </c>
      <c r="AZ18" s="22">
        <f t="shared" ca="1" si="5"/>
        <v>27</v>
      </c>
      <c r="BA18" s="46">
        <f t="shared" ca="1" si="22"/>
        <v>0.1111111111111111</v>
      </c>
      <c r="BB18" s="46">
        <f t="shared" ca="1" si="23"/>
        <v>0.75</v>
      </c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s="8" customFormat="1" ht="15" customHeight="1" x14ac:dyDescent="0.35">
      <c r="A19" s="26" t="s">
        <v>26</v>
      </c>
      <c r="B19" s="24">
        <f ca="1">ROUND(FIRE1121_raw!B19,0)</f>
        <v>2</v>
      </c>
      <c r="C19" s="24">
        <f ca="1">ROUND(FIRE1121_raw!C19,0)</f>
        <v>0</v>
      </c>
      <c r="D19" s="24">
        <f ca="1">ROUND(FIRE1121_raw!D19,0)</f>
        <v>0</v>
      </c>
      <c r="E19" s="24">
        <f ca="1">ROUND(FIRE1121_raw!E19,0)</f>
        <v>0</v>
      </c>
      <c r="F19" s="24">
        <f ca="1">ROUND(FIRE1121_raw!F19,0)</f>
        <v>0</v>
      </c>
      <c r="G19" s="24">
        <f ca="1">ROUND(FIRE1121_raw!G19,0)</f>
        <v>1</v>
      </c>
      <c r="H19" s="46">
        <f t="shared" ca="1" si="7"/>
        <v>0</v>
      </c>
      <c r="I19" s="46">
        <f t="shared" ca="1" si="8"/>
        <v>0.33333333333333331</v>
      </c>
      <c r="J19" s="24"/>
      <c r="K19" s="24">
        <f ca="1">ROUND(FIRE1121_raw!K19,0)</f>
        <v>17</v>
      </c>
      <c r="L19" s="24">
        <f ca="1">ROUND(FIRE1121_raw!L19,0)</f>
        <v>0</v>
      </c>
      <c r="M19" s="24">
        <f ca="1">ROUND(FIRE1121_raw!M19,0)</f>
        <v>0</v>
      </c>
      <c r="N19" s="24">
        <f ca="1">ROUND(FIRE1121_raw!N19,0)</f>
        <v>0</v>
      </c>
      <c r="O19" s="24">
        <f ca="1">ROUND(FIRE1121_raw!O19,0)</f>
        <v>0</v>
      </c>
      <c r="P19" s="24">
        <f ca="1">ROUND(FIRE1121_raw!P19,0)</f>
        <v>11</v>
      </c>
      <c r="Q19" s="46">
        <f t="shared" ca="1" si="10"/>
        <v>0</v>
      </c>
      <c r="R19" s="46">
        <f t="shared" ca="1" si="11"/>
        <v>0.39285714285714285</v>
      </c>
      <c r="S19" s="24"/>
      <c r="T19" s="22">
        <f t="shared" ca="1" si="12"/>
        <v>19</v>
      </c>
      <c r="U19" s="22">
        <f t="shared" ca="1" si="2"/>
        <v>0</v>
      </c>
      <c r="V19" s="22">
        <f t="shared" ca="1" si="2"/>
        <v>0</v>
      </c>
      <c r="W19" s="22">
        <f t="shared" ca="1" si="2"/>
        <v>0</v>
      </c>
      <c r="X19" s="22">
        <f t="shared" ca="1" si="2"/>
        <v>0</v>
      </c>
      <c r="Y19" s="22">
        <f t="shared" ca="1" si="2"/>
        <v>12</v>
      </c>
      <c r="Z19" s="46">
        <f t="shared" ca="1" si="13"/>
        <v>0</v>
      </c>
      <c r="AA19" s="46">
        <f t="shared" ca="1" si="14"/>
        <v>0.38709677419354838</v>
      </c>
      <c r="AB19" s="24"/>
      <c r="AC19" s="24">
        <f ca="1">ROUND(FIRE1121_raw!AC19,0)</f>
        <v>2</v>
      </c>
      <c r="AD19" s="24">
        <f ca="1">ROUND(FIRE1121_raw!AD19,0)</f>
        <v>0</v>
      </c>
      <c r="AE19" s="24">
        <f ca="1">ROUND(FIRE1121_raw!AE19,0)</f>
        <v>0</v>
      </c>
      <c r="AF19" s="24">
        <f ca="1">ROUND(FIRE1121_raw!AF19,0)</f>
        <v>0</v>
      </c>
      <c r="AG19" s="24">
        <f ca="1">ROUND(FIRE1121_raw!AG19,0)</f>
        <v>0</v>
      </c>
      <c r="AH19" s="24">
        <f ca="1">ROUND(FIRE1121_raw!AH19,0)</f>
        <v>2</v>
      </c>
      <c r="AI19" s="46">
        <f t="shared" ca="1" si="16"/>
        <v>0</v>
      </c>
      <c r="AJ19" s="46">
        <f t="shared" ca="1" si="17"/>
        <v>0.5</v>
      </c>
      <c r="AK19" s="24"/>
      <c r="AL19" s="24">
        <f ca="1">ROUND(FIRE1121_raw!AL19,0)</f>
        <v>8</v>
      </c>
      <c r="AM19" s="24">
        <f ca="1">ROUND(FIRE1121_raw!AM19,0)</f>
        <v>0</v>
      </c>
      <c r="AN19" s="24">
        <f ca="1">ROUND(FIRE1121_raw!AN19,0)</f>
        <v>1</v>
      </c>
      <c r="AO19" s="24">
        <f ca="1">ROUND(FIRE1121_raw!AO19,0)</f>
        <v>0</v>
      </c>
      <c r="AP19" s="24">
        <f ca="1">ROUND(FIRE1121_raw!AP19,0)</f>
        <v>0</v>
      </c>
      <c r="AQ19" s="24">
        <f ca="1">ROUND(FIRE1121_raw!AQ19,0)</f>
        <v>5</v>
      </c>
      <c r="AR19" s="46">
        <f t="shared" ca="1" si="19"/>
        <v>0.1111111111111111</v>
      </c>
      <c r="AS19" s="46">
        <f t="shared" ca="1" si="20"/>
        <v>0.35714285714285715</v>
      </c>
      <c r="AT19" s="24"/>
      <c r="AU19" s="22">
        <f t="shared" ca="1" si="21"/>
        <v>29</v>
      </c>
      <c r="AV19" s="22">
        <f t="shared" ca="1" si="5"/>
        <v>0</v>
      </c>
      <c r="AW19" s="22">
        <f t="shared" ca="1" si="5"/>
        <v>1</v>
      </c>
      <c r="AX19" s="22">
        <f t="shared" ca="1" si="5"/>
        <v>0</v>
      </c>
      <c r="AY19" s="22">
        <f t="shared" ca="1" si="5"/>
        <v>0</v>
      </c>
      <c r="AZ19" s="22">
        <f t="shared" ca="1" si="5"/>
        <v>19</v>
      </c>
      <c r="BA19" s="46">
        <f t="shared" ca="1" si="22"/>
        <v>3.3333333333333333E-2</v>
      </c>
      <c r="BB19" s="46">
        <f t="shared" ca="1" si="23"/>
        <v>0.38775510204081631</v>
      </c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 s="8" customFormat="1" ht="15" customHeight="1" x14ac:dyDescent="0.35">
      <c r="A20" s="26" t="s">
        <v>27</v>
      </c>
      <c r="B20" s="24">
        <f ca="1">ROUND(FIRE1121_raw!B20,0)</f>
        <v>34</v>
      </c>
      <c r="C20" s="24">
        <f ca="1">ROUND(FIRE1121_raw!C20,0)</f>
        <v>0</v>
      </c>
      <c r="D20" s="24">
        <f ca="1">ROUND(FIRE1121_raw!D20,0)</f>
        <v>0</v>
      </c>
      <c r="E20" s="24">
        <f ca="1">ROUND(FIRE1121_raw!E20,0)</f>
        <v>0</v>
      </c>
      <c r="F20" s="24">
        <f ca="1">ROUND(FIRE1121_raw!F20,0)</f>
        <v>0</v>
      </c>
      <c r="G20" s="24">
        <f ca="1">ROUND(FIRE1121_raw!G20,0)</f>
        <v>1</v>
      </c>
      <c r="H20" s="46">
        <f t="shared" ca="1" si="7"/>
        <v>0</v>
      </c>
      <c r="I20" s="46">
        <f t="shared" ca="1" si="8"/>
        <v>2.8571428571428571E-2</v>
      </c>
      <c r="J20" s="24"/>
      <c r="K20" s="24">
        <f ca="1">ROUND(FIRE1121_raw!K20,0)</f>
        <v>73</v>
      </c>
      <c r="L20" s="24">
        <f ca="1">ROUND(FIRE1121_raw!L20,0)</f>
        <v>1</v>
      </c>
      <c r="M20" s="24">
        <f ca="1">ROUND(FIRE1121_raw!M20,0)</f>
        <v>0</v>
      </c>
      <c r="N20" s="24">
        <f ca="1">ROUND(FIRE1121_raw!N20,0)</f>
        <v>0</v>
      </c>
      <c r="O20" s="24">
        <f ca="1">ROUND(FIRE1121_raw!O20,0)</f>
        <v>0</v>
      </c>
      <c r="P20" s="24">
        <f ca="1">ROUND(FIRE1121_raw!P20,0)</f>
        <v>34</v>
      </c>
      <c r="Q20" s="46">
        <f t="shared" ca="1" si="10"/>
        <v>1.3513513513513514E-2</v>
      </c>
      <c r="R20" s="46">
        <f t="shared" ca="1" si="11"/>
        <v>0.31481481481481483</v>
      </c>
      <c r="S20" s="24"/>
      <c r="T20" s="22">
        <f t="shared" ca="1" si="12"/>
        <v>107</v>
      </c>
      <c r="U20" s="22">
        <f t="shared" ca="1" si="2"/>
        <v>1</v>
      </c>
      <c r="V20" s="22">
        <f t="shared" ca="1" si="2"/>
        <v>0</v>
      </c>
      <c r="W20" s="22">
        <f t="shared" ca="1" si="2"/>
        <v>0</v>
      </c>
      <c r="X20" s="22">
        <f t="shared" ca="1" si="2"/>
        <v>0</v>
      </c>
      <c r="Y20" s="22">
        <f t="shared" ca="1" si="2"/>
        <v>35</v>
      </c>
      <c r="Z20" s="46">
        <f t="shared" ca="1" si="13"/>
        <v>9.2592592592592587E-3</v>
      </c>
      <c r="AA20" s="46">
        <f t="shared" ca="1" si="14"/>
        <v>0.24475524475524477</v>
      </c>
      <c r="AB20" s="24"/>
      <c r="AC20" s="24">
        <f ca="1">ROUND(FIRE1121_raw!AC20,0)</f>
        <v>2</v>
      </c>
      <c r="AD20" s="24">
        <f ca="1">ROUND(FIRE1121_raw!AD20,0)</f>
        <v>0</v>
      </c>
      <c r="AE20" s="24">
        <f ca="1">ROUND(FIRE1121_raw!AE20,0)</f>
        <v>0</v>
      </c>
      <c r="AF20" s="24">
        <f ca="1">ROUND(FIRE1121_raw!AF20,0)</f>
        <v>0</v>
      </c>
      <c r="AG20" s="24">
        <f ca="1">ROUND(FIRE1121_raw!AG20,0)</f>
        <v>0</v>
      </c>
      <c r="AH20" s="24">
        <f ca="1">ROUND(FIRE1121_raw!AH20,0)</f>
        <v>0</v>
      </c>
      <c r="AI20" s="46">
        <f t="shared" ca="1" si="16"/>
        <v>0</v>
      </c>
      <c r="AJ20" s="46">
        <f t="shared" ca="1" si="17"/>
        <v>0</v>
      </c>
      <c r="AK20" s="24"/>
      <c r="AL20" s="24">
        <f ca="1">ROUND(FIRE1121_raw!AL20,0)</f>
        <v>19</v>
      </c>
      <c r="AM20" s="24">
        <f ca="1">ROUND(FIRE1121_raw!AM20,0)</f>
        <v>0</v>
      </c>
      <c r="AN20" s="24">
        <f ca="1">ROUND(FIRE1121_raw!AN20,0)</f>
        <v>0</v>
      </c>
      <c r="AO20" s="24">
        <f ca="1">ROUND(FIRE1121_raw!AO20,0)</f>
        <v>0</v>
      </c>
      <c r="AP20" s="24">
        <f ca="1">ROUND(FIRE1121_raw!AP20,0)</f>
        <v>0</v>
      </c>
      <c r="AQ20" s="24">
        <f ca="1">ROUND(FIRE1121_raw!AQ20,0)</f>
        <v>7</v>
      </c>
      <c r="AR20" s="46">
        <f t="shared" ca="1" si="19"/>
        <v>0</v>
      </c>
      <c r="AS20" s="46">
        <f t="shared" ca="1" si="20"/>
        <v>0.26923076923076922</v>
      </c>
      <c r="AT20" s="24"/>
      <c r="AU20" s="22">
        <f t="shared" ca="1" si="21"/>
        <v>128</v>
      </c>
      <c r="AV20" s="22">
        <f t="shared" ca="1" si="5"/>
        <v>1</v>
      </c>
      <c r="AW20" s="22">
        <f t="shared" ca="1" si="5"/>
        <v>0</v>
      </c>
      <c r="AX20" s="22">
        <f t="shared" ca="1" si="5"/>
        <v>0</v>
      </c>
      <c r="AY20" s="22">
        <f t="shared" ca="1" si="5"/>
        <v>0</v>
      </c>
      <c r="AZ20" s="22">
        <f t="shared" ca="1" si="5"/>
        <v>42</v>
      </c>
      <c r="BA20" s="46">
        <f t="shared" ca="1" si="22"/>
        <v>7.7519379844961239E-3</v>
      </c>
      <c r="BB20" s="46">
        <f t="shared" ca="1" si="23"/>
        <v>0.24561403508771928</v>
      </c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 s="8" customFormat="1" ht="15" customHeight="1" x14ac:dyDescent="0.35">
      <c r="A21" s="2" t="s">
        <v>28</v>
      </c>
      <c r="B21" s="24">
        <f ca="1">ROUND(FIRE1121_raw!B21,0)</f>
        <v>11</v>
      </c>
      <c r="C21" s="24">
        <f ca="1">ROUND(FIRE1121_raw!C21,0)</f>
        <v>0</v>
      </c>
      <c r="D21" s="24">
        <f ca="1">ROUND(FIRE1121_raw!D21,0)</f>
        <v>0</v>
      </c>
      <c r="E21" s="24">
        <f ca="1">ROUND(FIRE1121_raw!E21,0)</f>
        <v>0</v>
      </c>
      <c r="F21" s="24">
        <f ca="1">ROUND(FIRE1121_raw!F21,0)</f>
        <v>0</v>
      </c>
      <c r="G21" s="24">
        <f ca="1">ROUND(FIRE1121_raw!G21,0)</f>
        <v>10</v>
      </c>
      <c r="H21" s="46">
        <f t="shared" ca="1" si="7"/>
        <v>0</v>
      </c>
      <c r="I21" s="46">
        <f t="shared" ca="1" si="8"/>
        <v>0.47619047619047616</v>
      </c>
      <c r="J21" s="24"/>
      <c r="K21" s="24">
        <f ca="1">ROUND(FIRE1121_raw!K21,0)</f>
        <v>46</v>
      </c>
      <c r="L21" s="24">
        <f ca="1">ROUND(FIRE1121_raw!L21,0)</f>
        <v>0</v>
      </c>
      <c r="M21" s="24">
        <f ca="1">ROUND(FIRE1121_raw!M21,0)</f>
        <v>0</v>
      </c>
      <c r="N21" s="24">
        <f ca="1">ROUND(FIRE1121_raw!N21,0)</f>
        <v>0</v>
      </c>
      <c r="O21" s="24">
        <f ca="1">ROUND(FIRE1121_raw!O21,0)</f>
        <v>1</v>
      </c>
      <c r="P21" s="24">
        <f ca="1">ROUND(FIRE1121_raw!P21,0)</f>
        <v>31</v>
      </c>
      <c r="Q21" s="46">
        <f t="shared" ca="1" si="10"/>
        <v>2.1276595744680851E-2</v>
      </c>
      <c r="R21" s="46">
        <f t="shared" ca="1" si="11"/>
        <v>0.39743589743589741</v>
      </c>
      <c r="S21" s="24"/>
      <c r="T21" s="22">
        <f t="shared" ca="1" si="12"/>
        <v>57</v>
      </c>
      <c r="U21" s="22">
        <f t="shared" ca="1" si="2"/>
        <v>0</v>
      </c>
      <c r="V21" s="22">
        <f t="shared" ca="1" si="2"/>
        <v>0</v>
      </c>
      <c r="W21" s="22">
        <f t="shared" ca="1" si="2"/>
        <v>0</v>
      </c>
      <c r="X21" s="22">
        <f t="shared" ca="1" si="2"/>
        <v>1</v>
      </c>
      <c r="Y21" s="22">
        <f t="shared" ca="1" si="2"/>
        <v>41</v>
      </c>
      <c r="Z21" s="46">
        <f t="shared" ca="1" si="13"/>
        <v>1.7241379310344827E-2</v>
      </c>
      <c r="AA21" s="46">
        <f t="shared" ca="1" si="14"/>
        <v>0.41414141414141414</v>
      </c>
      <c r="AB21" s="24"/>
      <c r="AC21" s="24">
        <f ca="1">ROUND(FIRE1121_raw!AC21,0)</f>
        <v>0</v>
      </c>
      <c r="AD21" s="24">
        <f ca="1">ROUND(FIRE1121_raw!AD21,0)</f>
        <v>0</v>
      </c>
      <c r="AE21" s="24">
        <f ca="1">ROUND(FIRE1121_raw!AE21,0)</f>
        <v>0</v>
      </c>
      <c r="AF21" s="24">
        <f ca="1">ROUND(FIRE1121_raw!AF21,0)</f>
        <v>0</v>
      </c>
      <c r="AG21" s="24">
        <f ca="1">ROUND(FIRE1121_raw!AG21,0)</f>
        <v>0</v>
      </c>
      <c r="AH21" s="24">
        <f ca="1">ROUND(FIRE1121_raw!AH21,0)</f>
        <v>4</v>
      </c>
      <c r="AI21" s="46" t="str">
        <f t="shared" ca="1" si="16"/>
        <v>-</v>
      </c>
      <c r="AJ21" s="46">
        <f t="shared" ca="1" si="17"/>
        <v>1</v>
      </c>
      <c r="AK21" s="24"/>
      <c r="AL21" s="24">
        <f ca="1">ROUND(FIRE1121_raw!AL21,0)</f>
        <v>11</v>
      </c>
      <c r="AM21" s="24">
        <f ca="1">ROUND(FIRE1121_raw!AM21,0)</f>
        <v>0</v>
      </c>
      <c r="AN21" s="24">
        <f ca="1">ROUND(FIRE1121_raw!AN21,0)</f>
        <v>0</v>
      </c>
      <c r="AO21" s="24">
        <f ca="1">ROUND(FIRE1121_raw!AO21,0)</f>
        <v>0</v>
      </c>
      <c r="AP21" s="24">
        <f ca="1">ROUND(FIRE1121_raw!AP21,0)</f>
        <v>0</v>
      </c>
      <c r="AQ21" s="24">
        <f ca="1">ROUND(FIRE1121_raw!AQ21,0)</f>
        <v>14</v>
      </c>
      <c r="AR21" s="46">
        <f t="shared" ca="1" si="19"/>
        <v>0</v>
      </c>
      <c r="AS21" s="46">
        <f t="shared" ca="1" si="20"/>
        <v>0.56000000000000005</v>
      </c>
      <c r="AT21" s="24"/>
      <c r="AU21" s="22">
        <f t="shared" ca="1" si="21"/>
        <v>68</v>
      </c>
      <c r="AV21" s="22">
        <f t="shared" ca="1" si="5"/>
        <v>0</v>
      </c>
      <c r="AW21" s="22">
        <f t="shared" ca="1" si="5"/>
        <v>0</v>
      </c>
      <c r="AX21" s="22">
        <f t="shared" ca="1" si="5"/>
        <v>0</v>
      </c>
      <c r="AY21" s="22">
        <f t="shared" ca="1" si="5"/>
        <v>1</v>
      </c>
      <c r="AZ21" s="22">
        <f t="shared" ca="1" si="5"/>
        <v>59</v>
      </c>
      <c r="BA21" s="46">
        <f t="shared" ca="1" si="22"/>
        <v>1.4492753623188406E-2</v>
      </c>
      <c r="BB21" s="46">
        <f t="shared" ca="1" si="23"/>
        <v>0.4609375</v>
      </c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 s="8" customFormat="1" ht="15" customHeight="1" x14ac:dyDescent="0.35">
      <c r="A22" s="2" t="s">
        <v>29</v>
      </c>
      <c r="B22" s="24">
        <f ca="1">ROUND(FIRE1121_raw!B22,0)</f>
        <v>14</v>
      </c>
      <c r="C22" s="24">
        <f ca="1">ROUND(FIRE1121_raw!C22,0)</f>
        <v>0</v>
      </c>
      <c r="D22" s="24">
        <f ca="1">ROUND(FIRE1121_raw!D22,0)</f>
        <v>0</v>
      </c>
      <c r="E22" s="24">
        <f ca="1">ROUND(FIRE1121_raw!E22,0)</f>
        <v>0</v>
      </c>
      <c r="F22" s="24">
        <f ca="1">ROUND(FIRE1121_raw!F22,0)</f>
        <v>0</v>
      </c>
      <c r="G22" s="24">
        <f ca="1">ROUND(FIRE1121_raw!G22,0)</f>
        <v>8</v>
      </c>
      <c r="H22" s="46">
        <f t="shared" ca="1" si="7"/>
        <v>0</v>
      </c>
      <c r="I22" s="46">
        <f t="shared" ca="1" si="8"/>
        <v>0.36363636363636365</v>
      </c>
      <c r="J22" s="24"/>
      <c r="K22" s="24">
        <f ca="1">ROUND(FIRE1121_raw!K22,0)</f>
        <v>7</v>
      </c>
      <c r="L22" s="24">
        <f ca="1">ROUND(FIRE1121_raw!L22,0)</f>
        <v>0</v>
      </c>
      <c r="M22" s="24">
        <f ca="1">ROUND(FIRE1121_raw!M22,0)</f>
        <v>0</v>
      </c>
      <c r="N22" s="24">
        <f ca="1">ROUND(FIRE1121_raw!N22,0)</f>
        <v>0</v>
      </c>
      <c r="O22" s="24">
        <f ca="1">ROUND(FIRE1121_raw!O22,0)</f>
        <v>0</v>
      </c>
      <c r="P22" s="24">
        <f ca="1">ROUND(FIRE1121_raw!P22,0)</f>
        <v>20</v>
      </c>
      <c r="Q22" s="46">
        <f t="shared" ca="1" si="10"/>
        <v>0</v>
      </c>
      <c r="R22" s="46">
        <f t="shared" ca="1" si="11"/>
        <v>0.7407407407407407</v>
      </c>
      <c r="S22" s="24"/>
      <c r="T22" s="22">
        <f t="shared" ca="1" si="12"/>
        <v>21</v>
      </c>
      <c r="U22" s="22">
        <f t="shared" ca="1" si="2"/>
        <v>0</v>
      </c>
      <c r="V22" s="22">
        <f t="shared" ca="1" si="2"/>
        <v>0</v>
      </c>
      <c r="W22" s="22">
        <f t="shared" ca="1" si="2"/>
        <v>0</v>
      </c>
      <c r="X22" s="22">
        <f t="shared" ca="1" si="2"/>
        <v>0</v>
      </c>
      <c r="Y22" s="22">
        <f t="shared" ca="1" si="2"/>
        <v>28</v>
      </c>
      <c r="Z22" s="46">
        <f t="shared" ca="1" si="13"/>
        <v>0</v>
      </c>
      <c r="AA22" s="46">
        <f t="shared" ca="1" si="14"/>
        <v>0.5714285714285714</v>
      </c>
      <c r="AB22" s="24"/>
      <c r="AC22" s="24">
        <f ca="1">ROUND(FIRE1121_raw!AC22,0)</f>
        <v>0</v>
      </c>
      <c r="AD22" s="24">
        <f ca="1">ROUND(FIRE1121_raw!AD22,0)</f>
        <v>0</v>
      </c>
      <c r="AE22" s="24">
        <f ca="1">ROUND(FIRE1121_raw!AE22,0)</f>
        <v>0</v>
      </c>
      <c r="AF22" s="24">
        <f ca="1">ROUND(FIRE1121_raw!AF22,0)</f>
        <v>0</v>
      </c>
      <c r="AG22" s="24">
        <f ca="1">ROUND(FIRE1121_raw!AG22,0)</f>
        <v>0</v>
      </c>
      <c r="AH22" s="24">
        <f ca="1">ROUND(FIRE1121_raw!AH22,0)</f>
        <v>0</v>
      </c>
      <c r="AI22" s="46" t="str">
        <f t="shared" ca="1" si="16"/>
        <v>-</v>
      </c>
      <c r="AJ22" s="46" t="str">
        <f t="shared" ca="1" si="17"/>
        <v>-</v>
      </c>
      <c r="AK22" s="24"/>
      <c r="AL22" s="24">
        <f ca="1">ROUND(FIRE1121_raw!AL22,0)</f>
        <v>6</v>
      </c>
      <c r="AM22" s="24">
        <f ca="1">ROUND(FIRE1121_raw!AM22,0)</f>
        <v>0</v>
      </c>
      <c r="AN22" s="24">
        <f ca="1">ROUND(FIRE1121_raw!AN22,0)</f>
        <v>0</v>
      </c>
      <c r="AO22" s="24">
        <f ca="1">ROUND(FIRE1121_raw!AO22,0)</f>
        <v>0</v>
      </c>
      <c r="AP22" s="24">
        <f ca="1">ROUND(FIRE1121_raw!AP22,0)</f>
        <v>0</v>
      </c>
      <c r="AQ22" s="24">
        <f ca="1">ROUND(FIRE1121_raw!AQ22,0)</f>
        <v>12</v>
      </c>
      <c r="AR22" s="46">
        <f t="shared" ca="1" si="19"/>
        <v>0</v>
      </c>
      <c r="AS22" s="46">
        <f t="shared" ca="1" si="20"/>
        <v>0.66666666666666663</v>
      </c>
      <c r="AT22" s="24"/>
      <c r="AU22" s="22">
        <f t="shared" ca="1" si="21"/>
        <v>27</v>
      </c>
      <c r="AV22" s="22">
        <f t="shared" ca="1" si="5"/>
        <v>0</v>
      </c>
      <c r="AW22" s="22">
        <f t="shared" ca="1" si="5"/>
        <v>0</v>
      </c>
      <c r="AX22" s="22">
        <f t="shared" ca="1" si="5"/>
        <v>0</v>
      </c>
      <c r="AY22" s="22">
        <f t="shared" ca="1" si="5"/>
        <v>0</v>
      </c>
      <c r="AZ22" s="22">
        <f t="shared" ca="1" si="5"/>
        <v>40</v>
      </c>
      <c r="BA22" s="46">
        <f t="shared" ca="1" si="22"/>
        <v>0</v>
      </c>
      <c r="BB22" s="46">
        <f t="shared" ca="1" si="23"/>
        <v>0.59701492537313428</v>
      </c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s="8" customFormat="1" ht="15" customHeight="1" x14ac:dyDescent="0.35">
      <c r="A23" s="2" t="s">
        <v>30</v>
      </c>
      <c r="B23" s="24">
        <f ca="1">ROUND(FIRE1121_raw!B23,0)</f>
        <v>8</v>
      </c>
      <c r="C23" s="24">
        <f ca="1">ROUND(FIRE1121_raw!C23,0)</f>
        <v>0</v>
      </c>
      <c r="D23" s="24">
        <f ca="1">ROUND(FIRE1121_raw!D23,0)</f>
        <v>0</v>
      </c>
      <c r="E23" s="24">
        <f ca="1">ROUND(FIRE1121_raw!E23,0)</f>
        <v>0</v>
      </c>
      <c r="F23" s="24">
        <f ca="1">ROUND(FIRE1121_raw!F23,0)</f>
        <v>0</v>
      </c>
      <c r="G23" s="24">
        <f ca="1">ROUND(FIRE1121_raw!G23,0)</f>
        <v>0</v>
      </c>
      <c r="H23" s="46">
        <f t="shared" ca="1" si="7"/>
        <v>0</v>
      </c>
      <c r="I23" s="46">
        <f t="shared" ca="1" si="8"/>
        <v>0</v>
      </c>
      <c r="J23" s="24"/>
      <c r="K23" s="24">
        <f ca="1">ROUND(FIRE1121_raw!K23,0)</f>
        <v>19</v>
      </c>
      <c r="L23" s="24">
        <f ca="1">ROUND(FIRE1121_raw!L23,0)</f>
        <v>0</v>
      </c>
      <c r="M23" s="24">
        <f ca="1">ROUND(FIRE1121_raw!M23,0)</f>
        <v>0</v>
      </c>
      <c r="N23" s="24">
        <f ca="1">ROUND(FIRE1121_raw!N23,0)</f>
        <v>0</v>
      </c>
      <c r="O23" s="24">
        <f ca="1">ROUND(FIRE1121_raw!O23,0)</f>
        <v>0</v>
      </c>
      <c r="P23" s="24">
        <f ca="1">ROUND(FIRE1121_raw!P23,0)</f>
        <v>3</v>
      </c>
      <c r="Q23" s="46">
        <f t="shared" ca="1" si="10"/>
        <v>0</v>
      </c>
      <c r="R23" s="46">
        <f t="shared" ca="1" si="11"/>
        <v>0.13636363636363635</v>
      </c>
      <c r="S23" s="24"/>
      <c r="T23" s="22">
        <f t="shared" ca="1" si="12"/>
        <v>27</v>
      </c>
      <c r="U23" s="22">
        <f t="shared" ca="1" si="2"/>
        <v>0</v>
      </c>
      <c r="V23" s="22">
        <f t="shared" ca="1" si="2"/>
        <v>0</v>
      </c>
      <c r="W23" s="22">
        <f t="shared" ca="1" si="2"/>
        <v>0</v>
      </c>
      <c r="X23" s="22">
        <f t="shared" ca="1" si="2"/>
        <v>0</v>
      </c>
      <c r="Y23" s="22">
        <f t="shared" ca="1" si="2"/>
        <v>3</v>
      </c>
      <c r="Z23" s="46">
        <f t="shared" ca="1" si="13"/>
        <v>0</v>
      </c>
      <c r="AA23" s="46">
        <f t="shared" ca="1" si="14"/>
        <v>0.1</v>
      </c>
      <c r="AB23" s="24"/>
      <c r="AC23" s="24">
        <f ca="1">ROUND(FIRE1121_raw!AC23,0)</f>
        <v>3</v>
      </c>
      <c r="AD23" s="24">
        <f ca="1">ROUND(FIRE1121_raw!AD23,0)</f>
        <v>0</v>
      </c>
      <c r="AE23" s="24">
        <f ca="1">ROUND(FIRE1121_raw!AE23,0)</f>
        <v>0</v>
      </c>
      <c r="AF23" s="24">
        <f ca="1">ROUND(FIRE1121_raw!AF23,0)</f>
        <v>0</v>
      </c>
      <c r="AG23" s="24">
        <f ca="1">ROUND(FIRE1121_raw!AG23,0)</f>
        <v>0</v>
      </c>
      <c r="AH23" s="24">
        <f ca="1">ROUND(FIRE1121_raw!AH23,0)</f>
        <v>1</v>
      </c>
      <c r="AI23" s="46">
        <f t="shared" ca="1" si="16"/>
        <v>0</v>
      </c>
      <c r="AJ23" s="46">
        <f t="shared" ca="1" si="17"/>
        <v>0.25</v>
      </c>
      <c r="AK23" s="24"/>
      <c r="AL23" s="24">
        <f ca="1">ROUND(FIRE1121_raw!AL23,0)</f>
        <v>13</v>
      </c>
      <c r="AM23" s="24">
        <f ca="1">ROUND(FIRE1121_raw!AM23,0)</f>
        <v>0</v>
      </c>
      <c r="AN23" s="24">
        <f ca="1">ROUND(FIRE1121_raw!AN23,0)</f>
        <v>0</v>
      </c>
      <c r="AO23" s="24">
        <f ca="1">ROUND(FIRE1121_raw!AO23,0)</f>
        <v>0</v>
      </c>
      <c r="AP23" s="24">
        <f ca="1">ROUND(FIRE1121_raw!AP23,0)</f>
        <v>0</v>
      </c>
      <c r="AQ23" s="24">
        <f ca="1">ROUND(FIRE1121_raw!AQ23,0)</f>
        <v>10</v>
      </c>
      <c r="AR23" s="46">
        <f t="shared" ca="1" si="19"/>
        <v>0</v>
      </c>
      <c r="AS23" s="46">
        <f t="shared" ca="1" si="20"/>
        <v>0.43478260869565216</v>
      </c>
      <c r="AT23" s="24"/>
      <c r="AU23" s="22">
        <f t="shared" ca="1" si="21"/>
        <v>43</v>
      </c>
      <c r="AV23" s="22">
        <f t="shared" ca="1" si="5"/>
        <v>0</v>
      </c>
      <c r="AW23" s="22">
        <f t="shared" ca="1" si="5"/>
        <v>0</v>
      </c>
      <c r="AX23" s="22">
        <f t="shared" ca="1" si="5"/>
        <v>0</v>
      </c>
      <c r="AY23" s="22">
        <f t="shared" ca="1" si="5"/>
        <v>0</v>
      </c>
      <c r="AZ23" s="22">
        <f t="shared" ca="1" si="5"/>
        <v>14</v>
      </c>
      <c r="BA23" s="46">
        <f t="shared" ca="1" si="22"/>
        <v>0</v>
      </c>
      <c r="BB23" s="46">
        <f t="shared" ca="1" si="23"/>
        <v>0.24561403508771928</v>
      </c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s="8" customFormat="1" ht="15" customHeight="1" x14ac:dyDescent="0.35">
      <c r="A24" s="2" t="s">
        <v>31</v>
      </c>
      <c r="B24" s="24">
        <f ca="1">ROUND(FIRE1121_raw!B24,0)</f>
        <v>18</v>
      </c>
      <c r="C24" s="24">
        <f ca="1">ROUND(FIRE1121_raw!C24,0)</f>
        <v>0</v>
      </c>
      <c r="D24" s="24">
        <f ca="1">ROUND(FIRE1121_raw!D24,0)</f>
        <v>0</v>
      </c>
      <c r="E24" s="24">
        <f ca="1">ROUND(FIRE1121_raw!E24,0)</f>
        <v>0</v>
      </c>
      <c r="F24" s="24">
        <f ca="1">ROUND(FIRE1121_raw!F24,0)</f>
        <v>0</v>
      </c>
      <c r="G24" s="24">
        <f ca="1">ROUND(FIRE1121_raw!G24,0)</f>
        <v>4</v>
      </c>
      <c r="H24" s="46">
        <f t="shared" ca="1" si="7"/>
        <v>0</v>
      </c>
      <c r="I24" s="46">
        <f t="shared" ca="1" si="8"/>
        <v>0.18181818181818182</v>
      </c>
      <c r="J24" s="24"/>
      <c r="K24" s="24">
        <f ca="1">ROUND(FIRE1121_raw!K24,0)</f>
        <v>23</v>
      </c>
      <c r="L24" s="24">
        <f ca="1">ROUND(FIRE1121_raw!L24,0)</f>
        <v>1</v>
      </c>
      <c r="M24" s="24">
        <f ca="1">ROUND(FIRE1121_raw!M24,0)</f>
        <v>0</v>
      </c>
      <c r="N24" s="24">
        <f ca="1">ROUND(FIRE1121_raw!N24,0)</f>
        <v>0</v>
      </c>
      <c r="O24" s="24">
        <f ca="1">ROUND(FIRE1121_raw!O24,0)</f>
        <v>1</v>
      </c>
      <c r="P24" s="24">
        <f ca="1">ROUND(FIRE1121_raw!P24,0)</f>
        <v>63</v>
      </c>
      <c r="Q24" s="46">
        <f t="shared" ca="1" si="10"/>
        <v>0.08</v>
      </c>
      <c r="R24" s="46">
        <f t="shared" ca="1" si="11"/>
        <v>0.71590909090909094</v>
      </c>
      <c r="S24" s="24"/>
      <c r="T24" s="22">
        <f t="shared" ca="1" si="12"/>
        <v>41</v>
      </c>
      <c r="U24" s="22">
        <f t="shared" ca="1" si="12"/>
        <v>1</v>
      </c>
      <c r="V24" s="22">
        <f t="shared" ca="1" si="12"/>
        <v>0</v>
      </c>
      <c r="W24" s="22">
        <f t="shared" ca="1" si="12"/>
        <v>0</v>
      </c>
      <c r="X24" s="22">
        <f t="shared" ca="1" si="12"/>
        <v>1</v>
      </c>
      <c r="Y24" s="22">
        <f t="shared" ca="1" si="12"/>
        <v>67</v>
      </c>
      <c r="Z24" s="46">
        <f t="shared" ca="1" si="13"/>
        <v>4.6511627906976744E-2</v>
      </c>
      <c r="AA24" s="46">
        <f t="shared" ca="1" si="14"/>
        <v>0.60909090909090913</v>
      </c>
      <c r="AB24" s="24"/>
      <c r="AC24" s="24">
        <f ca="1">ROUND(FIRE1121_raw!AC24,0)</f>
        <v>0</v>
      </c>
      <c r="AD24" s="24">
        <f ca="1">ROUND(FIRE1121_raw!AD24,0)</f>
        <v>0</v>
      </c>
      <c r="AE24" s="24">
        <f ca="1">ROUND(FIRE1121_raw!AE24,0)</f>
        <v>0</v>
      </c>
      <c r="AF24" s="24">
        <f ca="1">ROUND(FIRE1121_raw!AF24,0)</f>
        <v>0</v>
      </c>
      <c r="AG24" s="24">
        <f ca="1">ROUND(FIRE1121_raw!AG24,0)</f>
        <v>0</v>
      </c>
      <c r="AH24" s="24">
        <f ca="1">ROUND(FIRE1121_raw!AH24,0)</f>
        <v>3</v>
      </c>
      <c r="AI24" s="46" t="str">
        <f t="shared" ca="1" si="16"/>
        <v>-</v>
      </c>
      <c r="AJ24" s="46">
        <f t="shared" ca="1" si="17"/>
        <v>1</v>
      </c>
      <c r="AK24" s="24"/>
      <c r="AL24" s="24">
        <f ca="1">ROUND(FIRE1121_raw!AL24,0)</f>
        <v>19</v>
      </c>
      <c r="AM24" s="24">
        <f ca="1">ROUND(FIRE1121_raw!AM24,0)</f>
        <v>0</v>
      </c>
      <c r="AN24" s="24">
        <f ca="1">ROUND(FIRE1121_raw!AN24,0)</f>
        <v>0</v>
      </c>
      <c r="AO24" s="24">
        <f ca="1">ROUND(FIRE1121_raw!AO24,0)</f>
        <v>0</v>
      </c>
      <c r="AP24" s="24">
        <f ca="1">ROUND(FIRE1121_raw!AP24,0)</f>
        <v>0</v>
      </c>
      <c r="AQ24" s="24">
        <f ca="1">ROUND(FIRE1121_raw!AQ24,0)</f>
        <v>41</v>
      </c>
      <c r="AR24" s="46">
        <f t="shared" ca="1" si="19"/>
        <v>0</v>
      </c>
      <c r="AS24" s="46">
        <f t="shared" ca="1" si="20"/>
        <v>0.68333333333333335</v>
      </c>
      <c r="AT24" s="24"/>
      <c r="AU24" s="22">
        <f t="shared" ca="1" si="21"/>
        <v>60</v>
      </c>
      <c r="AV24" s="22">
        <f t="shared" ca="1" si="21"/>
        <v>1</v>
      </c>
      <c r="AW24" s="22">
        <f t="shared" ca="1" si="21"/>
        <v>0</v>
      </c>
      <c r="AX24" s="22">
        <f t="shared" ca="1" si="21"/>
        <v>0</v>
      </c>
      <c r="AY24" s="22">
        <f t="shared" ca="1" si="21"/>
        <v>1</v>
      </c>
      <c r="AZ24" s="22">
        <f t="shared" ca="1" si="21"/>
        <v>111</v>
      </c>
      <c r="BA24" s="46">
        <f t="shared" ca="1" si="22"/>
        <v>3.2258064516129031E-2</v>
      </c>
      <c r="BB24" s="46">
        <f t="shared" ca="1" si="23"/>
        <v>0.64161849710982655</v>
      </c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s="8" customFormat="1" ht="15" customHeight="1" x14ac:dyDescent="0.35">
      <c r="A25" s="2" t="s">
        <v>32</v>
      </c>
      <c r="B25" s="24">
        <f ca="1">ROUND(FIRE1121_raw!B25,0)</f>
        <v>20</v>
      </c>
      <c r="C25" s="24">
        <f ca="1">ROUND(FIRE1121_raw!C25,0)</f>
        <v>1</v>
      </c>
      <c r="D25" s="24">
        <f ca="1">ROUND(FIRE1121_raw!D25,0)</f>
        <v>1</v>
      </c>
      <c r="E25" s="24">
        <f ca="1">ROUND(FIRE1121_raw!E25,0)</f>
        <v>0</v>
      </c>
      <c r="F25" s="24">
        <f ca="1">ROUND(FIRE1121_raw!F25,0)</f>
        <v>0</v>
      </c>
      <c r="G25" s="24">
        <f ca="1">ROUND(FIRE1121_raw!G25,0)</f>
        <v>13</v>
      </c>
      <c r="H25" s="46">
        <f t="shared" ca="1" si="7"/>
        <v>9.0909090909090912E-2</v>
      </c>
      <c r="I25" s="46">
        <f t="shared" ca="1" si="8"/>
        <v>0.37142857142857144</v>
      </c>
      <c r="J25" s="24"/>
      <c r="K25" s="24">
        <f ca="1">ROUND(FIRE1121_raw!K25,0)</f>
        <v>37</v>
      </c>
      <c r="L25" s="24">
        <f ca="1">ROUND(FIRE1121_raw!L25,0)</f>
        <v>0</v>
      </c>
      <c r="M25" s="24">
        <f ca="1">ROUND(FIRE1121_raw!M25,0)</f>
        <v>0</v>
      </c>
      <c r="N25" s="24">
        <f ca="1">ROUND(FIRE1121_raw!N25,0)</f>
        <v>0</v>
      </c>
      <c r="O25" s="24">
        <f ca="1">ROUND(FIRE1121_raw!O25,0)</f>
        <v>0</v>
      </c>
      <c r="P25" s="24">
        <f ca="1">ROUND(FIRE1121_raw!P25,0)</f>
        <v>1</v>
      </c>
      <c r="Q25" s="46">
        <f t="shared" ca="1" si="10"/>
        <v>0</v>
      </c>
      <c r="R25" s="46">
        <f t="shared" ca="1" si="11"/>
        <v>2.6315789473684209E-2</v>
      </c>
      <c r="S25" s="24"/>
      <c r="T25" s="22">
        <f t="shared" ca="1" si="12"/>
        <v>57</v>
      </c>
      <c r="U25" s="22">
        <f t="shared" ca="1" si="12"/>
        <v>1</v>
      </c>
      <c r="V25" s="22">
        <f t="shared" ca="1" si="12"/>
        <v>1</v>
      </c>
      <c r="W25" s="22">
        <f t="shared" ca="1" si="12"/>
        <v>0</v>
      </c>
      <c r="X25" s="22">
        <f t="shared" ca="1" si="12"/>
        <v>0</v>
      </c>
      <c r="Y25" s="22">
        <f t="shared" ca="1" si="12"/>
        <v>14</v>
      </c>
      <c r="Z25" s="46">
        <f t="shared" ca="1" si="13"/>
        <v>3.3898305084745763E-2</v>
      </c>
      <c r="AA25" s="46">
        <f t="shared" ca="1" si="14"/>
        <v>0.19178082191780821</v>
      </c>
      <c r="AB25" s="24"/>
      <c r="AC25" s="24">
        <f ca="1">ROUND(FIRE1121_raw!AC25,0)</f>
        <v>5</v>
      </c>
      <c r="AD25" s="24">
        <f ca="1">ROUND(FIRE1121_raw!AD25,0)</f>
        <v>0</v>
      </c>
      <c r="AE25" s="24">
        <f ca="1">ROUND(FIRE1121_raw!AE25,0)</f>
        <v>0</v>
      </c>
      <c r="AF25" s="24">
        <f ca="1">ROUND(FIRE1121_raw!AF25,0)</f>
        <v>0</v>
      </c>
      <c r="AG25" s="24">
        <f ca="1">ROUND(FIRE1121_raw!AG25,0)</f>
        <v>0</v>
      </c>
      <c r="AH25" s="24">
        <f ca="1">ROUND(FIRE1121_raw!AH25,0)</f>
        <v>1</v>
      </c>
      <c r="AI25" s="46">
        <f t="shared" ca="1" si="16"/>
        <v>0</v>
      </c>
      <c r="AJ25" s="46">
        <f t="shared" ca="1" si="17"/>
        <v>0.16666666666666666</v>
      </c>
      <c r="AK25" s="24"/>
      <c r="AL25" s="24">
        <f ca="1">ROUND(FIRE1121_raw!AL25,0)</f>
        <v>6</v>
      </c>
      <c r="AM25" s="24">
        <f ca="1">ROUND(FIRE1121_raw!AM25,0)</f>
        <v>0</v>
      </c>
      <c r="AN25" s="24">
        <f ca="1">ROUND(FIRE1121_raw!AN25,0)</f>
        <v>0</v>
      </c>
      <c r="AO25" s="24">
        <f ca="1">ROUND(FIRE1121_raw!AO25,0)</f>
        <v>0</v>
      </c>
      <c r="AP25" s="24">
        <f ca="1">ROUND(FIRE1121_raw!AP25,0)</f>
        <v>0</v>
      </c>
      <c r="AQ25" s="24">
        <f ca="1">ROUND(FIRE1121_raw!AQ25,0)</f>
        <v>3</v>
      </c>
      <c r="AR25" s="46">
        <f t="shared" ca="1" si="19"/>
        <v>0</v>
      </c>
      <c r="AS25" s="46">
        <f t="shared" ca="1" si="20"/>
        <v>0.33333333333333331</v>
      </c>
      <c r="AT25" s="24"/>
      <c r="AU25" s="22">
        <f t="shared" ca="1" si="21"/>
        <v>68</v>
      </c>
      <c r="AV25" s="22">
        <f t="shared" ca="1" si="21"/>
        <v>1</v>
      </c>
      <c r="AW25" s="22">
        <f t="shared" ca="1" si="21"/>
        <v>1</v>
      </c>
      <c r="AX25" s="22">
        <f t="shared" ca="1" si="21"/>
        <v>0</v>
      </c>
      <c r="AY25" s="22">
        <f t="shared" ca="1" si="21"/>
        <v>0</v>
      </c>
      <c r="AZ25" s="22">
        <f t="shared" ca="1" si="21"/>
        <v>18</v>
      </c>
      <c r="BA25" s="46">
        <f t="shared" ca="1" si="22"/>
        <v>2.8571428571428571E-2</v>
      </c>
      <c r="BB25" s="46">
        <f t="shared" ca="1" si="23"/>
        <v>0.20454545454545456</v>
      </c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s="8" customFormat="1" ht="15" customHeight="1" x14ac:dyDescent="0.35">
      <c r="A26" s="2" t="s">
        <v>33</v>
      </c>
      <c r="B26" s="24">
        <f ca="1">ROUND(FIRE1121_raw!B26,0)</f>
        <v>43</v>
      </c>
      <c r="C26" s="24">
        <f ca="1">ROUND(FIRE1121_raw!C26,0)</f>
        <v>0</v>
      </c>
      <c r="D26" s="24">
        <f ca="1">ROUND(FIRE1121_raw!D26,0)</f>
        <v>0</v>
      </c>
      <c r="E26" s="24">
        <f ca="1">ROUND(FIRE1121_raw!E26,0)</f>
        <v>0</v>
      </c>
      <c r="F26" s="24">
        <f ca="1">ROUND(FIRE1121_raw!F26,0)</f>
        <v>0</v>
      </c>
      <c r="G26" s="24">
        <f ca="1">ROUND(FIRE1121_raw!G26,0)</f>
        <v>13</v>
      </c>
      <c r="H26" s="46">
        <f t="shared" ca="1" si="7"/>
        <v>0</v>
      </c>
      <c r="I26" s="46">
        <f t="shared" ca="1" si="8"/>
        <v>0.23214285714285715</v>
      </c>
      <c r="J26" s="24"/>
      <c r="K26" s="24">
        <f ca="1">ROUND(FIRE1121_raw!K26,0)</f>
        <v>90</v>
      </c>
      <c r="L26" s="24">
        <f ca="1">ROUND(FIRE1121_raw!L26,0)</f>
        <v>1</v>
      </c>
      <c r="M26" s="24">
        <f ca="1">ROUND(FIRE1121_raw!M26,0)</f>
        <v>0</v>
      </c>
      <c r="N26" s="24">
        <f ca="1">ROUND(FIRE1121_raw!N26,0)</f>
        <v>0</v>
      </c>
      <c r="O26" s="24">
        <f ca="1">ROUND(FIRE1121_raw!O26,0)</f>
        <v>0</v>
      </c>
      <c r="P26" s="24">
        <f ca="1">ROUND(FIRE1121_raw!P26,0)</f>
        <v>8</v>
      </c>
      <c r="Q26" s="46">
        <f t="shared" ca="1" si="10"/>
        <v>1.098901098901099E-2</v>
      </c>
      <c r="R26" s="46">
        <f t="shared" ca="1" si="11"/>
        <v>8.0808080808080815E-2</v>
      </c>
      <c r="S26" s="24"/>
      <c r="T26" s="22">
        <f t="shared" ca="1" si="12"/>
        <v>133</v>
      </c>
      <c r="U26" s="22">
        <f t="shared" ca="1" si="12"/>
        <v>1</v>
      </c>
      <c r="V26" s="22">
        <f t="shared" ca="1" si="12"/>
        <v>0</v>
      </c>
      <c r="W26" s="22">
        <f t="shared" ca="1" si="12"/>
        <v>0</v>
      </c>
      <c r="X26" s="22">
        <f t="shared" ca="1" si="12"/>
        <v>0</v>
      </c>
      <c r="Y26" s="22">
        <f t="shared" ca="1" si="12"/>
        <v>21</v>
      </c>
      <c r="Z26" s="46">
        <f t="shared" ca="1" si="13"/>
        <v>7.462686567164179E-3</v>
      </c>
      <c r="AA26" s="46">
        <f t="shared" ca="1" si="14"/>
        <v>0.13548387096774195</v>
      </c>
      <c r="AB26" s="24"/>
      <c r="AC26" s="24">
        <f ca="1">ROUND(FIRE1121_raw!AC26,0)</f>
        <v>2</v>
      </c>
      <c r="AD26" s="24">
        <f ca="1">ROUND(FIRE1121_raw!AD26,0)</f>
        <v>0</v>
      </c>
      <c r="AE26" s="24">
        <f ca="1">ROUND(FIRE1121_raw!AE26,0)</f>
        <v>0</v>
      </c>
      <c r="AF26" s="24">
        <f ca="1">ROUND(FIRE1121_raw!AF26,0)</f>
        <v>0</v>
      </c>
      <c r="AG26" s="24">
        <f ca="1">ROUND(FIRE1121_raw!AG26,0)</f>
        <v>0</v>
      </c>
      <c r="AH26" s="24">
        <f ca="1">ROUND(FIRE1121_raw!AH26,0)</f>
        <v>0</v>
      </c>
      <c r="AI26" s="46">
        <f t="shared" ca="1" si="16"/>
        <v>0</v>
      </c>
      <c r="AJ26" s="46">
        <f t="shared" ca="1" si="17"/>
        <v>0</v>
      </c>
      <c r="AK26" s="24"/>
      <c r="AL26" s="24">
        <f ca="1">ROUND(FIRE1121_raw!AL26,0)</f>
        <v>46</v>
      </c>
      <c r="AM26" s="24">
        <f ca="1">ROUND(FIRE1121_raw!AM26,0)</f>
        <v>1</v>
      </c>
      <c r="AN26" s="24">
        <f ca="1">ROUND(FIRE1121_raw!AN26,0)</f>
        <v>1</v>
      </c>
      <c r="AO26" s="24">
        <f ca="1">ROUND(FIRE1121_raw!AO26,0)</f>
        <v>1</v>
      </c>
      <c r="AP26" s="24">
        <f ca="1">ROUND(FIRE1121_raw!AP26,0)</f>
        <v>0</v>
      </c>
      <c r="AQ26" s="24">
        <f ca="1">ROUND(FIRE1121_raw!AQ26,0)</f>
        <v>3</v>
      </c>
      <c r="AR26" s="46">
        <f t="shared" ca="1" si="19"/>
        <v>6.1224489795918366E-2</v>
      </c>
      <c r="AS26" s="46">
        <f t="shared" ca="1" si="20"/>
        <v>5.7692307692307696E-2</v>
      </c>
      <c r="AT26" s="24"/>
      <c r="AU26" s="22">
        <f t="shared" ca="1" si="21"/>
        <v>181</v>
      </c>
      <c r="AV26" s="22">
        <f t="shared" ca="1" si="21"/>
        <v>2</v>
      </c>
      <c r="AW26" s="22">
        <f t="shared" ca="1" si="21"/>
        <v>1</v>
      </c>
      <c r="AX26" s="22">
        <f t="shared" ca="1" si="21"/>
        <v>1</v>
      </c>
      <c r="AY26" s="22">
        <f t="shared" ca="1" si="21"/>
        <v>0</v>
      </c>
      <c r="AZ26" s="22">
        <f t="shared" ca="1" si="21"/>
        <v>24</v>
      </c>
      <c r="BA26" s="46">
        <f t="shared" ca="1" si="22"/>
        <v>2.1621621621621623E-2</v>
      </c>
      <c r="BB26" s="46">
        <f t="shared" ca="1" si="23"/>
        <v>0.11483253588516747</v>
      </c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s="8" customFormat="1" ht="15" customHeight="1" x14ac:dyDescent="0.35">
      <c r="A27" s="2" t="s">
        <v>34</v>
      </c>
      <c r="B27" s="24">
        <f ca="1">ROUND(FIRE1121_raw!B27,0)</f>
        <v>21</v>
      </c>
      <c r="C27" s="24">
        <f ca="1">ROUND(FIRE1121_raw!C27,0)</f>
        <v>0</v>
      </c>
      <c r="D27" s="24">
        <f ca="1">ROUND(FIRE1121_raw!D27,0)</f>
        <v>0</v>
      </c>
      <c r="E27" s="24">
        <f ca="1">ROUND(FIRE1121_raw!E27,0)</f>
        <v>0</v>
      </c>
      <c r="F27" s="24">
        <f ca="1">ROUND(FIRE1121_raw!F27,0)</f>
        <v>0</v>
      </c>
      <c r="G27" s="24">
        <f ca="1">ROUND(FIRE1121_raw!G27,0)</f>
        <v>0</v>
      </c>
      <c r="H27" s="46">
        <f t="shared" ca="1" si="7"/>
        <v>0</v>
      </c>
      <c r="I27" s="46">
        <f t="shared" ca="1" si="8"/>
        <v>0</v>
      </c>
      <c r="J27" s="24"/>
      <c r="K27" s="24">
        <f ca="1">ROUND(FIRE1121_raw!K27,0)</f>
        <v>34</v>
      </c>
      <c r="L27" s="24">
        <f ca="1">ROUND(FIRE1121_raw!L27,0)</f>
        <v>1</v>
      </c>
      <c r="M27" s="24">
        <f ca="1">ROUND(FIRE1121_raw!M27,0)</f>
        <v>0</v>
      </c>
      <c r="N27" s="24">
        <f ca="1">ROUND(FIRE1121_raw!N27,0)</f>
        <v>0</v>
      </c>
      <c r="O27" s="24">
        <f ca="1">ROUND(FIRE1121_raw!O27,0)</f>
        <v>0</v>
      </c>
      <c r="P27" s="24">
        <f ca="1">ROUND(FIRE1121_raw!P27,0)</f>
        <v>2</v>
      </c>
      <c r="Q27" s="46">
        <f t="shared" ca="1" si="10"/>
        <v>2.8571428571428571E-2</v>
      </c>
      <c r="R27" s="46">
        <f t="shared" ca="1" si="11"/>
        <v>5.4054054054054057E-2</v>
      </c>
      <c r="S27" s="24"/>
      <c r="T27" s="22">
        <f t="shared" ca="1" si="12"/>
        <v>55</v>
      </c>
      <c r="U27" s="22">
        <f t="shared" ca="1" si="12"/>
        <v>1</v>
      </c>
      <c r="V27" s="22">
        <f t="shared" ca="1" si="12"/>
        <v>0</v>
      </c>
      <c r="W27" s="22">
        <f t="shared" ca="1" si="12"/>
        <v>0</v>
      </c>
      <c r="X27" s="22">
        <f t="shared" ca="1" si="12"/>
        <v>0</v>
      </c>
      <c r="Y27" s="22">
        <f t="shared" ca="1" si="12"/>
        <v>2</v>
      </c>
      <c r="Z27" s="46">
        <f t="shared" ca="1" si="13"/>
        <v>1.7857142857142856E-2</v>
      </c>
      <c r="AA27" s="46">
        <f t="shared" ca="1" si="14"/>
        <v>3.4482758620689655E-2</v>
      </c>
      <c r="AB27" s="24"/>
      <c r="AC27" s="24">
        <f ca="1">ROUND(FIRE1121_raw!AC27,0)</f>
        <v>2</v>
      </c>
      <c r="AD27" s="24">
        <f ca="1">ROUND(FIRE1121_raw!AD27,0)</f>
        <v>0</v>
      </c>
      <c r="AE27" s="24">
        <f ca="1">ROUND(FIRE1121_raw!AE27,0)</f>
        <v>0</v>
      </c>
      <c r="AF27" s="24">
        <f ca="1">ROUND(FIRE1121_raw!AF27,0)</f>
        <v>0</v>
      </c>
      <c r="AG27" s="24">
        <f ca="1">ROUND(FIRE1121_raw!AG27,0)</f>
        <v>0</v>
      </c>
      <c r="AH27" s="24">
        <f ca="1">ROUND(FIRE1121_raw!AH27,0)</f>
        <v>0</v>
      </c>
      <c r="AI27" s="46">
        <f t="shared" ca="1" si="16"/>
        <v>0</v>
      </c>
      <c r="AJ27" s="46">
        <f t="shared" ca="1" si="17"/>
        <v>0</v>
      </c>
      <c r="AK27" s="24"/>
      <c r="AL27" s="24">
        <f ca="1">ROUND(FIRE1121_raw!AL27,0)</f>
        <v>12</v>
      </c>
      <c r="AM27" s="24">
        <f ca="1">ROUND(FIRE1121_raw!AM27,0)</f>
        <v>0</v>
      </c>
      <c r="AN27" s="24">
        <f ca="1">ROUND(FIRE1121_raw!AN27,0)</f>
        <v>0</v>
      </c>
      <c r="AO27" s="24">
        <f ca="1">ROUND(FIRE1121_raw!AO27,0)</f>
        <v>0</v>
      </c>
      <c r="AP27" s="24">
        <f ca="1">ROUND(FIRE1121_raw!AP27,0)</f>
        <v>0</v>
      </c>
      <c r="AQ27" s="24">
        <f ca="1">ROUND(FIRE1121_raw!AQ27,0)</f>
        <v>2</v>
      </c>
      <c r="AR27" s="46">
        <f t="shared" ca="1" si="19"/>
        <v>0</v>
      </c>
      <c r="AS27" s="46">
        <f t="shared" ca="1" si="20"/>
        <v>0.14285714285714285</v>
      </c>
      <c r="AT27" s="24"/>
      <c r="AU27" s="22">
        <f t="shared" ca="1" si="21"/>
        <v>69</v>
      </c>
      <c r="AV27" s="22">
        <f t="shared" ca="1" si="21"/>
        <v>1</v>
      </c>
      <c r="AW27" s="22">
        <f t="shared" ca="1" si="21"/>
        <v>0</v>
      </c>
      <c r="AX27" s="22">
        <f t="shared" ca="1" si="21"/>
        <v>0</v>
      </c>
      <c r="AY27" s="22">
        <f t="shared" ca="1" si="21"/>
        <v>0</v>
      </c>
      <c r="AZ27" s="22">
        <f t="shared" ca="1" si="21"/>
        <v>4</v>
      </c>
      <c r="BA27" s="46">
        <f t="shared" ca="1" si="22"/>
        <v>1.4285714285714285E-2</v>
      </c>
      <c r="BB27" s="46">
        <f t="shared" ca="1" si="23"/>
        <v>5.4054054054054057E-2</v>
      </c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s="8" customFormat="1" ht="15" customHeight="1" x14ac:dyDescent="0.35">
      <c r="A28" s="2" t="s">
        <v>35</v>
      </c>
      <c r="B28" s="24">
        <f ca="1">ROUND(FIRE1121_raw!B28,0)</f>
        <v>34</v>
      </c>
      <c r="C28" s="24">
        <f ca="1">ROUND(FIRE1121_raw!C28,0)</f>
        <v>2</v>
      </c>
      <c r="D28" s="24">
        <f ca="1">ROUND(FIRE1121_raw!D28,0)</f>
        <v>0</v>
      </c>
      <c r="E28" s="24">
        <f ca="1">ROUND(FIRE1121_raw!E28,0)</f>
        <v>0</v>
      </c>
      <c r="F28" s="24">
        <f ca="1">ROUND(FIRE1121_raw!F28,0)</f>
        <v>0</v>
      </c>
      <c r="G28" s="24">
        <f ca="1">ROUND(FIRE1121_raw!G28,0)</f>
        <v>1</v>
      </c>
      <c r="H28" s="46">
        <f t="shared" ca="1" si="7"/>
        <v>5.5555555555555552E-2</v>
      </c>
      <c r="I28" s="46">
        <f t="shared" ca="1" si="8"/>
        <v>2.7027027027027029E-2</v>
      </c>
      <c r="J28" s="24"/>
      <c r="K28" s="24">
        <f ca="1">ROUND(FIRE1121_raw!K28,0)</f>
        <v>35</v>
      </c>
      <c r="L28" s="24">
        <f ca="1">ROUND(FIRE1121_raw!L28,0)</f>
        <v>0</v>
      </c>
      <c r="M28" s="24">
        <f ca="1">ROUND(FIRE1121_raw!M28,0)</f>
        <v>0</v>
      </c>
      <c r="N28" s="24">
        <f ca="1">ROUND(FIRE1121_raw!N28,0)</f>
        <v>0</v>
      </c>
      <c r="O28" s="24">
        <f ca="1">ROUND(FIRE1121_raw!O28,0)</f>
        <v>0</v>
      </c>
      <c r="P28" s="24">
        <f ca="1">ROUND(FIRE1121_raw!P28,0)</f>
        <v>0</v>
      </c>
      <c r="Q28" s="46">
        <f t="shared" ca="1" si="10"/>
        <v>0</v>
      </c>
      <c r="R28" s="46">
        <f t="shared" ca="1" si="11"/>
        <v>0</v>
      </c>
      <c r="S28" s="24"/>
      <c r="T28" s="22">
        <f t="shared" ca="1" si="12"/>
        <v>69</v>
      </c>
      <c r="U28" s="22">
        <f t="shared" ca="1" si="12"/>
        <v>2</v>
      </c>
      <c r="V28" s="22">
        <f t="shared" ca="1" si="12"/>
        <v>0</v>
      </c>
      <c r="W28" s="22">
        <f t="shared" ca="1" si="12"/>
        <v>0</v>
      </c>
      <c r="X28" s="22">
        <f t="shared" ca="1" si="12"/>
        <v>0</v>
      </c>
      <c r="Y28" s="22">
        <f t="shared" ca="1" si="12"/>
        <v>1</v>
      </c>
      <c r="Z28" s="46">
        <f t="shared" ca="1" si="13"/>
        <v>2.8169014084507043E-2</v>
      </c>
      <c r="AA28" s="46">
        <f t="shared" ca="1" si="14"/>
        <v>1.3888888888888888E-2</v>
      </c>
      <c r="AB28" s="24"/>
      <c r="AC28" s="24">
        <f ca="1">ROUND(FIRE1121_raw!AC28,0)</f>
        <v>0</v>
      </c>
      <c r="AD28" s="24">
        <f ca="1">ROUND(FIRE1121_raw!AD28,0)</f>
        <v>0</v>
      </c>
      <c r="AE28" s="24">
        <f ca="1">ROUND(FIRE1121_raw!AE28,0)</f>
        <v>0</v>
      </c>
      <c r="AF28" s="24">
        <f ca="1">ROUND(FIRE1121_raw!AF28,0)</f>
        <v>0</v>
      </c>
      <c r="AG28" s="24">
        <f ca="1">ROUND(FIRE1121_raw!AG28,0)</f>
        <v>0</v>
      </c>
      <c r="AH28" s="24">
        <f ca="1">ROUND(FIRE1121_raw!AH28,0)</f>
        <v>0</v>
      </c>
      <c r="AI28" s="46" t="str">
        <f t="shared" ca="1" si="16"/>
        <v>-</v>
      </c>
      <c r="AJ28" s="46" t="str">
        <f t="shared" ca="1" si="17"/>
        <v>-</v>
      </c>
      <c r="AK28" s="24"/>
      <c r="AL28" s="24">
        <f ca="1">ROUND(FIRE1121_raw!AL28,0)</f>
        <v>16</v>
      </c>
      <c r="AM28" s="24">
        <f ca="1">ROUND(FIRE1121_raw!AM28,0)</f>
        <v>2</v>
      </c>
      <c r="AN28" s="24">
        <f ca="1">ROUND(FIRE1121_raw!AN28,0)</f>
        <v>0</v>
      </c>
      <c r="AO28" s="24">
        <f ca="1">ROUND(FIRE1121_raw!AO28,0)</f>
        <v>1</v>
      </c>
      <c r="AP28" s="24">
        <f ca="1">ROUND(FIRE1121_raw!AP28,0)</f>
        <v>0</v>
      </c>
      <c r="AQ28" s="24">
        <f ca="1">ROUND(FIRE1121_raw!AQ28,0)</f>
        <v>0</v>
      </c>
      <c r="AR28" s="46">
        <f t="shared" ca="1" si="19"/>
        <v>0.15789473684210525</v>
      </c>
      <c r="AS28" s="46">
        <f t="shared" ca="1" si="20"/>
        <v>0</v>
      </c>
      <c r="AT28" s="24"/>
      <c r="AU28" s="22">
        <f t="shared" ca="1" si="21"/>
        <v>85</v>
      </c>
      <c r="AV28" s="22">
        <f t="shared" ca="1" si="21"/>
        <v>4</v>
      </c>
      <c r="AW28" s="22">
        <f t="shared" ca="1" si="21"/>
        <v>0</v>
      </c>
      <c r="AX28" s="22">
        <f t="shared" ca="1" si="21"/>
        <v>1</v>
      </c>
      <c r="AY28" s="22">
        <f t="shared" ca="1" si="21"/>
        <v>0</v>
      </c>
      <c r="AZ28" s="22">
        <f t="shared" ca="1" si="21"/>
        <v>1</v>
      </c>
      <c r="BA28" s="46">
        <f t="shared" ca="1" si="22"/>
        <v>5.5555555555555552E-2</v>
      </c>
      <c r="BB28" s="46">
        <f t="shared" ca="1" si="23"/>
        <v>1.098901098901099E-2</v>
      </c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s="8" customFormat="1" ht="15" customHeight="1" x14ac:dyDescent="0.35">
      <c r="A29" s="2" t="s">
        <v>36</v>
      </c>
      <c r="B29" s="24">
        <f ca="1">ROUND(FIRE1121_raw!B29,0)</f>
        <v>22</v>
      </c>
      <c r="C29" s="24">
        <f ca="1">ROUND(FIRE1121_raw!C29,0)</f>
        <v>0</v>
      </c>
      <c r="D29" s="24">
        <f ca="1">ROUND(FIRE1121_raw!D29,0)</f>
        <v>0</v>
      </c>
      <c r="E29" s="24">
        <f ca="1">ROUND(FIRE1121_raw!E29,0)</f>
        <v>0</v>
      </c>
      <c r="F29" s="24">
        <f ca="1">ROUND(FIRE1121_raw!F29,0)</f>
        <v>0</v>
      </c>
      <c r="G29" s="24">
        <f ca="1">ROUND(FIRE1121_raw!G29,0)</f>
        <v>0</v>
      </c>
      <c r="H29" s="46">
        <f t="shared" ca="1" si="7"/>
        <v>0</v>
      </c>
      <c r="I29" s="46">
        <f t="shared" ca="1" si="8"/>
        <v>0</v>
      </c>
      <c r="J29" s="24"/>
      <c r="K29" s="24">
        <f ca="1">ROUND(FIRE1121_raw!K29,0)</f>
        <v>46</v>
      </c>
      <c r="L29" s="24">
        <f ca="1">ROUND(FIRE1121_raw!L29,0)</f>
        <v>0</v>
      </c>
      <c r="M29" s="24">
        <f ca="1">ROUND(FIRE1121_raw!M29,0)</f>
        <v>0</v>
      </c>
      <c r="N29" s="24">
        <f ca="1">ROUND(FIRE1121_raw!N29,0)</f>
        <v>0</v>
      </c>
      <c r="O29" s="24">
        <f ca="1">ROUND(FIRE1121_raw!O29,0)</f>
        <v>0</v>
      </c>
      <c r="P29" s="24">
        <f ca="1">ROUND(FIRE1121_raw!P29,0)</f>
        <v>0</v>
      </c>
      <c r="Q29" s="46">
        <f t="shared" ca="1" si="10"/>
        <v>0</v>
      </c>
      <c r="R29" s="46">
        <f t="shared" ca="1" si="11"/>
        <v>0</v>
      </c>
      <c r="S29" s="24"/>
      <c r="T29" s="22">
        <f t="shared" ca="1" si="12"/>
        <v>68</v>
      </c>
      <c r="U29" s="22">
        <f t="shared" ca="1" si="12"/>
        <v>0</v>
      </c>
      <c r="V29" s="22">
        <f t="shared" ca="1" si="12"/>
        <v>0</v>
      </c>
      <c r="W29" s="22">
        <f t="shared" ca="1" si="12"/>
        <v>0</v>
      </c>
      <c r="X29" s="22">
        <f t="shared" ca="1" si="12"/>
        <v>0</v>
      </c>
      <c r="Y29" s="22">
        <f t="shared" ca="1" si="12"/>
        <v>0</v>
      </c>
      <c r="Z29" s="46">
        <f t="shared" ca="1" si="13"/>
        <v>0</v>
      </c>
      <c r="AA29" s="46">
        <f t="shared" ca="1" si="14"/>
        <v>0</v>
      </c>
      <c r="AB29" s="24"/>
      <c r="AC29" s="24">
        <f ca="1">ROUND(FIRE1121_raw!AC29,0)</f>
        <v>2</v>
      </c>
      <c r="AD29" s="24">
        <f ca="1">ROUND(FIRE1121_raw!AD29,0)</f>
        <v>0</v>
      </c>
      <c r="AE29" s="24">
        <f ca="1">ROUND(FIRE1121_raw!AE29,0)</f>
        <v>0</v>
      </c>
      <c r="AF29" s="24">
        <f ca="1">ROUND(FIRE1121_raw!AF29,0)</f>
        <v>0</v>
      </c>
      <c r="AG29" s="24">
        <f ca="1">ROUND(FIRE1121_raw!AG29,0)</f>
        <v>0</v>
      </c>
      <c r="AH29" s="24">
        <f ca="1">ROUND(FIRE1121_raw!AH29,0)</f>
        <v>0</v>
      </c>
      <c r="AI29" s="46">
        <f t="shared" ca="1" si="16"/>
        <v>0</v>
      </c>
      <c r="AJ29" s="46">
        <f t="shared" ca="1" si="17"/>
        <v>0</v>
      </c>
      <c r="AK29" s="24"/>
      <c r="AL29" s="24">
        <f ca="1">ROUND(FIRE1121_raw!AL29,0)</f>
        <v>27</v>
      </c>
      <c r="AM29" s="24">
        <f ca="1">ROUND(FIRE1121_raw!AM29,0)</f>
        <v>5</v>
      </c>
      <c r="AN29" s="24">
        <f ca="1">ROUND(FIRE1121_raw!AN29,0)</f>
        <v>2</v>
      </c>
      <c r="AO29" s="24">
        <f ca="1">ROUND(FIRE1121_raw!AO29,0)</f>
        <v>0</v>
      </c>
      <c r="AP29" s="24">
        <f ca="1">ROUND(FIRE1121_raw!AP29,0)</f>
        <v>0</v>
      </c>
      <c r="AQ29" s="24">
        <f ca="1">ROUND(FIRE1121_raw!AQ29,0)</f>
        <v>0</v>
      </c>
      <c r="AR29" s="46">
        <f t="shared" ca="1" si="19"/>
        <v>0.20588235294117646</v>
      </c>
      <c r="AS29" s="46">
        <f t="shared" ca="1" si="20"/>
        <v>0</v>
      </c>
      <c r="AT29" s="24"/>
      <c r="AU29" s="22">
        <f t="shared" ca="1" si="21"/>
        <v>97</v>
      </c>
      <c r="AV29" s="22">
        <f t="shared" ca="1" si="21"/>
        <v>5</v>
      </c>
      <c r="AW29" s="22">
        <f t="shared" ca="1" si="21"/>
        <v>2</v>
      </c>
      <c r="AX29" s="22">
        <f t="shared" ca="1" si="21"/>
        <v>0</v>
      </c>
      <c r="AY29" s="22">
        <f t="shared" ca="1" si="21"/>
        <v>0</v>
      </c>
      <c r="AZ29" s="22">
        <f t="shared" ca="1" si="21"/>
        <v>0</v>
      </c>
      <c r="BA29" s="46">
        <f t="shared" ca="1" si="22"/>
        <v>6.7307692307692304E-2</v>
      </c>
      <c r="BB29" s="46">
        <f t="shared" ca="1" si="23"/>
        <v>0</v>
      </c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s="8" customFormat="1" ht="15" customHeight="1" x14ac:dyDescent="0.35">
      <c r="A30" s="2" t="s">
        <v>37</v>
      </c>
      <c r="B30" s="24">
        <f ca="1">ROUND(FIRE1121_raw!B30,0)</f>
        <v>0</v>
      </c>
      <c r="C30" s="24">
        <f ca="1">ROUND(FIRE1121_raw!C30,0)</f>
        <v>0</v>
      </c>
      <c r="D30" s="24">
        <f ca="1">ROUND(FIRE1121_raw!D30,0)</f>
        <v>0</v>
      </c>
      <c r="E30" s="24">
        <f ca="1">ROUND(FIRE1121_raw!E30,0)</f>
        <v>0</v>
      </c>
      <c r="F30" s="24">
        <f ca="1">ROUND(FIRE1121_raw!F30,0)</f>
        <v>0</v>
      </c>
      <c r="G30" s="24">
        <f ca="1">ROUND(FIRE1121_raw!G30,0)</f>
        <v>0</v>
      </c>
      <c r="H30" s="46" t="str">
        <f t="shared" ca="1" si="7"/>
        <v>-</v>
      </c>
      <c r="I30" s="46" t="str">
        <f t="shared" ca="1" si="8"/>
        <v>-</v>
      </c>
      <c r="J30" s="24"/>
      <c r="K30" s="24">
        <f ca="1">ROUND(FIRE1121_raw!K30,0)</f>
        <v>0</v>
      </c>
      <c r="L30" s="24">
        <f ca="1">ROUND(FIRE1121_raw!L30,0)</f>
        <v>0</v>
      </c>
      <c r="M30" s="24">
        <f ca="1">ROUND(FIRE1121_raw!M30,0)</f>
        <v>0</v>
      </c>
      <c r="N30" s="24">
        <f ca="1">ROUND(FIRE1121_raw!N30,0)</f>
        <v>0</v>
      </c>
      <c r="O30" s="24">
        <f ca="1">ROUND(FIRE1121_raw!O30,0)</f>
        <v>0</v>
      </c>
      <c r="P30" s="24">
        <f ca="1">ROUND(FIRE1121_raw!P30,0)</f>
        <v>0</v>
      </c>
      <c r="Q30" s="46" t="str">
        <f t="shared" ca="1" si="10"/>
        <v>-</v>
      </c>
      <c r="R30" s="46" t="str">
        <f t="shared" ca="1" si="11"/>
        <v>-</v>
      </c>
      <c r="S30" s="24"/>
      <c r="T30" s="22">
        <f t="shared" ca="1" si="12"/>
        <v>0</v>
      </c>
      <c r="U30" s="22">
        <f t="shared" ca="1" si="12"/>
        <v>0</v>
      </c>
      <c r="V30" s="22">
        <f t="shared" ca="1" si="12"/>
        <v>0</v>
      </c>
      <c r="W30" s="22">
        <f t="shared" ca="1" si="12"/>
        <v>0</v>
      </c>
      <c r="X30" s="22">
        <f t="shared" ca="1" si="12"/>
        <v>0</v>
      </c>
      <c r="Y30" s="22">
        <f t="shared" ca="1" si="12"/>
        <v>0</v>
      </c>
      <c r="Z30" s="46" t="str">
        <f t="shared" ca="1" si="13"/>
        <v>-</v>
      </c>
      <c r="AA30" s="46" t="str">
        <f t="shared" ca="1" si="14"/>
        <v>-</v>
      </c>
      <c r="AB30" s="24"/>
      <c r="AC30" s="24">
        <f ca="1">ROUND(FIRE1121_raw!AC30,0)</f>
        <v>0</v>
      </c>
      <c r="AD30" s="24">
        <f ca="1">ROUND(FIRE1121_raw!AD30,0)</f>
        <v>0</v>
      </c>
      <c r="AE30" s="24">
        <f ca="1">ROUND(FIRE1121_raw!AE30,0)</f>
        <v>0</v>
      </c>
      <c r="AF30" s="24">
        <f ca="1">ROUND(FIRE1121_raw!AF30,0)</f>
        <v>0</v>
      </c>
      <c r="AG30" s="24">
        <f ca="1">ROUND(FIRE1121_raw!AG30,0)</f>
        <v>0</v>
      </c>
      <c r="AH30" s="24">
        <f ca="1">ROUND(FIRE1121_raw!AH30,0)</f>
        <v>0</v>
      </c>
      <c r="AI30" s="46" t="str">
        <f t="shared" ca="1" si="16"/>
        <v>-</v>
      </c>
      <c r="AJ30" s="46" t="str">
        <f t="shared" ca="1" si="17"/>
        <v>-</v>
      </c>
      <c r="AK30" s="24"/>
      <c r="AL30" s="24">
        <f ca="1">ROUND(FIRE1121_raw!AL30,0)</f>
        <v>2</v>
      </c>
      <c r="AM30" s="24">
        <f ca="1">ROUND(FIRE1121_raw!AM30,0)</f>
        <v>0</v>
      </c>
      <c r="AN30" s="24">
        <f ca="1">ROUND(FIRE1121_raw!AN30,0)</f>
        <v>0</v>
      </c>
      <c r="AO30" s="24">
        <f ca="1">ROUND(FIRE1121_raw!AO30,0)</f>
        <v>0</v>
      </c>
      <c r="AP30" s="24">
        <f ca="1">ROUND(FIRE1121_raw!AP30,0)</f>
        <v>0</v>
      </c>
      <c r="AQ30" s="24">
        <f ca="1">ROUND(FIRE1121_raw!AQ30,0)</f>
        <v>0</v>
      </c>
      <c r="AR30" s="46">
        <f t="shared" ca="1" si="19"/>
        <v>0</v>
      </c>
      <c r="AS30" s="46">
        <f t="shared" ca="1" si="20"/>
        <v>0</v>
      </c>
      <c r="AT30" s="24"/>
      <c r="AU30" s="22">
        <f t="shared" ca="1" si="21"/>
        <v>2</v>
      </c>
      <c r="AV30" s="22">
        <f t="shared" ca="1" si="21"/>
        <v>0</v>
      </c>
      <c r="AW30" s="22">
        <f t="shared" ca="1" si="21"/>
        <v>0</v>
      </c>
      <c r="AX30" s="22">
        <f t="shared" ca="1" si="21"/>
        <v>0</v>
      </c>
      <c r="AY30" s="22">
        <f t="shared" ca="1" si="21"/>
        <v>0</v>
      </c>
      <c r="AZ30" s="22">
        <f t="shared" ca="1" si="21"/>
        <v>0</v>
      </c>
      <c r="BA30" s="46">
        <f t="shared" ca="1" si="22"/>
        <v>0</v>
      </c>
      <c r="BB30" s="46">
        <f t="shared" ca="1" si="23"/>
        <v>0</v>
      </c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s="8" customFormat="1" ht="15" customHeight="1" x14ac:dyDescent="0.35">
      <c r="A31" s="3" t="s">
        <v>38</v>
      </c>
      <c r="B31" s="24">
        <f ca="1">ROUND(FIRE1121_raw!B31,0)</f>
        <v>4</v>
      </c>
      <c r="C31" s="24">
        <f ca="1">ROUND(FIRE1121_raw!C31,0)</f>
        <v>0</v>
      </c>
      <c r="D31" s="24">
        <f ca="1">ROUND(FIRE1121_raw!D31,0)</f>
        <v>0</v>
      </c>
      <c r="E31" s="24">
        <f ca="1">ROUND(FIRE1121_raw!E31,0)</f>
        <v>0</v>
      </c>
      <c r="F31" s="24">
        <f ca="1">ROUND(FIRE1121_raw!F31,0)</f>
        <v>0</v>
      </c>
      <c r="G31" s="24">
        <f ca="1">ROUND(FIRE1121_raw!G31,0)</f>
        <v>25</v>
      </c>
      <c r="H31" s="46">
        <f t="shared" ca="1" si="7"/>
        <v>0</v>
      </c>
      <c r="I31" s="46">
        <f t="shared" ca="1" si="8"/>
        <v>0.86206896551724133</v>
      </c>
      <c r="J31" s="24"/>
      <c r="K31" s="24">
        <f ca="1">ROUND(FIRE1121_raw!K31,0)</f>
        <v>8</v>
      </c>
      <c r="L31" s="24">
        <f ca="1">ROUND(FIRE1121_raw!L31,0)</f>
        <v>0</v>
      </c>
      <c r="M31" s="24">
        <f ca="1">ROUND(FIRE1121_raw!M31,0)</f>
        <v>0</v>
      </c>
      <c r="N31" s="24">
        <f ca="1">ROUND(FIRE1121_raw!N31,0)</f>
        <v>0</v>
      </c>
      <c r="O31" s="24">
        <f ca="1">ROUND(FIRE1121_raw!O31,0)</f>
        <v>0</v>
      </c>
      <c r="P31" s="24">
        <f ca="1">ROUND(FIRE1121_raw!P31,0)</f>
        <v>48</v>
      </c>
      <c r="Q31" s="46">
        <f t="shared" ca="1" si="10"/>
        <v>0</v>
      </c>
      <c r="R31" s="46">
        <f t="shared" ca="1" si="11"/>
        <v>0.8571428571428571</v>
      </c>
      <c r="S31" s="24"/>
      <c r="T31" s="22">
        <f t="shared" ca="1" si="12"/>
        <v>12</v>
      </c>
      <c r="U31" s="22">
        <f t="shared" ca="1" si="12"/>
        <v>0</v>
      </c>
      <c r="V31" s="22">
        <f t="shared" ca="1" si="12"/>
        <v>0</v>
      </c>
      <c r="W31" s="22">
        <f t="shared" ca="1" si="12"/>
        <v>0</v>
      </c>
      <c r="X31" s="22">
        <f t="shared" ca="1" si="12"/>
        <v>0</v>
      </c>
      <c r="Y31" s="22">
        <f t="shared" ca="1" si="12"/>
        <v>73</v>
      </c>
      <c r="Z31" s="46">
        <f t="shared" ca="1" si="13"/>
        <v>0</v>
      </c>
      <c r="AA31" s="46">
        <f t="shared" ca="1" si="14"/>
        <v>0.85882352941176465</v>
      </c>
      <c r="AB31" s="24"/>
      <c r="AC31" s="24">
        <f ca="1">ROUND(FIRE1121_raw!AC31,0)</f>
        <v>1</v>
      </c>
      <c r="AD31" s="24">
        <f ca="1">ROUND(FIRE1121_raw!AD31,0)</f>
        <v>0</v>
      </c>
      <c r="AE31" s="24">
        <f ca="1">ROUND(FIRE1121_raw!AE31,0)</f>
        <v>0</v>
      </c>
      <c r="AF31" s="24">
        <f ca="1">ROUND(FIRE1121_raw!AF31,0)</f>
        <v>0</v>
      </c>
      <c r="AG31" s="24">
        <f ca="1">ROUND(FIRE1121_raw!AG31,0)</f>
        <v>0</v>
      </c>
      <c r="AH31" s="24">
        <f ca="1">ROUND(FIRE1121_raw!AH31,0)</f>
        <v>7</v>
      </c>
      <c r="AI31" s="46">
        <f t="shared" ca="1" si="16"/>
        <v>0</v>
      </c>
      <c r="AJ31" s="46">
        <f t="shared" ca="1" si="17"/>
        <v>0.875</v>
      </c>
      <c r="AK31" s="24"/>
      <c r="AL31" s="24">
        <f ca="1">ROUND(FIRE1121_raw!AL31,0)</f>
        <v>13</v>
      </c>
      <c r="AM31" s="24">
        <f ca="1">ROUND(FIRE1121_raw!AM31,0)</f>
        <v>1</v>
      </c>
      <c r="AN31" s="24">
        <f ca="1">ROUND(FIRE1121_raw!AN31,0)</f>
        <v>1</v>
      </c>
      <c r="AO31" s="24">
        <f ca="1">ROUND(FIRE1121_raw!AO31,0)</f>
        <v>0</v>
      </c>
      <c r="AP31" s="24">
        <f ca="1">ROUND(FIRE1121_raw!AP31,0)</f>
        <v>0</v>
      </c>
      <c r="AQ31" s="24">
        <f ca="1">ROUND(FIRE1121_raw!AQ31,0)</f>
        <v>37</v>
      </c>
      <c r="AR31" s="46">
        <f t="shared" ca="1" si="19"/>
        <v>0.13333333333333333</v>
      </c>
      <c r="AS31" s="46">
        <f t="shared" ca="1" si="20"/>
        <v>0.71153846153846156</v>
      </c>
      <c r="AT31" s="24"/>
      <c r="AU31" s="22">
        <f t="shared" ca="1" si="21"/>
        <v>26</v>
      </c>
      <c r="AV31" s="22">
        <f t="shared" ca="1" si="21"/>
        <v>1</v>
      </c>
      <c r="AW31" s="22">
        <f t="shared" ca="1" si="21"/>
        <v>1</v>
      </c>
      <c r="AX31" s="22">
        <f t="shared" ca="1" si="21"/>
        <v>0</v>
      </c>
      <c r="AY31" s="22">
        <f t="shared" ca="1" si="21"/>
        <v>0</v>
      </c>
      <c r="AZ31" s="22">
        <f t="shared" ca="1" si="21"/>
        <v>117</v>
      </c>
      <c r="BA31" s="46">
        <f t="shared" ca="1" si="22"/>
        <v>7.1428571428571425E-2</v>
      </c>
      <c r="BB31" s="46">
        <f t="shared" ca="1" si="23"/>
        <v>0.80689655172413788</v>
      </c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s="8" customFormat="1" ht="15" customHeight="1" x14ac:dyDescent="0.35">
      <c r="A32" s="3" t="s">
        <v>39</v>
      </c>
      <c r="B32" s="24">
        <f ca="1">ROUND(FIRE1121_raw!B32,0)</f>
        <v>52</v>
      </c>
      <c r="C32" s="24">
        <f ca="1">ROUND(FIRE1121_raw!C32,0)</f>
        <v>2</v>
      </c>
      <c r="D32" s="24">
        <f ca="1">ROUND(FIRE1121_raw!D32,0)</f>
        <v>2</v>
      </c>
      <c r="E32" s="24">
        <f ca="1">ROUND(FIRE1121_raw!E32,0)</f>
        <v>0</v>
      </c>
      <c r="F32" s="24">
        <f ca="1">ROUND(FIRE1121_raw!F32,0)</f>
        <v>0</v>
      </c>
      <c r="G32" s="24">
        <f ca="1">ROUND(FIRE1121_raw!G32,0)</f>
        <v>0</v>
      </c>
      <c r="H32" s="46">
        <f t="shared" ca="1" si="7"/>
        <v>7.1428571428571425E-2</v>
      </c>
      <c r="I32" s="46">
        <f t="shared" ca="1" si="8"/>
        <v>0</v>
      </c>
      <c r="J32" s="24"/>
      <c r="K32" s="24">
        <f ca="1">ROUND(FIRE1121_raw!K32,0)</f>
        <v>47</v>
      </c>
      <c r="L32" s="24">
        <f ca="1">ROUND(FIRE1121_raw!L32,0)</f>
        <v>1</v>
      </c>
      <c r="M32" s="24">
        <f ca="1">ROUND(FIRE1121_raw!M32,0)</f>
        <v>0</v>
      </c>
      <c r="N32" s="24">
        <f ca="1">ROUND(FIRE1121_raw!N32,0)</f>
        <v>0</v>
      </c>
      <c r="O32" s="24">
        <f ca="1">ROUND(FIRE1121_raw!O32,0)</f>
        <v>0</v>
      </c>
      <c r="P32" s="24">
        <f ca="1">ROUND(FIRE1121_raw!P32,0)</f>
        <v>9</v>
      </c>
      <c r="Q32" s="46">
        <f t="shared" ca="1" si="10"/>
        <v>2.0833333333333332E-2</v>
      </c>
      <c r="R32" s="46">
        <f t="shared" ca="1" si="11"/>
        <v>0.15789473684210525</v>
      </c>
      <c r="S32" s="24"/>
      <c r="T32" s="22">
        <f t="shared" ca="1" si="12"/>
        <v>99</v>
      </c>
      <c r="U32" s="22">
        <f t="shared" ca="1" si="12"/>
        <v>3</v>
      </c>
      <c r="V32" s="22">
        <f t="shared" ca="1" si="12"/>
        <v>2</v>
      </c>
      <c r="W32" s="22">
        <f t="shared" ca="1" si="12"/>
        <v>0</v>
      </c>
      <c r="X32" s="22">
        <f t="shared" ca="1" si="12"/>
        <v>0</v>
      </c>
      <c r="Y32" s="22">
        <f t="shared" ca="1" si="12"/>
        <v>9</v>
      </c>
      <c r="Z32" s="46">
        <f t="shared" ca="1" si="13"/>
        <v>4.807692307692308E-2</v>
      </c>
      <c r="AA32" s="46">
        <f t="shared" ca="1" si="14"/>
        <v>7.9646017699115043E-2</v>
      </c>
      <c r="AB32" s="24"/>
      <c r="AC32" s="24">
        <f ca="1">ROUND(FIRE1121_raw!AC32,0)</f>
        <v>0</v>
      </c>
      <c r="AD32" s="24">
        <f ca="1">ROUND(FIRE1121_raw!AD32,0)</f>
        <v>0</v>
      </c>
      <c r="AE32" s="24">
        <f ca="1">ROUND(FIRE1121_raw!AE32,0)</f>
        <v>0</v>
      </c>
      <c r="AF32" s="24">
        <f ca="1">ROUND(FIRE1121_raw!AF32,0)</f>
        <v>0</v>
      </c>
      <c r="AG32" s="24">
        <f ca="1">ROUND(FIRE1121_raw!AG32,0)</f>
        <v>0</v>
      </c>
      <c r="AH32" s="24">
        <f ca="1">ROUND(FIRE1121_raw!AH32,0)</f>
        <v>0</v>
      </c>
      <c r="AI32" s="46" t="str">
        <f t="shared" ca="1" si="16"/>
        <v>-</v>
      </c>
      <c r="AJ32" s="46" t="str">
        <f t="shared" ca="1" si="17"/>
        <v>-</v>
      </c>
      <c r="AK32" s="24"/>
      <c r="AL32" s="24">
        <f ca="1">ROUND(FIRE1121_raw!AL32,0)</f>
        <v>39</v>
      </c>
      <c r="AM32" s="24">
        <f ca="1">ROUND(FIRE1121_raw!AM32,0)</f>
        <v>1</v>
      </c>
      <c r="AN32" s="24">
        <f ca="1">ROUND(FIRE1121_raw!AN32,0)</f>
        <v>2</v>
      </c>
      <c r="AO32" s="24">
        <f ca="1">ROUND(FIRE1121_raw!AO32,0)</f>
        <v>1</v>
      </c>
      <c r="AP32" s="24">
        <f ca="1">ROUND(FIRE1121_raw!AP32,0)</f>
        <v>0</v>
      </c>
      <c r="AQ32" s="24">
        <f ca="1">ROUND(FIRE1121_raw!AQ32,0)</f>
        <v>2</v>
      </c>
      <c r="AR32" s="46">
        <f t="shared" ca="1" si="19"/>
        <v>9.3023255813953487E-2</v>
      </c>
      <c r="AS32" s="46">
        <f t="shared" ca="1" si="20"/>
        <v>4.4444444444444446E-2</v>
      </c>
      <c r="AT32" s="24"/>
      <c r="AU32" s="22">
        <f t="shared" ca="1" si="21"/>
        <v>138</v>
      </c>
      <c r="AV32" s="22">
        <f t="shared" ca="1" si="21"/>
        <v>4</v>
      </c>
      <c r="AW32" s="22">
        <f t="shared" ca="1" si="21"/>
        <v>4</v>
      </c>
      <c r="AX32" s="22">
        <f t="shared" ca="1" si="21"/>
        <v>1</v>
      </c>
      <c r="AY32" s="22">
        <f t="shared" ca="1" si="21"/>
        <v>0</v>
      </c>
      <c r="AZ32" s="22">
        <f t="shared" ca="1" si="21"/>
        <v>11</v>
      </c>
      <c r="BA32" s="46">
        <f t="shared" ca="1" si="22"/>
        <v>6.1224489795918366E-2</v>
      </c>
      <c r="BB32" s="46">
        <f t="shared" ca="1" si="23"/>
        <v>6.9620253164556958E-2</v>
      </c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s="8" customFormat="1" ht="15" customHeight="1" x14ac:dyDescent="0.35">
      <c r="A33" s="2" t="s">
        <v>40</v>
      </c>
      <c r="B33" s="24">
        <f ca="1">ROUND(FIRE1121_raw!B33,0)</f>
        <v>12</v>
      </c>
      <c r="C33" s="24">
        <f ca="1">ROUND(FIRE1121_raw!C33,0)</f>
        <v>4</v>
      </c>
      <c r="D33" s="24">
        <f ca="1">ROUND(FIRE1121_raw!D33,0)</f>
        <v>1</v>
      </c>
      <c r="E33" s="24">
        <f ca="1">ROUND(FIRE1121_raw!E33,0)</f>
        <v>0</v>
      </c>
      <c r="F33" s="24">
        <f ca="1">ROUND(FIRE1121_raw!F33,0)</f>
        <v>0</v>
      </c>
      <c r="G33" s="24">
        <f ca="1">ROUND(FIRE1121_raw!G33,0)</f>
        <v>8</v>
      </c>
      <c r="H33" s="46">
        <f t="shared" ca="1" si="7"/>
        <v>0.29411764705882354</v>
      </c>
      <c r="I33" s="46">
        <f t="shared" ca="1" si="8"/>
        <v>0.32</v>
      </c>
      <c r="J33" s="24"/>
      <c r="K33" s="24">
        <f ca="1">ROUND(FIRE1121_raw!K33,0)</f>
        <v>18</v>
      </c>
      <c r="L33" s="24">
        <f ca="1">ROUND(FIRE1121_raw!L33,0)</f>
        <v>0</v>
      </c>
      <c r="M33" s="24">
        <f ca="1">ROUND(FIRE1121_raw!M33,0)</f>
        <v>0</v>
      </c>
      <c r="N33" s="24">
        <f ca="1">ROUND(FIRE1121_raw!N33,0)</f>
        <v>0</v>
      </c>
      <c r="O33" s="24">
        <f ca="1">ROUND(FIRE1121_raw!O33,0)</f>
        <v>0</v>
      </c>
      <c r="P33" s="24">
        <f ca="1">ROUND(FIRE1121_raw!P33,0)</f>
        <v>9</v>
      </c>
      <c r="Q33" s="46">
        <f t="shared" ca="1" si="10"/>
        <v>0</v>
      </c>
      <c r="R33" s="46">
        <f t="shared" ca="1" si="11"/>
        <v>0.33333333333333331</v>
      </c>
      <c r="S33" s="24"/>
      <c r="T33" s="22">
        <f t="shared" ca="1" si="12"/>
        <v>30</v>
      </c>
      <c r="U33" s="22">
        <f t="shared" ca="1" si="12"/>
        <v>4</v>
      </c>
      <c r="V33" s="22">
        <f t="shared" ca="1" si="12"/>
        <v>1</v>
      </c>
      <c r="W33" s="22">
        <f t="shared" ca="1" si="12"/>
        <v>0</v>
      </c>
      <c r="X33" s="22">
        <f t="shared" ca="1" si="12"/>
        <v>0</v>
      </c>
      <c r="Y33" s="22">
        <f t="shared" ca="1" si="12"/>
        <v>17</v>
      </c>
      <c r="Z33" s="46">
        <f t="shared" ca="1" si="13"/>
        <v>0.14285714285714285</v>
      </c>
      <c r="AA33" s="46">
        <f t="shared" ca="1" si="14"/>
        <v>0.32692307692307693</v>
      </c>
      <c r="AB33" s="24"/>
      <c r="AC33" s="24">
        <f ca="1">ROUND(FIRE1121_raw!AC33,0)</f>
        <v>2</v>
      </c>
      <c r="AD33" s="24">
        <f ca="1">ROUND(FIRE1121_raw!AD33,0)</f>
        <v>0</v>
      </c>
      <c r="AE33" s="24">
        <f ca="1">ROUND(FIRE1121_raw!AE33,0)</f>
        <v>0</v>
      </c>
      <c r="AF33" s="24">
        <f ca="1">ROUND(FIRE1121_raw!AF33,0)</f>
        <v>0</v>
      </c>
      <c r="AG33" s="24">
        <f ca="1">ROUND(FIRE1121_raw!AG33,0)</f>
        <v>0</v>
      </c>
      <c r="AH33" s="24">
        <f ca="1">ROUND(FIRE1121_raw!AH33,0)</f>
        <v>0</v>
      </c>
      <c r="AI33" s="46">
        <f t="shared" ca="1" si="16"/>
        <v>0</v>
      </c>
      <c r="AJ33" s="46">
        <f t="shared" ca="1" si="17"/>
        <v>0</v>
      </c>
      <c r="AK33" s="24"/>
      <c r="AL33" s="24">
        <f ca="1">ROUND(FIRE1121_raw!AL33,0)</f>
        <v>6</v>
      </c>
      <c r="AM33" s="24">
        <f ca="1">ROUND(FIRE1121_raw!AM33,0)</f>
        <v>1</v>
      </c>
      <c r="AN33" s="24">
        <f ca="1">ROUND(FIRE1121_raw!AN33,0)</f>
        <v>1</v>
      </c>
      <c r="AO33" s="24">
        <f ca="1">ROUND(FIRE1121_raw!AO33,0)</f>
        <v>0</v>
      </c>
      <c r="AP33" s="24">
        <f ca="1">ROUND(FIRE1121_raw!AP33,0)</f>
        <v>0</v>
      </c>
      <c r="AQ33" s="24">
        <f ca="1">ROUND(FIRE1121_raw!AQ33,0)</f>
        <v>4</v>
      </c>
      <c r="AR33" s="46">
        <f t="shared" ca="1" si="19"/>
        <v>0.25</v>
      </c>
      <c r="AS33" s="46">
        <f t="shared" ca="1" si="20"/>
        <v>0.33333333333333331</v>
      </c>
      <c r="AT33" s="24"/>
      <c r="AU33" s="22">
        <f t="shared" ca="1" si="21"/>
        <v>38</v>
      </c>
      <c r="AV33" s="22">
        <f t="shared" ca="1" si="21"/>
        <v>5</v>
      </c>
      <c r="AW33" s="22">
        <f t="shared" ca="1" si="21"/>
        <v>2</v>
      </c>
      <c r="AX33" s="22">
        <f t="shared" ca="1" si="21"/>
        <v>0</v>
      </c>
      <c r="AY33" s="22">
        <f t="shared" ca="1" si="21"/>
        <v>0</v>
      </c>
      <c r="AZ33" s="22">
        <f t="shared" ca="1" si="21"/>
        <v>21</v>
      </c>
      <c r="BA33" s="46">
        <f t="shared" ca="1" si="22"/>
        <v>0.15555555555555556</v>
      </c>
      <c r="BB33" s="46">
        <f t="shared" ca="1" si="23"/>
        <v>0.31818181818181818</v>
      </c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 s="8" customFormat="1" ht="15" customHeight="1" x14ac:dyDescent="0.35">
      <c r="A34" s="3" t="s">
        <v>41</v>
      </c>
      <c r="B34" s="24">
        <f ca="1">ROUND(FIRE1121_raw!B34,0)</f>
        <v>10</v>
      </c>
      <c r="C34" s="24">
        <f ca="1">ROUND(FIRE1121_raw!C34,0)</f>
        <v>0</v>
      </c>
      <c r="D34" s="24">
        <f ca="1">ROUND(FIRE1121_raw!D34,0)</f>
        <v>0</v>
      </c>
      <c r="E34" s="24">
        <f ca="1">ROUND(FIRE1121_raw!E34,0)</f>
        <v>0</v>
      </c>
      <c r="F34" s="24">
        <f ca="1">ROUND(FIRE1121_raw!F34,0)</f>
        <v>0</v>
      </c>
      <c r="G34" s="24">
        <f ca="1">ROUND(FIRE1121_raw!G34,0)</f>
        <v>0</v>
      </c>
      <c r="H34" s="46">
        <f t="shared" ca="1" si="7"/>
        <v>0</v>
      </c>
      <c r="I34" s="46">
        <f t="shared" ca="1" si="8"/>
        <v>0</v>
      </c>
      <c r="J34" s="24"/>
      <c r="K34" s="24">
        <f ca="1">ROUND(FIRE1121_raw!K34,0)</f>
        <v>44</v>
      </c>
      <c r="L34" s="24">
        <f ca="1">ROUND(FIRE1121_raw!L34,0)</f>
        <v>1</v>
      </c>
      <c r="M34" s="24">
        <f ca="1">ROUND(FIRE1121_raw!M34,0)</f>
        <v>0</v>
      </c>
      <c r="N34" s="24">
        <f ca="1">ROUND(FIRE1121_raw!N34,0)</f>
        <v>0</v>
      </c>
      <c r="O34" s="24">
        <f ca="1">ROUND(FIRE1121_raw!O34,0)</f>
        <v>0</v>
      </c>
      <c r="P34" s="24">
        <f ca="1">ROUND(FIRE1121_raw!P34,0)</f>
        <v>0</v>
      </c>
      <c r="Q34" s="46">
        <f t="shared" ca="1" si="10"/>
        <v>2.2222222222222223E-2</v>
      </c>
      <c r="R34" s="46">
        <f t="shared" ca="1" si="11"/>
        <v>0</v>
      </c>
      <c r="S34" s="24"/>
      <c r="T34" s="22">
        <f t="shared" ca="1" si="12"/>
        <v>54</v>
      </c>
      <c r="U34" s="22">
        <f t="shared" ca="1" si="12"/>
        <v>1</v>
      </c>
      <c r="V34" s="22">
        <f t="shared" ca="1" si="12"/>
        <v>0</v>
      </c>
      <c r="W34" s="22">
        <f t="shared" ca="1" si="12"/>
        <v>0</v>
      </c>
      <c r="X34" s="22">
        <f t="shared" ca="1" si="12"/>
        <v>0</v>
      </c>
      <c r="Y34" s="22">
        <f t="shared" ca="1" si="12"/>
        <v>0</v>
      </c>
      <c r="Z34" s="46">
        <f t="shared" ca="1" si="13"/>
        <v>1.8181818181818181E-2</v>
      </c>
      <c r="AA34" s="46">
        <f t="shared" ca="1" si="14"/>
        <v>0</v>
      </c>
      <c r="AB34" s="24"/>
      <c r="AC34" s="24">
        <f ca="1">ROUND(FIRE1121_raw!AC34,0)</f>
        <v>2</v>
      </c>
      <c r="AD34" s="24">
        <f ca="1">ROUND(FIRE1121_raw!AD34,0)</f>
        <v>0</v>
      </c>
      <c r="AE34" s="24">
        <f ca="1">ROUND(FIRE1121_raw!AE34,0)</f>
        <v>0</v>
      </c>
      <c r="AF34" s="24">
        <f ca="1">ROUND(FIRE1121_raw!AF34,0)</f>
        <v>0</v>
      </c>
      <c r="AG34" s="24">
        <f ca="1">ROUND(FIRE1121_raw!AG34,0)</f>
        <v>0</v>
      </c>
      <c r="AH34" s="24">
        <f ca="1">ROUND(FIRE1121_raw!AH34,0)</f>
        <v>0</v>
      </c>
      <c r="AI34" s="46">
        <f t="shared" ca="1" si="16"/>
        <v>0</v>
      </c>
      <c r="AJ34" s="46">
        <f t="shared" ca="1" si="17"/>
        <v>0</v>
      </c>
      <c r="AK34" s="24"/>
      <c r="AL34" s="24">
        <f ca="1">ROUND(FIRE1121_raw!AL34,0)</f>
        <v>3</v>
      </c>
      <c r="AM34" s="24">
        <f ca="1">ROUND(FIRE1121_raw!AM34,0)</f>
        <v>0</v>
      </c>
      <c r="AN34" s="24">
        <f ca="1">ROUND(FIRE1121_raw!AN34,0)</f>
        <v>0</v>
      </c>
      <c r="AO34" s="24">
        <f ca="1">ROUND(FIRE1121_raw!AO34,0)</f>
        <v>0</v>
      </c>
      <c r="AP34" s="24">
        <f ca="1">ROUND(FIRE1121_raw!AP34,0)</f>
        <v>0</v>
      </c>
      <c r="AQ34" s="24">
        <f ca="1">ROUND(FIRE1121_raw!AQ34,0)</f>
        <v>0</v>
      </c>
      <c r="AR34" s="46">
        <f t="shared" ca="1" si="19"/>
        <v>0</v>
      </c>
      <c r="AS34" s="46">
        <f t="shared" ca="1" si="20"/>
        <v>0</v>
      </c>
      <c r="AT34" s="24"/>
      <c r="AU34" s="22">
        <f t="shared" ca="1" si="21"/>
        <v>59</v>
      </c>
      <c r="AV34" s="22">
        <f t="shared" ca="1" si="21"/>
        <v>1</v>
      </c>
      <c r="AW34" s="22">
        <f t="shared" ca="1" si="21"/>
        <v>0</v>
      </c>
      <c r="AX34" s="22">
        <f t="shared" ca="1" si="21"/>
        <v>0</v>
      </c>
      <c r="AY34" s="22">
        <f t="shared" ca="1" si="21"/>
        <v>0</v>
      </c>
      <c r="AZ34" s="22">
        <f t="shared" ca="1" si="21"/>
        <v>0</v>
      </c>
      <c r="BA34" s="46">
        <f t="shared" ca="1" si="22"/>
        <v>1.6666666666666666E-2</v>
      </c>
      <c r="BB34" s="46">
        <f t="shared" ca="1" si="23"/>
        <v>0</v>
      </c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 s="8" customFormat="1" ht="15" customHeight="1" x14ac:dyDescent="0.35">
      <c r="A35" s="3" t="s">
        <v>42</v>
      </c>
      <c r="B35" s="24">
        <f ca="1">ROUND(FIRE1121_raw!B35,0)</f>
        <v>16</v>
      </c>
      <c r="C35" s="24">
        <f ca="1">ROUND(FIRE1121_raw!C35,0)</f>
        <v>0</v>
      </c>
      <c r="D35" s="24">
        <f ca="1">ROUND(FIRE1121_raw!D35,0)</f>
        <v>0</v>
      </c>
      <c r="E35" s="24">
        <f ca="1">ROUND(FIRE1121_raw!E35,0)</f>
        <v>0</v>
      </c>
      <c r="F35" s="24">
        <f ca="1">ROUND(FIRE1121_raw!F35,0)</f>
        <v>0</v>
      </c>
      <c r="G35" s="24">
        <f ca="1">ROUND(FIRE1121_raw!G35,0)</f>
        <v>3</v>
      </c>
      <c r="H35" s="46">
        <f t="shared" ca="1" si="7"/>
        <v>0</v>
      </c>
      <c r="I35" s="46">
        <f t="shared" ca="1" si="8"/>
        <v>0.15789473684210525</v>
      </c>
      <c r="J35" s="24"/>
      <c r="K35" s="24">
        <f ca="1">ROUND(FIRE1121_raw!K35,0)</f>
        <v>44</v>
      </c>
      <c r="L35" s="24">
        <f ca="1">ROUND(FIRE1121_raw!L35,0)</f>
        <v>0</v>
      </c>
      <c r="M35" s="24">
        <f ca="1">ROUND(FIRE1121_raw!M35,0)</f>
        <v>0</v>
      </c>
      <c r="N35" s="24">
        <f ca="1">ROUND(FIRE1121_raw!N35,0)</f>
        <v>0</v>
      </c>
      <c r="O35" s="24">
        <f ca="1">ROUND(FIRE1121_raw!O35,0)</f>
        <v>0</v>
      </c>
      <c r="P35" s="24">
        <f ca="1">ROUND(FIRE1121_raw!P35,0)</f>
        <v>12</v>
      </c>
      <c r="Q35" s="46">
        <f t="shared" ca="1" si="10"/>
        <v>0</v>
      </c>
      <c r="R35" s="46">
        <f t="shared" ca="1" si="11"/>
        <v>0.21428571428571427</v>
      </c>
      <c r="S35" s="24"/>
      <c r="T35" s="22">
        <f t="shared" ca="1" si="12"/>
        <v>60</v>
      </c>
      <c r="U35" s="22">
        <f t="shared" ca="1" si="12"/>
        <v>0</v>
      </c>
      <c r="V35" s="22">
        <f t="shared" ca="1" si="12"/>
        <v>0</v>
      </c>
      <c r="W35" s="22">
        <f t="shared" ca="1" si="12"/>
        <v>0</v>
      </c>
      <c r="X35" s="22">
        <f t="shared" ca="1" si="12"/>
        <v>0</v>
      </c>
      <c r="Y35" s="22">
        <f t="shared" ca="1" si="12"/>
        <v>15</v>
      </c>
      <c r="Z35" s="46">
        <f t="shared" ca="1" si="13"/>
        <v>0</v>
      </c>
      <c r="AA35" s="46">
        <f t="shared" ca="1" si="14"/>
        <v>0.2</v>
      </c>
      <c r="AB35" s="24"/>
      <c r="AC35" s="24">
        <f ca="1">ROUND(FIRE1121_raw!AC35,0)</f>
        <v>4</v>
      </c>
      <c r="AD35" s="24">
        <f ca="1">ROUND(FIRE1121_raw!AD35,0)</f>
        <v>0</v>
      </c>
      <c r="AE35" s="24">
        <f ca="1">ROUND(FIRE1121_raw!AE35,0)</f>
        <v>0</v>
      </c>
      <c r="AF35" s="24">
        <f ca="1">ROUND(FIRE1121_raw!AF35,0)</f>
        <v>0</v>
      </c>
      <c r="AG35" s="24">
        <f ca="1">ROUND(FIRE1121_raw!AG35,0)</f>
        <v>0</v>
      </c>
      <c r="AH35" s="24">
        <f ca="1">ROUND(FIRE1121_raw!AH35,0)</f>
        <v>0</v>
      </c>
      <c r="AI35" s="46">
        <f t="shared" ca="1" si="16"/>
        <v>0</v>
      </c>
      <c r="AJ35" s="46">
        <f t="shared" ca="1" si="17"/>
        <v>0</v>
      </c>
      <c r="AK35" s="24"/>
      <c r="AL35" s="24">
        <f ca="1">ROUND(FIRE1121_raw!AL35,0)</f>
        <v>13</v>
      </c>
      <c r="AM35" s="24">
        <f ca="1">ROUND(FIRE1121_raw!AM35,0)</f>
        <v>0</v>
      </c>
      <c r="AN35" s="24">
        <f ca="1">ROUND(FIRE1121_raw!AN35,0)</f>
        <v>0</v>
      </c>
      <c r="AO35" s="24">
        <f ca="1">ROUND(FIRE1121_raw!AO35,0)</f>
        <v>0</v>
      </c>
      <c r="AP35" s="24">
        <f ca="1">ROUND(FIRE1121_raw!AP35,0)</f>
        <v>0</v>
      </c>
      <c r="AQ35" s="24">
        <f ca="1">ROUND(FIRE1121_raw!AQ35,0)</f>
        <v>3</v>
      </c>
      <c r="AR35" s="46">
        <f t="shared" ca="1" si="19"/>
        <v>0</v>
      </c>
      <c r="AS35" s="46">
        <f t="shared" ca="1" si="20"/>
        <v>0.1875</v>
      </c>
      <c r="AT35" s="24"/>
      <c r="AU35" s="22">
        <f t="shared" ca="1" si="21"/>
        <v>77</v>
      </c>
      <c r="AV35" s="22">
        <f t="shared" ca="1" si="21"/>
        <v>0</v>
      </c>
      <c r="AW35" s="22">
        <f t="shared" ca="1" si="21"/>
        <v>0</v>
      </c>
      <c r="AX35" s="22">
        <f t="shared" ca="1" si="21"/>
        <v>0</v>
      </c>
      <c r="AY35" s="22">
        <f t="shared" ca="1" si="21"/>
        <v>0</v>
      </c>
      <c r="AZ35" s="22">
        <f t="shared" ca="1" si="21"/>
        <v>18</v>
      </c>
      <c r="BA35" s="46">
        <f t="shared" ca="1" si="22"/>
        <v>0</v>
      </c>
      <c r="BB35" s="46">
        <f t="shared" ca="1" si="23"/>
        <v>0.18947368421052632</v>
      </c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s="8" customFormat="1" ht="15" customHeight="1" x14ac:dyDescent="0.35">
      <c r="A36" s="2" t="s">
        <v>43</v>
      </c>
      <c r="B36" s="24">
        <f ca="1">ROUND(FIRE1121_raw!B36,0)</f>
        <v>0</v>
      </c>
      <c r="C36" s="24">
        <f ca="1">ROUND(FIRE1121_raw!C36,0)</f>
        <v>0</v>
      </c>
      <c r="D36" s="24">
        <f ca="1">ROUND(FIRE1121_raw!D36,0)</f>
        <v>0</v>
      </c>
      <c r="E36" s="24">
        <f ca="1">ROUND(FIRE1121_raw!E36,0)</f>
        <v>0</v>
      </c>
      <c r="F36" s="24">
        <f ca="1">ROUND(FIRE1121_raw!F36,0)</f>
        <v>0</v>
      </c>
      <c r="G36" s="24">
        <f ca="1">ROUND(FIRE1121_raw!G36,0)</f>
        <v>0</v>
      </c>
      <c r="H36" s="46" t="str">
        <f t="shared" ca="1" si="7"/>
        <v>-</v>
      </c>
      <c r="I36" s="46" t="str">
        <f t="shared" ca="1" si="8"/>
        <v>-</v>
      </c>
      <c r="J36" s="24"/>
      <c r="K36" s="24">
        <f ca="1">ROUND(FIRE1121_raw!K36,0)</f>
        <v>0</v>
      </c>
      <c r="L36" s="24">
        <f ca="1">ROUND(FIRE1121_raw!L36,0)</f>
        <v>0</v>
      </c>
      <c r="M36" s="24">
        <f ca="1">ROUND(FIRE1121_raw!M36,0)</f>
        <v>0</v>
      </c>
      <c r="N36" s="24">
        <f ca="1">ROUND(FIRE1121_raw!N36,0)</f>
        <v>0</v>
      </c>
      <c r="O36" s="24">
        <f ca="1">ROUND(FIRE1121_raw!O36,0)</f>
        <v>0</v>
      </c>
      <c r="P36" s="24">
        <f ca="1">ROUND(FIRE1121_raw!P36,0)</f>
        <v>0</v>
      </c>
      <c r="Q36" s="46" t="str">
        <f t="shared" ca="1" si="10"/>
        <v>-</v>
      </c>
      <c r="R36" s="46" t="str">
        <f t="shared" ca="1" si="11"/>
        <v>-</v>
      </c>
      <c r="S36" s="24"/>
      <c r="T36" s="22">
        <f t="shared" ca="1" si="12"/>
        <v>0</v>
      </c>
      <c r="U36" s="22">
        <f t="shared" ca="1" si="12"/>
        <v>0</v>
      </c>
      <c r="V36" s="22">
        <f t="shared" ca="1" si="12"/>
        <v>0</v>
      </c>
      <c r="W36" s="22">
        <f t="shared" ca="1" si="12"/>
        <v>0</v>
      </c>
      <c r="X36" s="22">
        <f t="shared" ca="1" si="12"/>
        <v>0</v>
      </c>
      <c r="Y36" s="22">
        <f t="shared" ca="1" si="12"/>
        <v>0</v>
      </c>
      <c r="Z36" s="46" t="str">
        <f t="shared" ca="1" si="13"/>
        <v>-</v>
      </c>
      <c r="AA36" s="46" t="str">
        <f t="shared" ca="1" si="14"/>
        <v>-</v>
      </c>
      <c r="AB36" s="24"/>
      <c r="AC36" s="24">
        <f ca="1">ROUND(FIRE1121_raw!AC36,0)</f>
        <v>10</v>
      </c>
      <c r="AD36" s="24">
        <f ca="1">ROUND(FIRE1121_raw!AD36,0)</f>
        <v>0</v>
      </c>
      <c r="AE36" s="24">
        <f ca="1">ROUND(FIRE1121_raw!AE36,0)</f>
        <v>0</v>
      </c>
      <c r="AF36" s="24">
        <f ca="1">ROUND(FIRE1121_raw!AF36,0)</f>
        <v>0</v>
      </c>
      <c r="AG36" s="24">
        <f ca="1">ROUND(FIRE1121_raw!AG36,0)</f>
        <v>0</v>
      </c>
      <c r="AH36" s="24">
        <f ca="1">ROUND(FIRE1121_raw!AH36,0)</f>
        <v>0</v>
      </c>
      <c r="AI36" s="46">
        <f t="shared" ca="1" si="16"/>
        <v>0</v>
      </c>
      <c r="AJ36" s="46">
        <f t="shared" ca="1" si="17"/>
        <v>0</v>
      </c>
      <c r="AK36" s="24"/>
      <c r="AL36" s="24">
        <f ca="1">ROUND(FIRE1121_raw!AL36,0)</f>
        <v>0</v>
      </c>
      <c r="AM36" s="24">
        <f ca="1">ROUND(FIRE1121_raw!AM36,0)</f>
        <v>0</v>
      </c>
      <c r="AN36" s="24">
        <f ca="1">ROUND(FIRE1121_raw!AN36,0)</f>
        <v>0</v>
      </c>
      <c r="AO36" s="24">
        <f ca="1">ROUND(FIRE1121_raw!AO36,0)</f>
        <v>0</v>
      </c>
      <c r="AP36" s="24">
        <f ca="1">ROUND(FIRE1121_raw!AP36,0)</f>
        <v>0</v>
      </c>
      <c r="AQ36" s="24">
        <f ca="1">ROUND(FIRE1121_raw!AQ36,0)</f>
        <v>0</v>
      </c>
      <c r="AR36" s="46" t="str">
        <f t="shared" ca="1" si="19"/>
        <v>-</v>
      </c>
      <c r="AS36" s="46" t="str">
        <f t="shared" ca="1" si="20"/>
        <v>-</v>
      </c>
      <c r="AT36" s="24"/>
      <c r="AU36" s="22">
        <f t="shared" ca="1" si="21"/>
        <v>10</v>
      </c>
      <c r="AV36" s="22">
        <f t="shared" ca="1" si="21"/>
        <v>0</v>
      </c>
      <c r="AW36" s="22">
        <f t="shared" ca="1" si="21"/>
        <v>0</v>
      </c>
      <c r="AX36" s="22">
        <f t="shared" ca="1" si="21"/>
        <v>0</v>
      </c>
      <c r="AY36" s="22">
        <f t="shared" ca="1" si="21"/>
        <v>0</v>
      </c>
      <c r="AZ36" s="22">
        <f t="shared" ca="1" si="21"/>
        <v>0</v>
      </c>
      <c r="BA36" s="46">
        <f t="shared" ca="1" si="22"/>
        <v>0</v>
      </c>
      <c r="BB36" s="46">
        <f t="shared" ca="1" si="23"/>
        <v>0</v>
      </c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 s="8" customFormat="1" ht="15" customHeight="1" x14ac:dyDescent="0.35">
      <c r="A37" s="3" t="s">
        <v>44</v>
      </c>
      <c r="B37" s="24">
        <f ca="1">ROUND(FIRE1121_raw!B37,0)</f>
        <v>4</v>
      </c>
      <c r="C37" s="24">
        <f ca="1">ROUND(FIRE1121_raw!C37,0)</f>
        <v>0</v>
      </c>
      <c r="D37" s="24">
        <f ca="1">ROUND(FIRE1121_raw!D37,0)</f>
        <v>0</v>
      </c>
      <c r="E37" s="24">
        <f ca="1">ROUND(FIRE1121_raw!E37,0)</f>
        <v>0</v>
      </c>
      <c r="F37" s="24">
        <f ca="1">ROUND(FIRE1121_raw!F37,0)</f>
        <v>0</v>
      </c>
      <c r="G37" s="24">
        <f ca="1">ROUND(FIRE1121_raw!G37,0)</f>
        <v>0</v>
      </c>
      <c r="H37" s="46">
        <f t="shared" ca="1" si="7"/>
        <v>0</v>
      </c>
      <c r="I37" s="46">
        <f t="shared" ca="1" si="8"/>
        <v>0</v>
      </c>
      <c r="J37" s="24"/>
      <c r="K37" s="24">
        <f ca="1">ROUND(FIRE1121_raw!K37,0)</f>
        <v>49</v>
      </c>
      <c r="L37" s="24">
        <f ca="1">ROUND(FIRE1121_raw!L37,0)</f>
        <v>0</v>
      </c>
      <c r="M37" s="24">
        <f ca="1">ROUND(FIRE1121_raw!M37,0)</f>
        <v>0</v>
      </c>
      <c r="N37" s="24">
        <f ca="1">ROUND(FIRE1121_raw!N37,0)</f>
        <v>0</v>
      </c>
      <c r="O37" s="24">
        <f ca="1">ROUND(FIRE1121_raw!O37,0)</f>
        <v>0</v>
      </c>
      <c r="P37" s="24">
        <f ca="1">ROUND(FIRE1121_raw!P37,0)</f>
        <v>4</v>
      </c>
      <c r="Q37" s="46">
        <f t="shared" ca="1" si="10"/>
        <v>0</v>
      </c>
      <c r="R37" s="46">
        <f t="shared" ca="1" si="11"/>
        <v>7.5471698113207544E-2</v>
      </c>
      <c r="S37" s="24"/>
      <c r="T37" s="22">
        <f t="shared" ca="1" si="12"/>
        <v>53</v>
      </c>
      <c r="U37" s="22">
        <f t="shared" ca="1" si="12"/>
        <v>0</v>
      </c>
      <c r="V37" s="22">
        <f t="shared" ca="1" si="12"/>
        <v>0</v>
      </c>
      <c r="W37" s="22">
        <f t="shared" ca="1" si="12"/>
        <v>0</v>
      </c>
      <c r="X37" s="22">
        <f t="shared" ca="1" si="12"/>
        <v>0</v>
      </c>
      <c r="Y37" s="22">
        <f t="shared" ca="1" si="12"/>
        <v>4</v>
      </c>
      <c r="Z37" s="46">
        <f t="shared" ca="1" si="13"/>
        <v>0</v>
      </c>
      <c r="AA37" s="46">
        <f t="shared" ca="1" si="14"/>
        <v>7.0175438596491224E-2</v>
      </c>
      <c r="AB37" s="24"/>
      <c r="AC37" s="24">
        <f ca="1">ROUND(FIRE1121_raw!AC37,0)</f>
        <v>3</v>
      </c>
      <c r="AD37" s="24">
        <f ca="1">ROUND(FIRE1121_raw!AD37,0)</f>
        <v>0</v>
      </c>
      <c r="AE37" s="24">
        <f ca="1">ROUND(FIRE1121_raw!AE37,0)</f>
        <v>0</v>
      </c>
      <c r="AF37" s="24">
        <f ca="1">ROUND(FIRE1121_raw!AF37,0)</f>
        <v>0</v>
      </c>
      <c r="AG37" s="24">
        <f ca="1">ROUND(FIRE1121_raw!AG37,0)</f>
        <v>0</v>
      </c>
      <c r="AH37" s="24">
        <f ca="1">ROUND(FIRE1121_raw!AH37,0)</f>
        <v>0</v>
      </c>
      <c r="AI37" s="46">
        <f t="shared" ca="1" si="16"/>
        <v>0</v>
      </c>
      <c r="AJ37" s="46">
        <f t="shared" ca="1" si="17"/>
        <v>0</v>
      </c>
      <c r="AK37" s="24"/>
      <c r="AL37" s="24">
        <f ca="1">ROUND(FIRE1121_raw!AL37,0)</f>
        <v>19</v>
      </c>
      <c r="AM37" s="24">
        <f ca="1">ROUND(FIRE1121_raw!AM37,0)</f>
        <v>0</v>
      </c>
      <c r="AN37" s="24">
        <f ca="1">ROUND(FIRE1121_raw!AN37,0)</f>
        <v>0</v>
      </c>
      <c r="AO37" s="24">
        <f ca="1">ROUND(FIRE1121_raw!AO37,0)</f>
        <v>1</v>
      </c>
      <c r="AP37" s="24">
        <f ca="1">ROUND(FIRE1121_raw!AP37,0)</f>
        <v>0</v>
      </c>
      <c r="AQ37" s="24">
        <f ca="1">ROUND(FIRE1121_raw!AQ37,0)</f>
        <v>0</v>
      </c>
      <c r="AR37" s="46">
        <f t="shared" ca="1" si="19"/>
        <v>0.05</v>
      </c>
      <c r="AS37" s="46">
        <f t="shared" ca="1" si="20"/>
        <v>0</v>
      </c>
      <c r="AT37" s="24"/>
      <c r="AU37" s="22">
        <f t="shared" ca="1" si="21"/>
        <v>75</v>
      </c>
      <c r="AV37" s="22">
        <f t="shared" ca="1" si="21"/>
        <v>0</v>
      </c>
      <c r="AW37" s="22">
        <f t="shared" ca="1" si="21"/>
        <v>0</v>
      </c>
      <c r="AX37" s="22">
        <f t="shared" ca="1" si="21"/>
        <v>1</v>
      </c>
      <c r="AY37" s="22">
        <f t="shared" ca="1" si="21"/>
        <v>0</v>
      </c>
      <c r="AZ37" s="22">
        <f t="shared" ca="1" si="21"/>
        <v>4</v>
      </c>
      <c r="BA37" s="46">
        <f t="shared" ca="1" si="22"/>
        <v>1.3157894736842105E-2</v>
      </c>
      <c r="BB37" s="46">
        <f t="shared" ca="1" si="23"/>
        <v>0.05</v>
      </c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 s="8" customFormat="1" ht="15" customHeight="1" x14ac:dyDescent="0.35">
      <c r="A38" s="3" t="s">
        <v>45</v>
      </c>
      <c r="B38" s="24">
        <f ca="1">ROUND(FIRE1121_raw!B38,0)</f>
        <v>1</v>
      </c>
      <c r="C38" s="24">
        <f ca="1">ROUND(FIRE1121_raw!C38,0)</f>
        <v>0</v>
      </c>
      <c r="D38" s="24">
        <f ca="1">ROUND(FIRE1121_raw!D38,0)</f>
        <v>0</v>
      </c>
      <c r="E38" s="24">
        <f ca="1">ROUND(FIRE1121_raw!E38,0)</f>
        <v>0</v>
      </c>
      <c r="F38" s="24">
        <f ca="1">ROUND(FIRE1121_raw!F38,0)</f>
        <v>0</v>
      </c>
      <c r="G38" s="24">
        <f ca="1">ROUND(FIRE1121_raw!G38,0)</f>
        <v>12</v>
      </c>
      <c r="H38" s="46">
        <f t="shared" ca="1" si="7"/>
        <v>0</v>
      </c>
      <c r="I38" s="46">
        <f t="shared" ca="1" si="8"/>
        <v>0.92307692307692313</v>
      </c>
      <c r="J38" s="24"/>
      <c r="K38" s="24">
        <f ca="1">ROUND(FIRE1121_raw!K38,0)</f>
        <v>5</v>
      </c>
      <c r="L38" s="24">
        <f ca="1">ROUND(FIRE1121_raw!L38,0)</f>
        <v>0</v>
      </c>
      <c r="M38" s="24">
        <f ca="1">ROUND(FIRE1121_raw!M38,0)</f>
        <v>0</v>
      </c>
      <c r="N38" s="24">
        <f ca="1">ROUND(FIRE1121_raw!N38,0)</f>
        <v>0</v>
      </c>
      <c r="O38" s="24">
        <f ca="1">ROUND(FIRE1121_raw!O38,0)</f>
        <v>0</v>
      </c>
      <c r="P38" s="24">
        <f ca="1">ROUND(FIRE1121_raw!P38,0)</f>
        <v>29</v>
      </c>
      <c r="Q38" s="46">
        <f t="shared" ca="1" si="10"/>
        <v>0</v>
      </c>
      <c r="R38" s="46">
        <f t="shared" ca="1" si="11"/>
        <v>0.8529411764705882</v>
      </c>
      <c r="S38" s="24"/>
      <c r="T38" s="22">
        <f t="shared" ca="1" si="12"/>
        <v>6</v>
      </c>
      <c r="U38" s="22">
        <f t="shared" ca="1" si="12"/>
        <v>0</v>
      </c>
      <c r="V38" s="22">
        <f t="shared" ca="1" si="12"/>
        <v>0</v>
      </c>
      <c r="W38" s="22">
        <f t="shared" ca="1" si="12"/>
        <v>0</v>
      </c>
      <c r="X38" s="22">
        <f t="shared" ca="1" si="12"/>
        <v>0</v>
      </c>
      <c r="Y38" s="22">
        <f t="shared" ca="1" si="12"/>
        <v>41</v>
      </c>
      <c r="Z38" s="46">
        <f t="shared" ca="1" si="13"/>
        <v>0</v>
      </c>
      <c r="AA38" s="46">
        <f t="shared" ca="1" si="14"/>
        <v>0.87234042553191493</v>
      </c>
      <c r="AB38" s="24"/>
      <c r="AC38" s="24">
        <f ca="1">ROUND(FIRE1121_raw!AC38,0)</f>
        <v>0</v>
      </c>
      <c r="AD38" s="24">
        <f ca="1">ROUND(FIRE1121_raw!AD38,0)</f>
        <v>0</v>
      </c>
      <c r="AE38" s="24">
        <f ca="1">ROUND(FIRE1121_raw!AE38,0)</f>
        <v>0</v>
      </c>
      <c r="AF38" s="24">
        <f ca="1">ROUND(FIRE1121_raw!AF38,0)</f>
        <v>0</v>
      </c>
      <c r="AG38" s="24">
        <f ca="1">ROUND(FIRE1121_raw!AG38,0)</f>
        <v>0</v>
      </c>
      <c r="AH38" s="24">
        <f ca="1">ROUND(FIRE1121_raw!AH38,0)</f>
        <v>0</v>
      </c>
      <c r="AI38" s="46" t="str">
        <f t="shared" ca="1" si="16"/>
        <v>-</v>
      </c>
      <c r="AJ38" s="46" t="str">
        <f t="shared" ca="1" si="17"/>
        <v>-</v>
      </c>
      <c r="AK38" s="24"/>
      <c r="AL38" s="24">
        <f ca="1">ROUND(FIRE1121_raw!AL38,0)</f>
        <v>2</v>
      </c>
      <c r="AM38" s="24">
        <f ca="1">ROUND(FIRE1121_raw!AM38,0)</f>
        <v>0</v>
      </c>
      <c r="AN38" s="24">
        <f ca="1">ROUND(FIRE1121_raw!AN38,0)</f>
        <v>0</v>
      </c>
      <c r="AO38" s="24">
        <f ca="1">ROUND(FIRE1121_raw!AO38,0)</f>
        <v>1</v>
      </c>
      <c r="AP38" s="24">
        <f ca="1">ROUND(FIRE1121_raw!AP38,0)</f>
        <v>0</v>
      </c>
      <c r="AQ38" s="24">
        <f ca="1">ROUND(FIRE1121_raw!AQ38,0)</f>
        <v>7</v>
      </c>
      <c r="AR38" s="46">
        <f t="shared" ca="1" si="19"/>
        <v>0.33333333333333331</v>
      </c>
      <c r="AS38" s="46">
        <f t="shared" ca="1" si="20"/>
        <v>0.7</v>
      </c>
      <c r="AT38" s="24"/>
      <c r="AU38" s="22">
        <f t="shared" ca="1" si="21"/>
        <v>8</v>
      </c>
      <c r="AV38" s="22">
        <f t="shared" ca="1" si="21"/>
        <v>0</v>
      </c>
      <c r="AW38" s="22">
        <f t="shared" ca="1" si="21"/>
        <v>0</v>
      </c>
      <c r="AX38" s="22">
        <f t="shared" ca="1" si="21"/>
        <v>1</v>
      </c>
      <c r="AY38" s="22">
        <f t="shared" ca="1" si="21"/>
        <v>0</v>
      </c>
      <c r="AZ38" s="22">
        <f t="shared" ca="1" si="21"/>
        <v>48</v>
      </c>
      <c r="BA38" s="46">
        <f t="shared" ca="1" si="22"/>
        <v>0.1111111111111111</v>
      </c>
      <c r="BB38" s="46">
        <f t="shared" ca="1" si="23"/>
        <v>0.84210526315789469</v>
      </c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s="8" customFormat="1" ht="15" customHeight="1" x14ac:dyDescent="0.35">
      <c r="A39" s="3" t="s">
        <v>46</v>
      </c>
      <c r="B39" s="24">
        <f ca="1">ROUND(FIRE1121_raw!B39,0)</f>
        <v>1</v>
      </c>
      <c r="C39" s="24">
        <f ca="1">ROUND(FIRE1121_raw!C39,0)</f>
        <v>0</v>
      </c>
      <c r="D39" s="24">
        <f ca="1">ROUND(FIRE1121_raw!D39,0)</f>
        <v>0</v>
      </c>
      <c r="E39" s="24">
        <f ca="1">ROUND(FIRE1121_raw!E39,0)</f>
        <v>0</v>
      </c>
      <c r="F39" s="24">
        <f ca="1">ROUND(FIRE1121_raw!F39,0)</f>
        <v>0</v>
      </c>
      <c r="G39" s="24">
        <f ca="1">ROUND(FIRE1121_raw!G39,0)</f>
        <v>0</v>
      </c>
      <c r="H39" s="46">
        <f t="shared" ca="1" si="7"/>
        <v>0</v>
      </c>
      <c r="I39" s="46">
        <f t="shared" ca="1" si="8"/>
        <v>0</v>
      </c>
      <c r="J39" s="24"/>
      <c r="K39" s="24">
        <f ca="1">ROUND(FIRE1121_raw!K39,0)</f>
        <v>18</v>
      </c>
      <c r="L39" s="24">
        <f ca="1">ROUND(FIRE1121_raw!L39,0)</f>
        <v>0</v>
      </c>
      <c r="M39" s="24">
        <f ca="1">ROUND(FIRE1121_raw!M39,0)</f>
        <v>0</v>
      </c>
      <c r="N39" s="24">
        <f ca="1">ROUND(FIRE1121_raw!N39,0)</f>
        <v>0</v>
      </c>
      <c r="O39" s="24">
        <f ca="1">ROUND(FIRE1121_raw!O39,0)</f>
        <v>0</v>
      </c>
      <c r="P39" s="24">
        <f ca="1">ROUND(FIRE1121_raw!P39,0)</f>
        <v>0</v>
      </c>
      <c r="Q39" s="46">
        <f t="shared" ca="1" si="10"/>
        <v>0</v>
      </c>
      <c r="R39" s="46">
        <f t="shared" ca="1" si="11"/>
        <v>0</v>
      </c>
      <c r="S39" s="24"/>
      <c r="T39" s="22">
        <f t="shared" ca="1" si="12"/>
        <v>19</v>
      </c>
      <c r="U39" s="22">
        <f t="shared" ca="1" si="12"/>
        <v>0</v>
      </c>
      <c r="V39" s="22">
        <f t="shared" ca="1" si="12"/>
        <v>0</v>
      </c>
      <c r="W39" s="22">
        <f t="shared" ca="1" si="12"/>
        <v>0</v>
      </c>
      <c r="X39" s="22">
        <f t="shared" ca="1" si="12"/>
        <v>0</v>
      </c>
      <c r="Y39" s="22">
        <f t="shared" ca="1" si="12"/>
        <v>0</v>
      </c>
      <c r="Z39" s="46">
        <f t="shared" ca="1" si="13"/>
        <v>0</v>
      </c>
      <c r="AA39" s="46">
        <f t="shared" ca="1" si="14"/>
        <v>0</v>
      </c>
      <c r="AB39" s="24"/>
      <c r="AC39" s="24">
        <f ca="1">ROUND(FIRE1121_raw!AC39,0)</f>
        <v>1</v>
      </c>
      <c r="AD39" s="24">
        <f ca="1">ROUND(FIRE1121_raw!AD39,0)</f>
        <v>0</v>
      </c>
      <c r="AE39" s="24">
        <f ca="1">ROUND(FIRE1121_raw!AE39,0)</f>
        <v>0</v>
      </c>
      <c r="AF39" s="24">
        <f ca="1">ROUND(FIRE1121_raw!AF39,0)</f>
        <v>0</v>
      </c>
      <c r="AG39" s="24">
        <f ca="1">ROUND(FIRE1121_raw!AG39,0)</f>
        <v>0</v>
      </c>
      <c r="AH39" s="24">
        <f ca="1">ROUND(FIRE1121_raw!AH39,0)</f>
        <v>0</v>
      </c>
      <c r="AI39" s="46">
        <f t="shared" ca="1" si="16"/>
        <v>0</v>
      </c>
      <c r="AJ39" s="46">
        <f t="shared" ca="1" si="17"/>
        <v>0</v>
      </c>
      <c r="AK39" s="24"/>
      <c r="AL39" s="24">
        <f ca="1">ROUND(FIRE1121_raw!AL39,0)</f>
        <v>1</v>
      </c>
      <c r="AM39" s="24">
        <f ca="1">ROUND(FIRE1121_raw!AM39,0)</f>
        <v>0</v>
      </c>
      <c r="AN39" s="24">
        <f ca="1">ROUND(FIRE1121_raw!AN39,0)</f>
        <v>0</v>
      </c>
      <c r="AO39" s="24">
        <f ca="1">ROUND(FIRE1121_raw!AO39,0)</f>
        <v>0</v>
      </c>
      <c r="AP39" s="24">
        <f ca="1">ROUND(FIRE1121_raw!AP39,0)</f>
        <v>0</v>
      </c>
      <c r="AQ39" s="24">
        <f ca="1">ROUND(FIRE1121_raw!AQ39,0)</f>
        <v>3</v>
      </c>
      <c r="AR39" s="46">
        <f t="shared" ca="1" si="19"/>
        <v>0</v>
      </c>
      <c r="AS39" s="46">
        <f t="shared" ca="1" si="20"/>
        <v>0.75</v>
      </c>
      <c r="AT39" s="24"/>
      <c r="AU39" s="22">
        <f t="shared" ca="1" si="21"/>
        <v>21</v>
      </c>
      <c r="AV39" s="22">
        <f t="shared" ca="1" si="21"/>
        <v>0</v>
      </c>
      <c r="AW39" s="22">
        <f t="shared" ca="1" si="21"/>
        <v>0</v>
      </c>
      <c r="AX39" s="22">
        <f t="shared" ca="1" si="21"/>
        <v>0</v>
      </c>
      <c r="AY39" s="22">
        <f t="shared" ca="1" si="21"/>
        <v>0</v>
      </c>
      <c r="AZ39" s="22">
        <f t="shared" ca="1" si="21"/>
        <v>3</v>
      </c>
      <c r="BA39" s="46">
        <f t="shared" ca="1" si="22"/>
        <v>0</v>
      </c>
      <c r="BB39" s="46">
        <f t="shared" ca="1" si="23"/>
        <v>0.125</v>
      </c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s="8" customFormat="1" ht="15" customHeight="1" x14ac:dyDescent="0.35">
      <c r="A40" s="2" t="s">
        <v>47</v>
      </c>
      <c r="B40" s="24">
        <f ca="1">ROUND(FIRE1121_raw!B40,0)</f>
        <v>13</v>
      </c>
      <c r="C40" s="24">
        <f ca="1">ROUND(FIRE1121_raw!C40,0)</f>
        <v>0</v>
      </c>
      <c r="D40" s="24">
        <f ca="1">ROUND(FIRE1121_raw!D40,0)</f>
        <v>0</v>
      </c>
      <c r="E40" s="24">
        <f ca="1">ROUND(FIRE1121_raw!E40,0)</f>
        <v>0</v>
      </c>
      <c r="F40" s="24">
        <f ca="1">ROUND(FIRE1121_raw!F40,0)</f>
        <v>0</v>
      </c>
      <c r="G40" s="24">
        <f ca="1">ROUND(FIRE1121_raw!G40,0)</f>
        <v>0</v>
      </c>
      <c r="H40" s="46">
        <f t="shared" ca="1" si="7"/>
        <v>0</v>
      </c>
      <c r="I40" s="46">
        <f t="shared" ca="1" si="8"/>
        <v>0</v>
      </c>
      <c r="J40" s="24"/>
      <c r="K40" s="24">
        <f ca="1">ROUND(FIRE1121_raw!K40,0)</f>
        <v>33</v>
      </c>
      <c r="L40" s="24">
        <f ca="1">ROUND(FIRE1121_raw!L40,0)</f>
        <v>0</v>
      </c>
      <c r="M40" s="24">
        <f ca="1">ROUND(FIRE1121_raw!M40,0)</f>
        <v>0</v>
      </c>
      <c r="N40" s="24">
        <f ca="1">ROUND(FIRE1121_raw!N40,0)</f>
        <v>0</v>
      </c>
      <c r="O40" s="24">
        <f ca="1">ROUND(FIRE1121_raw!O40,0)</f>
        <v>0</v>
      </c>
      <c r="P40" s="24">
        <f ca="1">ROUND(FIRE1121_raw!P40,0)</f>
        <v>3</v>
      </c>
      <c r="Q40" s="46">
        <f t="shared" ca="1" si="10"/>
        <v>0</v>
      </c>
      <c r="R40" s="46">
        <f t="shared" ca="1" si="11"/>
        <v>8.3333333333333329E-2</v>
      </c>
      <c r="S40" s="24"/>
      <c r="T40" s="22">
        <f t="shared" ca="1" si="12"/>
        <v>46</v>
      </c>
      <c r="U40" s="22">
        <f t="shared" ca="1" si="12"/>
        <v>0</v>
      </c>
      <c r="V40" s="22">
        <f t="shared" ca="1" si="12"/>
        <v>0</v>
      </c>
      <c r="W40" s="22">
        <f t="shared" ca="1" si="12"/>
        <v>0</v>
      </c>
      <c r="X40" s="22">
        <f t="shared" ca="1" si="12"/>
        <v>0</v>
      </c>
      <c r="Y40" s="22">
        <f t="shared" ca="1" si="12"/>
        <v>3</v>
      </c>
      <c r="Z40" s="46">
        <f t="shared" ca="1" si="13"/>
        <v>0</v>
      </c>
      <c r="AA40" s="46">
        <f t="shared" ca="1" si="14"/>
        <v>6.1224489795918366E-2</v>
      </c>
      <c r="AB40" s="24"/>
      <c r="AC40" s="24">
        <f ca="1">ROUND(FIRE1121_raw!AC40,0)</f>
        <v>1</v>
      </c>
      <c r="AD40" s="24">
        <f ca="1">ROUND(FIRE1121_raw!AD40,0)</f>
        <v>0</v>
      </c>
      <c r="AE40" s="24">
        <f ca="1">ROUND(FIRE1121_raw!AE40,0)</f>
        <v>0</v>
      </c>
      <c r="AF40" s="24">
        <f ca="1">ROUND(FIRE1121_raw!AF40,0)</f>
        <v>0</v>
      </c>
      <c r="AG40" s="24">
        <f ca="1">ROUND(FIRE1121_raw!AG40,0)</f>
        <v>0</v>
      </c>
      <c r="AH40" s="24">
        <f ca="1">ROUND(FIRE1121_raw!AH40,0)</f>
        <v>0</v>
      </c>
      <c r="AI40" s="46">
        <f t="shared" ca="1" si="16"/>
        <v>0</v>
      </c>
      <c r="AJ40" s="46">
        <f t="shared" ca="1" si="17"/>
        <v>0</v>
      </c>
      <c r="AK40" s="24"/>
      <c r="AL40" s="24">
        <f ca="1">ROUND(FIRE1121_raw!AL40,0)</f>
        <v>10</v>
      </c>
      <c r="AM40" s="24">
        <f ca="1">ROUND(FIRE1121_raw!AM40,0)</f>
        <v>0</v>
      </c>
      <c r="AN40" s="24">
        <f ca="1">ROUND(FIRE1121_raw!AN40,0)</f>
        <v>0</v>
      </c>
      <c r="AO40" s="24">
        <f ca="1">ROUND(FIRE1121_raw!AO40,0)</f>
        <v>2</v>
      </c>
      <c r="AP40" s="24">
        <f ca="1">ROUND(FIRE1121_raw!AP40,0)</f>
        <v>0</v>
      </c>
      <c r="AQ40" s="24">
        <f ca="1">ROUND(FIRE1121_raw!AQ40,0)</f>
        <v>7</v>
      </c>
      <c r="AR40" s="46">
        <f t="shared" ca="1" si="19"/>
        <v>0.16666666666666666</v>
      </c>
      <c r="AS40" s="46">
        <f t="shared" ca="1" si="20"/>
        <v>0.36842105263157893</v>
      </c>
      <c r="AT40" s="24"/>
      <c r="AU40" s="22">
        <f t="shared" ca="1" si="21"/>
        <v>57</v>
      </c>
      <c r="AV40" s="22">
        <f t="shared" ca="1" si="21"/>
        <v>0</v>
      </c>
      <c r="AW40" s="22">
        <f t="shared" ca="1" si="21"/>
        <v>0</v>
      </c>
      <c r="AX40" s="22">
        <f t="shared" ca="1" si="21"/>
        <v>2</v>
      </c>
      <c r="AY40" s="22">
        <f t="shared" ca="1" si="21"/>
        <v>0</v>
      </c>
      <c r="AZ40" s="22">
        <f t="shared" ca="1" si="21"/>
        <v>10</v>
      </c>
      <c r="BA40" s="46">
        <f t="shared" ca="1" si="22"/>
        <v>3.3898305084745763E-2</v>
      </c>
      <c r="BB40" s="46">
        <f t="shared" ca="1" si="23"/>
        <v>0.14492753623188406</v>
      </c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s="8" customFormat="1" ht="15" customHeight="1" x14ac:dyDescent="0.35">
      <c r="A41" s="2" t="s">
        <v>48</v>
      </c>
      <c r="B41" s="24">
        <f ca="1">ROUND(FIRE1121_raw!B41,0)</f>
        <v>0</v>
      </c>
      <c r="C41" s="24">
        <f ca="1">ROUND(FIRE1121_raw!C41,0)</f>
        <v>0</v>
      </c>
      <c r="D41" s="24">
        <f ca="1">ROUND(FIRE1121_raw!D41,0)</f>
        <v>0</v>
      </c>
      <c r="E41" s="24">
        <f ca="1">ROUND(FIRE1121_raw!E41,0)</f>
        <v>0</v>
      </c>
      <c r="F41" s="24">
        <f ca="1">ROUND(FIRE1121_raw!F41,0)</f>
        <v>0</v>
      </c>
      <c r="G41" s="24">
        <f ca="1">ROUND(FIRE1121_raw!G41,0)</f>
        <v>0</v>
      </c>
      <c r="H41" s="46" t="str">
        <f t="shared" ca="1" si="7"/>
        <v>-</v>
      </c>
      <c r="I41" s="46" t="str">
        <f t="shared" ca="1" si="8"/>
        <v>-</v>
      </c>
      <c r="J41" s="24"/>
      <c r="K41" s="24">
        <f ca="1">ROUND(FIRE1121_raw!K41,0)</f>
        <v>66</v>
      </c>
      <c r="L41" s="24">
        <f ca="1">ROUND(FIRE1121_raw!L41,0)</f>
        <v>0</v>
      </c>
      <c r="M41" s="24">
        <f ca="1">ROUND(FIRE1121_raw!M41,0)</f>
        <v>0</v>
      </c>
      <c r="N41" s="24">
        <f ca="1">ROUND(FIRE1121_raw!N41,0)</f>
        <v>0</v>
      </c>
      <c r="O41" s="24">
        <f ca="1">ROUND(FIRE1121_raw!O41,0)</f>
        <v>1</v>
      </c>
      <c r="P41" s="24">
        <f ca="1">ROUND(FIRE1121_raw!P41,0)</f>
        <v>7</v>
      </c>
      <c r="Q41" s="46">
        <f t="shared" ca="1" si="10"/>
        <v>1.4925373134328358E-2</v>
      </c>
      <c r="R41" s="46">
        <f t="shared" ca="1" si="11"/>
        <v>9.45945945945946E-2</v>
      </c>
      <c r="S41" s="24"/>
      <c r="T41" s="22">
        <f t="shared" ca="1" si="12"/>
        <v>66</v>
      </c>
      <c r="U41" s="22">
        <f t="shared" ca="1" si="12"/>
        <v>0</v>
      </c>
      <c r="V41" s="22">
        <f t="shared" ca="1" si="12"/>
        <v>0</v>
      </c>
      <c r="W41" s="22">
        <f t="shared" ca="1" si="12"/>
        <v>0</v>
      </c>
      <c r="X41" s="22">
        <f t="shared" ca="1" si="12"/>
        <v>1</v>
      </c>
      <c r="Y41" s="22">
        <f t="shared" ca="1" si="12"/>
        <v>7</v>
      </c>
      <c r="Z41" s="46">
        <f t="shared" ca="1" si="13"/>
        <v>1.4925373134328358E-2</v>
      </c>
      <c r="AA41" s="46">
        <f t="shared" ca="1" si="14"/>
        <v>9.45945945945946E-2</v>
      </c>
      <c r="AB41" s="24"/>
      <c r="AC41" s="24">
        <f ca="1">ROUND(FIRE1121_raw!AC41,0)</f>
        <v>0</v>
      </c>
      <c r="AD41" s="24">
        <f ca="1">ROUND(FIRE1121_raw!AD41,0)</f>
        <v>0</v>
      </c>
      <c r="AE41" s="24">
        <f ca="1">ROUND(FIRE1121_raw!AE41,0)</f>
        <v>0</v>
      </c>
      <c r="AF41" s="24">
        <f ca="1">ROUND(FIRE1121_raw!AF41,0)</f>
        <v>0</v>
      </c>
      <c r="AG41" s="24">
        <f ca="1">ROUND(FIRE1121_raw!AG41,0)</f>
        <v>0</v>
      </c>
      <c r="AH41" s="24">
        <f ca="1">ROUND(FIRE1121_raw!AH41,0)</f>
        <v>0</v>
      </c>
      <c r="AI41" s="46" t="str">
        <f t="shared" ca="1" si="16"/>
        <v>-</v>
      </c>
      <c r="AJ41" s="46" t="str">
        <f t="shared" ca="1" si="17"/>
        <v>-</v>
      </c>
      <c r="AK41" s="24"/>
      <c r="AL41" s="24">
        <f ca="1">ROUND(FIRE1121_raw!AL41,0)</f>
        <v>4</v>
      </c>
      <c r="AM41" s="24">
        <f ca="1">ROUND(FIRE1121_raw!AM41,0)</f>
        <v>0</v>
      </c>
      <c r="AN41" s="24">
        <f ca="1">ROUND(FIRE1121_raw!AN41,0)</f>
        <v>0</v>
      </c>
      <c r="AO41" s="24">
        <f ca="1">ROUND(FIRE1121_raw!AO41,0)</f>
        <v>0</v>
      </c>
      <c r="AP41" s="24">
        <f ca="1">ROUND(FIRE1121_raw!AP41,0)</f>
        <v>0</v>
      </c>
      <c r="AQ41" s="24">
        <f ca="1">ROUND(FIRE1121_raw!AQ41,0)</f>
        <v>0</v>
      </c>
      <c r="AR41" s="46">
        <f t="shared" ca="1" si="19"/>
        <v>0</v>
      </c>
      <c r="AS41" s="46">
        <f t="shared" ca="1" si="20"/>
        <v>0</v>
      </c>
      <c r="AT41" s="24"/>
      <c r="AU41" s="22">
        <f t="shared" ca="1" si="21"/>
        <v>70</v>
      </c>
      <c r="AV41" s="22">
        <f t="shared" ca="1" si="21"/>
        <v>0</v>
      </c>
      <c r="AW41" s="22">
        <f t="shared" ca="1" si="21"/>
        <v>0</v>
      </c>
      <c r="AX41" s="22">
        <f t="shared" ca="1" si="21"/>
        <v>0</v>
      </c>
      <c r="AY41" s="22">
        <f t="shared" ca="1" si="21"/>
        <v>1</v>
      </c>
      <c r="AZ41" s="22">
        <f t="shared" ca="1" si="21"/>
        <v>7</v>
      </c>
      <c r="BA41" s="46">
        <f t="shared" ca="1" si="22"/>
        <v>1.4084507042253521E-2</v>
      </c>
      <c r="BB41" s="46">
        <f t="shared" ca="1" si="23"/>
        <v>8.9743589743589744E-2</v>
      </c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s="8" customFormat="1" ht="15" customHeight="1" x14ac:dyDescent="0.35">
      <c r="A42" s="2" t="s">
        <v>49</v>
      </c>
      <c r="B42" s="24">
        <f ca="1">ROUND(FIRE1121_raw!B42,0)</f>
        <v>5</v>
      </c>
      <c r="C42" s="24">
        <f ca="1">ROUND(FIRE1121_raw!C42,0)</f>
        <v>0</v>
      </c>
      <c r="D42" s="24">
        <f ca="1">ROUND(FIRE1121_raw!D42,0)</f>
        <v>0</v>
      </c>
      <c r="E42" s="24">
        <f ca="1">ROUND(FIRE1121_raw!E42,0)</f>
        <v>0</v>
      </c>
      <c r="F42" s="24">
        <f ca="1">ROUND(FIRE1121_raw!F42,0)</f>
        <v>0</v>
      </c>
      <c r="G42" s="24">
        <f ca="1">ROUND(FIRE1121_raw!G42,0)</f>
        <v>0</v>
      </c>
      <c r="H42" s="46">
        <f t="shared" ca="1" si="7"/>
        <v>0</v>
      </c>
      <c r="I42" s="46">
        <f t="shared" ca="1" si="8"/>
        <v>0</v>
      </c>
      <c r="J42" s="24"/>
      <c r="K42" s="24">
        <f ca="1">ROUND(FIRE1121_raw!K42,0)</f>
        <v>23</v>
      </c>
      <c r="L42" s="24">
        <f ca="1">ROUND(FIRE1121_raw!L42,0)</f>
        <v>0</v>
      </c>
      <c r="M42" s="24">
        <f ca="1">ROUND(FIRE1121_raw!M42,0)</f>
        <v>0</v>
      </c>
      <c r="N42" s="24">
        <f ca="1">ROUND(FIRE1121_raw!N42,0)</f>
        <v>0</v>
      </c>
      <c r="O42" s="24">
        <f ca="1">ROUND(FIRE1121_raw!O42,0)</f>
        <v>0</v>
      </c>
      <c r="P42" s="24">
        <f ca="1">ROUND(FIRE1121_raw!P42,0)</f>
        <v>3</v>
      </c>
      <c r="Q42" s="46">
        <f t="shared" ca="1" si="10"/>
        <v>0</v>
      </c>
      <c r="R42" s="46">
        <f t="shared" ca="1" si="11"/>
        <v>0.11538461538461539</v>
      </c>
      <c r="S42" s="24"/>
      <c r="T42" s="22">
        <f t="shared" ca="1" si="12"/>
        <v>28</v>
      </c>
      <c r="U42" s="22">
        <f t="shared" ca="1" si="12"/>
        <v>0</v>
      </c>
      <c r="V42" s="22">
        <f t="shared" ca="1" si="12"/>
        <v>0</v>
      </c>
      <c r="W42" s="22">
        <f t="shared" ca="1" si="12"/>
        <v>0</v>
      </c>
      <c r="X42" s="22">
        <f t="shared" ca="1" si="12"/>
        <v>0</v>
      </c>
      <c r="Y42" s="22">
        <f t="shared" ca="1" si="12"/>
        <v>3</v>
      </c>
      <c r="Z42" s="46">
        <f t="shared" ca="1" si="13"/>
        <v>0</v>
      </c>
      <c r="AA42" s="46">
        <f t="shared" ca="1" si="14"/>
        <v>9.6774193548387094E-2</v>
      </c>
      <c r="AB42" s="24"/>
      <c r="AC42" s="24">
        <f ca="1">ROUND(FIRE1121_raw!AC42,0)</f>
        <v>0</v>
      </c>
      <c r="AD42" s="24">
        <f ca="1">ROUND(FIRE1121_raw!AD42,0)</f>
        <v>0</v>
      </c>
      <c r="AE42" s="24">
        <f ca="1">ROUND(FIRE1121_raw!AE42,0)</f>
        <v>0</v>
      </c>
      <c r="AF42" s="24">
        <f ca="1">ROUND(FIRE1121_raw!AF42,0)</f>
        <v>0</v>
      </c>
      <c r="AG42" s="24">
        <f ca="1">ROUND(FIRE1121_raw!AG42,0)</f>
        <v>0</v>
      </c>
      <c r="AH42" s="24">
        <f ca="1">ROUND(FIRE1121_raw!AH42,0)</f>
        <v>1</v>
      </c>
      <c r="AI42" s="46" t="str">
        <f t="shared" ca="1" si="16"/>
        <v>-</v>
      </c>
      <c r="AJ42" s="46">
        <f t="shared" ca="1" si="17"/>
        <v>1</v>
      </c>
      <c r="AK42" s="24"/>
      <c r="AL42" s="24">
        <f ca="1">ROUND(FIRE1121_raw!AL42,0)</f>
        <v>7</v>
      </c>
      <c r="AM42" s="24">
        <f ca="1">ROUND(FIRE1121_raw!AM42,0)</f>
        <v>0</v>
      </c>
      <c r="AN42" s="24">
        <f ca="1">ROUND(FIRE1121_raw!AN42,0)</f>
        <v>0</v>
      </c>
      <c r="AO42" s="24">
        <f ca="1">ROUND(FIRE1121_raw!AO42,0)</f>
        <v>0</v>
      </c>
      <c r="AP42" s="24">
        <f ca="1">ROUND(FIRE1121_raw!AP42,0)</f>
        <v>0</v>
      </c>
      <c r="AQ42" s="24">
        <f ca="1">ROUND(FIRE1121_raw!AQ42,0)</f>
        <v>1</v>
      </c>
      <c r="AR42" s="46">
        <f t="shared" ca="1" si="19"/>
        <v>0</v>
      </c>
      <c r="AS42" s="46">
        <f t="shared" ca="1" si="20"/>
        <v>0.125</v>
      </c>
      <c r="AT42" s="24"/>
      <c r="AU42" s="22">
        <f t="shared" ca="1" si="21"/>
        <v>35</v>
      </c>
      <c r="AV42" s="22">
        <f t="shared" ca="1" si="21"/>
        <v>0</v>
      </c>
      <c r="AW42" s="22">
        <f t="shared" ca="1" si="21"/>
        <v>0</v>
      </c>
      <c r="AX42" s="22">
        <f t="shared" ca="1" si="21"/>
        <v>0</v>
      </c>
      <c r="AY42" s="22">
        <f t="shared" ca="1" si="21"/>
        <v>0</v>
      </c>
      <c r="AZ42" s="22">
        <f t="shared" ca="1" si="21"/>
        <v>5</v>
      </c>
      <c r="BA42" s="46">
        <f t="shared" ca="1" si="22"/>
        <v>0</v>
      </c>
      <c r="BB42" s="46">
        <f t="shared" ca="1" si="23"/>
        <v>0.125</v>
      </c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s="8" customFormat="1" ht="15" customHeight="1" x14ac:dyDescent="0.35">
      <c r="A43" s="2" t="s">
        <v>50</v>
      </c>
      <c r="B43" s="24">
        <f ca="1">ROUND(FIRE1121_raw!B43,0)</f>
        <v>8</v>
      </c>
      <c r="C43" s="24">
        <f ca="1">ROUND(FIRE1121_raw!C43,0)</f>
        <v>0</v>
      </c>
      <c r="D43" s="24">
        <f ca="1">ROUND(FIRE1121_raw!D43,0)</f>
        <v>0</v>
      </c>
      <c r="E43" s="24">
        <f ca="1">ROUND(FIRE1121_raw!E43,0)</f>
        <v>0</v>
      </c>
      <c r="F43" s="24">
        <f ca="1">ROUND(FIRE1121_raw!F43,0)</f>
        <v>0</v>
      </c>
      <c r="G43" s="24">
        <f ca="1">ROUND(FIRE1121_raw!G43,0)</f>
        <v>0</v>
      </c>
      <c r="H43" s="46">
        <f t="shared" ca="1" si="7"/>
        <v>0</v>
      </c>
      <c r="I43" s="46">
        <f t="shared" ca="1" si="8"/>
        <v>0</v>
      </c>
      <c r="J43" s="24"/>
      <c r="K43" s="24">
        <f ca="1">ROUND(FIRE1121_raw!K43,0)</f>
        <v>16</v>
      </c>
      <c r="L43" s="24">
        <f ca="1">ROUND(FIRE1121_raw!L43,0)</f>
        <v>0</v>
      </c>
      <c r="M43" s="24">
        <f ca="1">ROUND(FIRE1121_raw!M43,0)</f>
        <v>0</v>
      </c>
      <c r="N43" s="24">
        <f ca="1">ROUND(FIRE1121_raw!N43,0)</f>
        <v>0</v>
      </c>
      <c r="O43" s="24">
        <f ca="1">ROUND(FIRE1121_raw!O43,0)</f>
        <v>0</v>
      </c>
      <c r="P43" s="24">
        <f ca="1">ROUND(FIRE1121_raw!P43,0)</f>
        <v>0</v>
      </c>
      <c r="Q43" s="46">
        <f t="shared" ca="1" si="10"/>
        <v>0</v>
      </c>
      <c r="R43" s="46">
        <f t="shared" ca="1" si="11"/>
        <v>0</v>
      </c>
      <c r="S43" s="24"/>
      <c r="T43" s="22">
        <f t="shared" ca="1" si="12"/>
        <v>24</v>
      </c>
      <c r="U43" s="22">
        <f t="shared" ca="1" si="12"/>
        <v>0</v>
      </c>
      <c r="V43" s="22">
        <f t="shared" ca="1" si="12"/>
        <v>0</v>
      </c>
      <c r="W43" s="22">
        <f t="shared" ca="1" si="12"/>
        <v>0</v>
      </c>
      <c r="X43" s="22">
        <f t="shared" ca="1" si="12"/>
        <v>0</v>
      </c>
      <c r="Y43" s="22">
        <f t="shared" ca="1" si="12"/>
        <v>0</v>
      </c>
      <c r="Z43" s="46">
        <f t="shared" ca="1" si="13"/>
        <v>0</v>
      </c>
      <c r="AA43" s="46">
        <f t="shared" ca="1" si="14"/>
        <v>0</v>
      </c>
      <c r="AB43" s="24"/>
      <c r="AC43" s="24">
        <f ca="1">ROUND(FIRE1121_raw!AC43,0)</f>
        <v>0</v>
      </c>
      <c r="AD43" s="24">
        <f ca="1">ROUND(FIRE1121_raw!AD43,0)</f>
        <v>0</v>
      </c>
      <c r="AE43" s="24">
        <f ca="1">ROUND(FIRE1121_raw!AE43,0)</f>
        <v>0</v>
      </c>
      <c r="AF43" s="24">
        <f ca="1">ROUND(FIRE1121_raw!AF43,0)</f>
        <v>0</v>
      </c>
      <c r="AG43" s="24">
        <f ca="1">ROUND(FIRE1121_raw!AG43,0)</f>
        <v>0</v>
      </c>
      <c r="AH43" s="24">
        <f ca="1">ROUND(FIRE1121_raw!AH43,0)</f>
        <v>0</v>
      </c>
      <c r="AI43" s="46" t="str">
        <f t="shared" ca="1" si="16"/>
        <v>-</v>
      </c>
      <c r="AJ43" s="46" t="str">
        <f t="shared" ca="1" si="17"/>
        <v>-</v>
      </c>
      <c r="AK43" s="24"/>
      <c r="AL43" s="24">
        <f ca="1">ROUND(FIRE1121_raw!AL43,0)</f>
        <v>10</v>
      </c>
      <c r="AM43" s="24">
        <f ca="1">ROUND(FIRE1121_raw!AM43,0)</f>
        <v>0</v>
      </c>
      <c r="AN43" s="24">
        <f ca="1">ROUND(FIRE1121_raw!AN43,0)</f>
        <v>0</v>
      </c>
      <c r="AO43" s="24">
        <f ca="1">ROUND(FIRE1121_raw!AO43,0)</f>
        <v>0</v>
      </c>
      <c r="AP43" s="24">
        <f ca="1">ROUND(FIRE1121_raw!AP43,0)</f>
        <v>0</v>
      </c>
      <c r="AQ43" s="24">
        <f ca="1">ROUND(FIRE1121_raw!AQ43,0)</f>
        <v>0</v>
      </c>
      <c r="AR43" s="46">
        <f t="shared" ca="1" si="19"/>
        <v>0</v>
      </c>
      <c r="AS43" s="46">
        <f t="shared" ca="1" si="20"/>
        <v>0</v>
      </c>
      <c r="AT43" s="24"/>
      <c r="AU43" s="22">
        <f t="shared" ca="1" si="21"/>
        <v>34</v>
      </c>
      <c r="AV43" s="22">
        <f t="shared" ca="1" si="21"/>
        <v>0</v>
      </c>
      <c r="AW43" s="22">
        <f t="shared" ca="1" si="21"/>
        <v>0</v>
      </c>
      <c r="AX43" s="22">
        <f t="shared" ca="1" si="21"/>
        <v>0</v>
      </c>
      <c r="AY43" s="22">
        <f t="shared" ca="1" si="21"/>
        <v>0</v>
      </c>
      <c r="AZ43" s="22">
        <f t="shared" ca="1" si="21"/>
        <v>0</v>
      </c>
      <c r="BA43" s="46">
        <f t="shared" ca="1" si="22"/>
        <v>0</v>
      </c>
      <c r="BB43" s="46">
        <f t="shared" ca="1" si="23"/>
        <v>0</v>
      </c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 s="8" customFormat="1" ht="15" customHeight="1" x14ac:dyDescent="0.35">
      <c r="A44" s="2" t="s">
        <v>51</v>
      </c>
      <c r="B44" s="24">
        <f ca="1">ROUND(FIRE1121_raw!B44,0)</f>
        <v>1</v>
      </c>
      <c r="C44" s="24">
        <f ca="1">ROUND(FIRE1121_raw!C44,0)</f>
        <v>0</v>
      </c>
      <c r="D44" s="24">
        <f ca="1">ROUND(FIRE1121_raw!D44,0)</f>
        <v>0</v>
      </c>
      <c r="E44" s="24">
        <f ca="1">ROUND(FIRE1121_raw!E44,0)</f>
        <v>0</v>
      </c>
      <c r="F44" s="24">
        <f ca="1">ROUND(FIRE1121_raw!F44,0)</f>
        <v>0</v>
      </c>
      <c r="G44" s="24">
        <f ca="1">ROUND(FIRE1121_raw!G44,0)</f>
        <v>1</v>
      </c>
      <c r="H44" s="46">
        <f t="shared" ca="1" si="7"/>
        <v>0</v>
      </c>
      <c r="I44" s="46">
        <f t="shared" ca="1" si="8"/>
        <v>0.5</v>
      </c>
      <c r="J44" s="24"/>
      <c r="K44" s="24">
        <f ca="1">ROUND(FIRE1121_raw!K44,0)</f>
        <v>2</v>
      </c>
      <c r="L44" s="24">
        <f ca="1">ROUND(FIRE1121_raw!L44,0)</f>
        <v>0</v>
      </c>
      <c r="M44" s="24">
        <f ca="1">ROUND(FIRE1121_raw!M44,0)</f>
        <v>0</v>
      </c>
      <c r="N44" s="24">
        <f ca="1">ROUND(FIRE1121_raw!N44,0)</f>
        <v>0</v>
      </c>
      <c r="O44" s="24">
        <f ca="1">ROUND(FIRE1121_raw!O44,0)</f>
        <v>0</v>
      </c>
      <c r="P44" s="24">
        <f ca="1">ROUND(FIRE1121_raw!P44,0)</f>
        <v>47</v>
      </c>
      <c r="Q44" s="46">
        <f t="shared" ca="1" si="10"/>
        <v>0</v>
      </c>
      <c r="R44" s="46">
        <f t="shared" ca="1" si="11"/>
        <v>0.95918367346938771</v>
      </c>
      <c r="S44" s="24"/>
      <c r="T44" s="22">
        <f t="shared" ca="1" si="12"/>
        <v>3</v>
      </c>
      <c r="U44" s="22">
        <f t="shared" ca="1" si="12"/>
        <v>0</v>
      </c>
      <c r="V44" s="22">
        <f t="shared" ca="1" si="12"/>
        <v>0</v>
      </c>
      <c r="W44" s="22">
        <f t="shared" ca="1" si="12"/>
        <v>0</v>
      </c>
      <c r="X44" s="22">
        <f t="shared" ca="1" si="12"/>
        <v>0</v>
      </c>
      <c r="Y44" s="22">
        <f t="shared" ca="1" si="12"/>
        <v>48</v>
      </c>
      <c r="Z44" s="46">
        <f t="shared" ca="1" si="13"/>
        <v>0</v>
      </c>
      <c r="AA44" s="46">
        <f t="shared" ca="1" si="14"/>
        <v>0.94117647058823528</v>
      </c>
      <c r="AB44" s="24"/>
      <c r="AC44" s="24">
        <f ca="1">ROUND(FIRE1121_raw!AC44,0)</f>
        <v>0</v>
      </c>
      <c r="AD44" s="24">
        <f ca="1">ROUND(FIRE1121_raw!AD44,0)</f>
        <v>0</v>
      </c>
      <c r="AE44" s="24">
        <f ca="1">ROUND(FIRE1121_raw!AE44,0)</f>
        <v>0</v>
      </c>
      <c r="AF44" s="24">
        <f ca="1">ROUND(FIRE1121_raw!AF44,0)</f>
        <v>0</v>
      </c>
      <c r="AG44" s="24">
        <f ca="1">ROUND(FIRE1121_raw!AG44,0)</f>
        <v>0</v>
      </c>
      <c r="AH44" s="24">
        <f ca="1">ROUND(FIRE1121_raw!AH44,0)</f>
        <v>0</v>
      </c>
      <c r="AI44" s="46" t="str">
        <f t="shared" ca="1" si="16"/>
        <v>-</v>
      </c>
      <c r="AJ44" s="46" t="str">
        <f t="shared" ca="1" si="17"/>
        <v>-</v>
      </c>
      <c r="AK44" s="24"/>
      <c r="AL44" s="24">
        <f ca="1">ROUND(FIRE1121_raw!AL44,0)</f>
        <v>5</v>
      </c>
      <c r="AM44" s="24">
        <f ca="1">ROUND(FIRE1121_raw!AM44,0)</f>
        <v>0</v>
      </c>
      <c r="AN44" s="24">
        <f ca="1">ROUND(FIRE1121_raw!AN44,0)</f>
        <v>0</v>
      </c>
      <c r="AO44" s="24">
        <f ca="1">ROUND(FIRE1121_raw!AO44,0)</f>
        <v>0</v>
      </c>
      <c r="AP44" s="24">
        <f ca="1">ROUND(FIRE1121_raw!AP44,0)</f>
        <v>0</v>
      </c>
      <c r="AQ44" s="24">
        <f ca="1">ROUND(FIRE1121_raw!AQ44,0)</f>
        <v>1</v>
      </c>
      <c r="AR44" s="46">
        <f t="shared" ca="1" si="19"/>
        <v>0</v>
      </c>
      <c r="AS44" s="46">
        <f t="shared" ca="1" si="20"/>
        <v>0.16666666666666666</v>
      </c>
      <c r="AT44" s="24"/>
      <c r="AU44" s="22">
        <f t="shared" ca="1" si="21"/>
        <v>8</v>
      </c>
      <c r="AV44" s="22">
        <f t="shared" ca="1" si="21"/>
        <v>0</v>
      </c>
      <c r="AW44" s="22">
        <f t="shared" ca="1" si="21"/>
        <v>0</v>
      </c>
      <c r="AX44" s="22">
        <f t="shared" ca="1" si="21"/>
        <v>0</v>
      </c>
      <c r="AY44" s="22">
        <f t="shared" ca="1" si="21"/>
        <v>0</v>
      </c>
      <c r="AZ44" s="22">
        <f t="shared" ca="1" si="21"/>
        <v>49</v>
      </c>
      <c r="BA44" s="46">
        <f t="shared" ca="1" si="22"/>
        <v>0</v>
      </c>
      <c r="BB44" s="46">
        <f t="shared" ca="1" si="23"/>
        <v>0.85964912280701755</v>
      </c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 s="8" customFormat="1" ht="15" customHeight="1" x14ac:dyDescent="0.35">
      <c r="A45" s="2" t="s">
        <v>52</v>
      </c>
      <c r="B45" s="24">
        <f ca="1">ROUND(FIRE1121_raw!B45,0)</f>
        <v>5</v>
      </c>
      <c r="C45" s="24">
        <f ca="1">ROUND(FIRE1121_raw!C45,0)</f>
        <v>0</v>
      </c>
      <c r="D45" s="24">
        <f ca="1">ROUND(FIRE1121_raw!D45,0)</f>
        <v>0</v>
      </c>
      <c r="E45" s="24">
        <f ca="1">ROUND(FIRE1121_raw!E45,0)</f>
        <v>0</v>
      </c>
      <c r="F45" s="24">
        <f ca="1">ROUND(FIRE1121_raw!F45,0)</f>
        <v>0</v>
      </c>
      <c r="G45" s="24">
        <f ca="1">ROUND(FIRE1121_raw!G45,0)</f>
        <v>3</v>
      </c>
      <c r="H45" s="46">
        <f t="shared" ca="1" si="7"/>
        <v>0</v>
      </c>
      <c r="I45" s="46">
        <f t="shared" ca="1" si="8"/>
        <v>0.375</v>
      </c>
      <c r="J45" s="24"/>
      <c r="K45" s="24">
        <f ca="1">ROUND(FIRE1121_raw!K45,0)</f>
        <v>5</v>
      </c>
      <c r="L45" s="24">
        <f ca="1">ROUND(FIRE1121_raw!L45,0)</f>
        <v>0</v>
      </c>
      <c r="M45" s="24">
        <f ca="1">ROUND(FIRE1121_raw!M45,0)</f>
        <v>0</v>
      </c>
      <c r="N45" s="24">
        <f ca="1">ROUND(FIRE1121_raw!N45,0)</f>
        <v>0</v>
      </c>
      <c r="O45" s="24">
        <f ca="1">ROUND(FIRE1121_raw!O45,0)</f>
        <v>0</v>
      </c>
      <c r="P45" s="24">
        <f ca="1">ROUND(FIRE1121_raw!P45,0)</f>
        <v>4</v>
      </c>
      <c r="Q45" s="46">
        <f t="shared" ca="1" si="10"/>
        <v>0</v>
      </c>
      <c r="R45" s="46">
        <f t="shared" ca="1" si="11"/>
        <v>0.44444444444444442</v>
      </c>
      <c r="S45" s="24"/>
      <c r="T45" s="22">
        <f t="shared" ca="1" si="12"/>
        <v>10</v>
      </c>
      <c r="U45" s="22">
        <f t="shared" ca="1" si="12"/>
        <v>0</v>
      </c>
      <c r="V45" s="22">
        <f t="shared" ca="1" si="12"/>
        <v>0</v>
      </c>
      <c r="W45" s="22">
        <f t="shared" ca="1" si="12"/>
        <v>0</v>
      </c>
      <c r="X45" s="22">
        <f t="shared" ca="1" si="12"/>
        <v>0</v>
      </c>
      <c r="Y45" s="22">
        <f t="shared" ca="1" si="12"/>
        <v>7</v>
      </c>
      <c r="Z45" s="46">
        <f t="shared" ca="1" si="13"/>
        <v>0</v>
      </c>
      <c r="AA45" s="46">
        <f t="shared" ca="1" si="14"/>
        <v>0.41176470588235292</v>
      </c>
      <c r="AB45" s="24"/>
      <c r="AC45" s="24">
        <f ca="1">ROUND(FIRE1121_raw!AC45,0)</f>
        <v>1</v>
      </c>
      <c r="AD45" s="24">
        <f ca="1">ROUND(FIRE1121_raw!AD45,0)</f>
        <v>0</v>
      </c>
      <c r="AE45" s="24">
        <f ca="1">ROUND(FIRE1121_raw!AE45,0)</f>
        <v>0</v>
      </c>
      <c r="AF45" s="24">
        <f ca="1">ROUND(FIRE1121_raw!AF45,0)</f>
        <v>0</v>
      </c>
      <c r="AG45" s="24">
        <f ca="1">ROUND(FIRE1121_raw!AG45,0)</f>
        <v>0</v>
      </c>
      <c r="AH45" s="24">
        <f ca="1">ROUND(FIRE1121_raw!AH45,0)</f>
        <v>2</v>
      </c>
      <c r="AI45" s="46">
        <f t="shared" ca="1" si="16"/>
        <v>0</v>
      </c>
      <c r="AJ45" s="46">
        <f t="shared" ca="1" si="17"/>
        <v>0.66666666666666663</v>
      </c>
      <c r="AK45" s="24"/>
      <c r="AL45" s="24">
        <f ca="1">ROUND(FIRE1121_raw!AL45,0)</f>
        <v>1</v>
      </c>
      <c r="AM45" s="24">
        <f ca="1">ROUND(FIRE1121_raw!AM45,0)</f>
        <v>0</v>
      </c>
      <c r="AN45" s="24">
        <f ca="1">ROUND(FIRE1121_raw!AN45,0)</f>
        <v>0</v>
      </c>
      <c r="AO45" s="24">
        <f ca="1">ROUND(FIRE1121_raw!AO45,0)</f>
        <v>0</v>
      </c>
      <c r="AP45" s="24">
        <f ca="1">ROUND(FIRE1121_raw!AP45,0)</f>
        <v>0</v>
      </c>
      <c r="AQ45" s="24">
        <f ca="1">ROUND(FIRE1121_raw!AQ45,0)</f>
        <v>0</v>
      </c>
      <c r="AR45" s="46">
        <f t="shared" ca="1" si="19"/>
        <v>0</v>
      </c>
      <c r="AS45" s="46">
        <f t="shared" ca="1" si="20"/>
        <v>0</v>
      </c>
      <c r="AT45" s="24"/>
      <c r="AU45" s="22">
        <f t="shared" ca="1" si="21"/>
        <v>12</v>
      </c>
      <c r="AV45" s="22">
        <f t="shared" ca="1" si="21"/>
        <v>0</v>
      </c>
      <c r="AW45" s="22">
        <f t="shared" ca="1" si="21"/>
        <v>0</v>
      </c>
      <c r="AX45" s="22">
        <f t="shared" ca="1" si="21"/>
        <v>0</v>
      </c>
      <c r="AY45" s="22">
        <f t="shared" ca="1" si="21"/>
        <v>0</v>
      </c>
      <c r="AZ45" s="22">
        <f t="shared" ca="1" si="21"/>
        <v>9</v>
      </c>
      <c r="BA45" s="46">
        <f t="shared" ca="1" si="22"/>
        <v>0</v>
      </c>
      <c r="BB45" s="46">
        <f t="shared" ca="1" si="23"/>
        <v>0.42857142857142855</v>
      </c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 s="8" customFormat="1" ht="15" customHeight="1" x14ac:dyDescent="0.35">
      <c r="A46" s="2" t="s">
        <v>53</v>
      </c>
      <c r="B46" s="24">
        <f ca="1">ROUND(FIRE1121_raw!B46,0)</f>
        <v>7</v>
      </c>
      <c r="C46" s="24">
        <f ca="1">ROUND(FIRE1121_raw!C46,0)</f>
        <v>0</v>
      </c>
      <c r="D46" s="24">
        <f ca="1">ROUND(FIRE1121_raw!D46,0)</f>
        <v>0</v>
      </c>
      <c r="E46" s="24">
        <f ca="1">ROUND(FIRE1121_raw!E46,0)</f>
        <v>0</v>
      </c>
      <c r="F46" s="24">
        <f ca="1">ROUND(FIRE1121_raw!F46,0)</f>
        <v>0</v>
      </c>
      <c r="G46" s="24">
        <f ca="1">ROUND(FIRE1121_raw!G46,0)</f>
        <v>24</v>
      </c>
      <c r="H46" s="46">
        <f t="shared" ca="1" si="7"/>
        <v>0</v>
      </c>
      <c r="I46" s="46">
        <f t="shared" ca="1" si="8"/>
        <v>0.77419354838709675</v>
      </c>
      <c r="J46" s="24"/>
      <c r="K46" s="24">
        <f ca="1">ROUND(FIRE1121_raw!K46,0)</f>
        <v>12</v>
      </c>
      <c r="L46" s="24">
        <f ca="1">ROUND(FIRE1121_raw!L46,0)</f>
        <v>0</v>
      </c>
      <c r="M46" s="24">
        <f ca="1">ROUND(FIRE1121_raw!M46,0)</f>
        <v>0</v>
      </c>
      <c r="N46" s="24">
        <f ca="1">ROUND(FIRE1121_raw!N46,0)</f>
        <v>0</v>
      </c>
      <c r="O46" s="24">
        <f ca="1">ROUND(FIRE1121_raw!O46,0)</f>
        <v>0</v>
      </c>
      <c r="P46" s="24">
        <f ca="1">ROUND(FIRE1121_raw!P46,0)</f>
        <v>8</v>
      </c>
      <c r="Q46" s="46">
        <f t="shared" ca="1" si="10"/>
        <v>0</v>
      </c>
      <c r="R46" s="46">
        <f t="shared" ca="1" si="11"/>
        <v>0.4</v>
      </c>
      <c r="S46" s="24"/>
      <c r="T46" s="22">
        <f t="shared" ca="1" si="12"/>
        <v>19</v>
      </c>
      <c r="U46" s="22">
        <f t="shared" ca="1" si="12"/>
        <v>0</v>
      </c>
      <c r="V46" s="22">
        <f t="shared" ca="1" si="12"/>
        <v>0</v>
      </c>
      <c r="W46" s="22">
        <f t="shared" ca="1" si="12"/>
        <v>0</v>
      </c>
      <c r="X46" s="22">
        <f t="shared" ca="1" si="12"/>
        <v>0</v>
      </c>
      <c r="Y46" s="22">
        <f t="shared" ca="1" si="12"/>
        <v>32</v>
      </c>
      <c r="Z46" s="46">
        <f t="shared" ca="1" si="13"/>
        <v>0</v>
      </c>
      <c r="AA46" s="46">
        <f t="shared" ca="1" si="14"/>
        <v>0.62745098039215685</v>
      </c>
      <c r="AB46" s="24"/>
      <c r="AC46" s="24">
        <f ca="1">ROUND(FIRE1121_raw!AC46,0)</f>
        <v>3</v>
      </c>
      <c r="AD46" s="24">
        <f ca="1">ROUND(FIRE1121_raw!AD46,0)</f>
        <v>0</v>
      </c>
      <c r="AE46" s="24">
        <f ca="1">ROUND(FIRE1121_raw!AE46,0)</f>
        <v>0</v>
      </c>
      <c r="AF46" s="24">
        <f ca="1">ROUND(FIRE1121_raw!AF46,0)</f>
        <v>0</v>
      </c>
      <c r="AG46" s="24">
        <f ca="1">ROUND(FIRE1121_raw!AG46,0)</f>
        <v>0</v>
      </c>
      <c r="AH46" s="24">
        <f ca="1">ROUND(FIRE1121_raw!AH46,0)</f>
        <v>0</v>
      </c>
      <c r="AI46" s="46">
        <f t="shared" ca="1" si="16"/>
        <v>0</v>
      </c>
      <c r="AJ46" s="46">
        <f t="shared" ca="1" si="17"/>
        <v>0</v>
      </c>
      <c r="AK46" s="24"/>
      <c r="AL46" s="24">
        <f ca="1">ROUND(FIRE1121_raw!AL46,0)</f>
        <v>12</v>
      </c>
      <c r="AM46" s="24">
        <f ca="1">ROUND(FIRE1121_raw!AM46,0)</f>
        <v>0</v>
      </c>
      <c r="AN46" s="24">
        <f ca="1">ROUND(FIRE1121_raw!AN46,0)</f>
        <v>1</v>
      </c>
      <c r="AO46" s="24">
        <f ca="1">ROUND(FIRE1121_raw!AO46,0)</f>
        <v>0</v>
      </c>
      <c r="AP46" s="24">
        <f ca="1">ROUND(FIRE1121_raw!AP46,0)</f>
        <v>0</v>
      </c>
      <c r="AQ46" s="24">
        <f ca="1">ROUND(FIRE1121_raw!AQ46,0)</f>
        <v>7</v>
      </c>
      <c r="AR46" s="46">
        <f t="shared" ca="1" si="19"/>
        <v>7.6923076923076927E-2</v>
      </c>
      <c r="AS46" s="46">
        <f t="shared" ca="1" si="20"/>
        <v>0.35</v>
      </c>
      <c r="AT46" s="24"/>
      <c r="AU46" s="22">
        <f t="shared" ca="1" si="21"/>
        <v>34</v>
      </c>
      <c r="AV46" s="22">
        <f t="shared" ca="1" si="21"/>
        <v>0</v>
      </c>
      <c r="AW46" s="22">
        <f t="shared" ca="1" si="21"/>
        <v>1</v>
      </c>
      <c r="AX46" s="22">
        <f t="shared" ca="1" si="21"/>
        <v>0</v>
      </c>
      <c r="AY46" s="22">
        <f t="shared" ca="1" si="21"/>
        <v>0</v>
      </c>
      <c r="AZ46" s="22">
        <f t="shared" ca="1" si="21"/>
        <v>39</v>
      </c>
      <c r="BA46" s="46">
        <f t="shared" ca="1" si="22"/>
        <v>2.8571428571428571E-2</v>
      </c>
      <c r="BB46" s="46">
        <f t="shared" ca="1" si="23"/>
        <v>0.52702702702702697</v>
      </c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s="8" customFormat="1" ht="15" customHeight="1" x14ac:dyDescent="0.35">
      <c r="A47" s="2" t="s">
        <v>54</v>
      </c>
      <c r="B47" s="24">
        <f ca="1">ROUND(FIRE1121_raw!B47,0)</f>
        <v>12</v>
      </c>
      <c r="C47" s="24">
        <f ca="1">ROUND(FIRE1121_raw!C47,0)</f>
        <v>0</v>
      </c>
      <c r="D47" s="24">
        <f ca="1">ROUND(FIRE1121_raw!D47,0)</f>
        <v>0</v>
      </c>
      <c r="E47" s="24">
        <f ca="1">ROUND(FIRE1121_raw!E47,0)</f>
        <v>0</v>
      </c>
      <c r="F47" s="24">
        <f ca="1">ROUND(FIRE1121_raw!F47,0)</f>
        <v>0</v>
      </c>
      <c r="G47" s="24">
        <f ca="1">ROUND(FIRE1121_raw!G47,0)</f>
        <v>12</v>
      </c>
      <c r="H47" s="46">
        <f t="shared" ca="1" si="7"/>
        <v>0</v>
      </c>
      <c r="I47" s="46">
        <f t="shared" ca="1" si="8"/>
        <v>0.5</v>
      </c>
      <c r="J47" s="24"/>
      <c r="K47" s="24">
        <f ca="1">ROUND(FIRE1121_raw!K47,0)</f>
        <v>37</v>
      </c>
      <c r="L47" s="24">
        <f ca="1">ROUND(FIRE1121_raw!L47,0)</f>
        <v>1</v>
      </c>
      <c r="M47" s="24">
        <f ca="1">ROUND(FIRE1121_raw!M47,0)</f>
        <v>0</v>
      </c>
      <c r="N47" s="24">
        <f ca="1">ROUND(FIRE1121_raw!N47,0)</f>
        <v>0</v>
      </c>
      <c r="O47" s="24">
        <f ca="1">ROUND(FIRE1121_raw!O47,0)</f>
        <v>0</v>
      </c>
      <c r="P47" s="24">
        <f ca="1">ROUND(FIRE1121_raw!P47,0)</f>
        <v>9</v>
      </c>
      <c r="Q47" s="46">
        <f t="shared" ca="1" si="10"/>
        <v>2.6315789473684209E-2</v>
      </c>
      <c r="R47" s="46">
        <f t="shared" ca="1" si="11"/>
        <v>0.19148936170212766</v>
      </c>
      <c r="S47" s="24"/>
      <c r="T47" s="22">
        <f t="shared" ca="1" si="12"/>
        <v>49</v>
      </c>
      <c r="U47" s="22">
        <f t="shared" ca="1" si="12"/>
        <v>1</v>
      </c>
      <c r="V47" s="22">
        <f t="shared" ca="1" si="12"/>
        <v>0</v>
      </c>
      <c r="W47" s="22">
        <f t="shared" ca="1" si="12"/>
        <v>0</v>
      </c>
      <c r="X47" s="22">
        <f t="shared" ca="1" si="12"/>
        <v>0</v>
      </c>
      <c r="Y47" s="22">
        <f t="shared" ca="1" si="12"/>
        <v>21</v>
      </c>
      <c r="Z47" s="46">
        <f t="shared" ca="1" si="13"/>
        <v>0.02</v>
      </c>
      <c r="AA47" s="46">
        <f t="shared" ca="1" si="14"/>
        <v>0.29577464788732394</v>
      </c>
      <c r="AB47" s="24"/>
      <c r="AC47" s="24">
        <f ca="1">ROUND(FIRE1121_raw!AC47,0)</f>
        <v>0</v>
      </c>
      <c r="AD47" s="24">
        <f ca="1">ROUND(FIRE1121_raw!AD47,0)</f>
        <v>0</v>
      </c>
      <c r="AE47" s="24">
        <f ca="1">ROUND(FIRE1121_raw!AE47,0)</f>
        <v>0</v>
      </c>
      <c r="AF47" s="24">
        <f ca="1">ROUND(FIRE1121_raw!AF47,0)</f>
        <v>0</v>
      </c>
      <c r="AG47" s="24">
        <f ca="1">ROUND(FIRE1121_raw!AG47,0)</f>
        <v>0</v>
      </c>
      <c r="AH47" s="24">
        <f ca="1">ROUND(FIRE1121_raw!AH47,0)</f>
        <v>0</v>
      </c>
      <c r="AI47" s="46" t="str">
        <f t="shared" ca="1" si="16"/>
        <v>-</v>
      </c>
      <c r="AJ47" s="46" t="str">
        <f t="shared" ca="1" si="17"/>
        <v>-</v>
      </c>
      <c r="AK47" s="24"/>
      <c r="AL47" s="24">
        <f ca="1">ROUND(FIRE1121_raw!AL47,0)</f>
        <v>10</v>
      </c>
      <c r="AM47" s="24">
        <f ca="1">ROUND(FIRE1121_raw!AM47,0)</f>
        <v>0</v>
      </c>
      <c r="AN47" s="24">
        <f ca="1">ROUND(FIRE1121_raw!AN47,0)</f>
        <v>0</v>
      </c>
      <c r="AO47" s="24">
        <f ca="1">ROUND(FIRE1121_raw!AO47,0)</f>
        <v>0</v>
      </c>
      <c r="AP47" s="24">
        <f ca="1">ROUND(FIRE1121_raw!AP47,0)</f>
        <v>0</v>
      </c>
      <c r="AQ47" s="24">
        <f ca="1">ROUND(FIRE1121_raw!AQ47,0)</f>
        <v>0</v>
      </c>
      <c r="AR47" s="46">
        <f t="shared" ca="1" si="19"/>
        <v>0</v>
      </c>
      <c r="AS47" s="46">
        <f t="shared" ca="1" si="20"/>
        <v>0</v>
      </c>
      <c r="AT47" s="24"/>
      <c r="AU47" s="22">
        <f t="shared" ca="1" si="21"/>
        <v>59</v>
      </c>
      <c r="AV47" s="22">
        <f t="shared" ca="1" si="21"/>
        <v>1</v>
      </c>
      <c r="AW47" s="22">
        <f t="shared" ca="1" si="21"/>
        <v>0</v>
      </c>
      <c r="AX47" s="22">
        <f t="shared" ca="1" si="21"/>
        <v>0</v>
      </c>
      <c r="AY47" s="22">
        <f t="shared" ca="1" si="21"/>
        <v>0</v>
      </c>
      <c r="AZ47" s="22">
        <f t="shared" ca="1" si="21"/>
        <v>21</v>
      </c>
      <c r="BA47" s="46">
        <f t="shared" ca="1" si="22"/>
        <v>1.6666666666666666E-2</v>
      </c>
      <c r="BB47" s="46">
        <f t="shared" ca="1" si="23"/>
        <v>0.25925925925925924</v>
      </c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s="8" customFormat="1" ht="15" customHeight="1" x14ac:dyDescent="0.35">
      <c r="A48" s="2" t="s">
        <v>55</v>
      </c>
      <c r="B48" s="24">
        <f ca="1">ROUND(FIRE1121_raw!B48,0)</f>
        <v>0</v>
      </c>
      <c r="C48" s="24">
        <f ca="1">ROUND(FIRE1121_raw!C48,0)</f>
        <v>0</v>
      </c>
      <c r="D48" s="24">
        <f ca="1">ROUND(FIRE1121_raw!D48,0)</f>
        <v>0</v>
      </c>
      <c r="E48" s="24">
        <f ca="1">ROUND(FIRE1121_raw!E48,0)</f>
        <v>0</v>
      </c>
      <c r="F48" s="24">
        <f ca="1">ROUND(FIRE1121_raw!F48,0)</f>
        <v>0</v>
      </c>
      <c r="G48" s="24">
        <f ca="1">ROUND(FIRE1121_raw!G48,0)</f>
        <v>0</v>
      </c>
      <c r="H48" s="46" t="str">
        <f t="shared" ca="1" si="7"/>
        <v>-</v>
      </c>
      <c r="I48" s="46" t="str">
        <f t="shared" ca="1" si="8"/>
        <v>-</v>
      </c>
      <c r="J48" s="24"/>
      <c r="K48" s="24">
        <f ca="1">ROUND(FIRE1121_raw!K48,0)</f>
        <v>0</v>
      </c>
      <c r="L48" s="24">
        <f ca="1">ROUND(FIRE1121_raw!L48,0)</f>
        <v>0</v>
      </c>
      <c r="M48" s="24">
        <f ca="1">ROUND(FIRE1121_raw!M48,0)</f>
        <v>0</v>
      </c>
      <c r="N48" s="24">
        <f ca="1">ROUND(FIRE1121_raw!N48,0)</f>
        <v>0</v>
      </c>
      <c r="O48" s="24">
        <f ca="1">ROUND(FIRE1121_raw!O48,0)</f>
        <v>0</v>
      </c>
      <c r="P48" s="24">
        <f ca="1">ROUND(FIRE1121_raw!P48,0)</f>
        <v>2</v>
      </c>
      <c r="Q48" s="46" t="str">
        <f t="shared" ca="1" si="10"/>
        <v>-</v>
      </c>
      <c r="R48" s="46">
        <f t="shared" ca="1" si="11"/>
        <v>1</v>
      </c>
      <c r="S48" s="24"/>
      <c r="T48" s="22">
        <f t="shared" ca="1" si="12"/>
        <v>0</v>
      </c>
      <c r="U48" s="22">
        <f t="shared" ca="1" si="12"/>
        <v>0</v>
      </c>
      <c r="V48" s="22">
        <f t="shared" ca="1" si="12"/>
        <v>0</v>
      </c>
      <c r="W48" s="22">
        <f t="shared" ca="1" si="12"/>
        <v>0</v>
      </c>
      <c r="X48" s="22">
        <f t="shared" ca="1" si="12"/>
        <v>0</v>
      </c>
      <c r="Y48" s="22">
        <f t="shared" ca="1" si="12"/>
        <v>2</v>
      </c>
      <c r="Z48" s="46" t="str">
        <f t="shared" ca="1" si="13"/>
        <v>-</v>
      </c>
      <c r="AA48" s="46">
        <f t="shared" ca="1" si="14"/>
        <v>1</v>
      </c>
      <c r="AB48" s="24"/>
      <c r="AC48" s="24">
        <f ca="1">ROUND(FIRE1121_raw!AC48,0)</f>
        <v>0</v>
      </c>
      <c r="AD48" s="24">
        <f ca="1">ROUND(FIRE1121_raw!AD48,0)</f>
        <v>0</v>
      </c>
      <c r="AE48" s="24">
        <f ca="1">ROUND(FIRE1121_raw!AE48,0)</f>
        <v>0</v>
      </c>
      <c r="AF48" s="24">
        <f ca="1">ROUND(FIRE1121_raw!AF48,0)</f>
        <v>0</v>
      </c>
      <c r="AG48" s="24">
        <f ca="1">ROUND(FIRE1121_raw!AG48,0)</f>
        <v>0</v>
      </c>
      <c r="AH48" s="24">
        <f ca="1">ROUND(FIRE1121_raw!AH48,0)</f>
        <v>0</v>
      </c>
      <c r="AI48" s="46" t="str">
        <f t="shared" ca="1" si="16"/>
        <v>-</v>
      </c>
      <c r="AJ48" s="46" t="str">
        <f t="shared" ca="1" si="17"/>
        <v>-</v>
      </c>
      <c r="AK48" s="24"/>
      <c r="AL48" s="24">
        <f ca="1">ROUND(FIRE1121_raw!AL48,0)</f>
        <v>0</v>
      </c>
      <c r="AM48" s="24">
        <f ca="1">ROUND(FIRE1121_raw!AM48,0)</f>
        <v>0</v>
      </c>
      <c r="AN48" s="24">
        <f ca="1">ROUND(FIRE1121_raw!AN48,0)</f>
        <v>0</v>
      </c>
      <c r="AO48" s="24">
        <f ca="1">ROUND(FIRE1121_raw!AO48,0)</f>
        <v>0</v>
      </c>
      <c r="AP48" s="24">
        <f ca="1">ROUND(FIRE1121_raw!AP48,0)</f>
        <v>0</v>
      </c>
      <c r="AQ48" s="24">
        <f ca="1">ROUND(FIRE1121_raw!AQ48,0)</f>
        <v>0</v>
      </c>
      <c r="AR48" s="46" t="str">
        <f t="shared" ca="1" si="19"/>
        <v>-</v>
      </c>
      <c r="AS48" s="46" t="str">
        <f t="shared" ca="1" si="20"/>
        <v>-</v>
      </c>
      <c r="AT48" s="24"/>
      <c r="AU48" s="22">
        <f t="shared" ca="1" si="21"/>
        <v>0</v>
      </c>
      <c r="AV48" s="22">
        <f t="shared" ca="1" si="21"/>
        <v>0</v>
      </c>
      <c r="AW48" s="22">
        <f t="shared" ca="1" si="21"/>
        <v>0</v>
      </c>
      <c r="AX48" s="22">
        <f t="shared" ca="1" si="21"/>
        <v>0</v>
      </c>
      <c r="AY48" s="22">
        <f t="shared" ca="1" si="21"/>
        <v>0</v>
      </c>
      <c r="AZ48" s="22">
        <f t="shared" ca="1" si="21"/>
        <v>2</v>
      </c>
      <c r="BA48" s="46" t="str">
        <f t="shared" ca="1" si="22"/>
        <v>-</v>
      </c>
      <c r="BB48" s="46">
        <f t="shared" ca="1" si="23"/>
        <v>1</v>
      </c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s="79" customFormat="1" ht="15" customHeight="1" x14ac:dyDescent="0.35">
      <c r="A49" s="21" t="s">
        <v>56</v>
      </c>
      <c r="B49" s="71">
        <f ca="1">SUM(B50:B56)</f>
        <v>328</v>
      </c>
      <c r="C49" s="71">
        <f t="shared" ref="C49:G49" ca="1" si="24">SUM(C50:C56)</f>
        <v>37</v>
      </c>
      <c r="D49" s="71">
        <f t="shared" ca="1" si="24"/>
        <v>12</v>
      </c>
      <c r="E49" s="71">
        <f t="shared" ca="1" si="24"/>
        <v>17</v>
      </c>
      <c r="F49" s="71">
        <f t="shared" ca="1" si="24"/>
        <v>5</v>
      </c>
      <c r="G49" s="71">
        <f t="shared" ca="1" si="24"/>
        <v>41</v>
      </c>
      <c r="H49" s="76">
        <f t="shared" ca="1" si="7"/>
        <v>0.17794486215538846</v>
      </c>
      <c r="I49" s="76">
        <f t="shared" ca="1" si="8"/>
        <v>9.3181818181818185E-2</v>
      </c>
      <c r="J49" s="71"/>
      <c r="K49" s="71">
        <f ca="1">SUM(K50:K56)</f>
        <v>53</v>
      </c>
      <c r="L49" s="71">
        <f t="shared" ref="L49" ca="1" si="25">SUM(L50:L56)</f>
        <v>1</v>
      </c>
      <c r="M49" s="71">
        <f t="shared" ref="M49" ca="1" si="26">SUM(M50:M56)</f>
        <v>0</v>
      </c>
      <c r="N49" s="71">
        <f t="shared" ref="N49" ca="1" si="27">SUM(N50:N56)</f>
        <v>0</v>
      </c>
      <c r="O49" s="71">
        <f t="shared" ref="O49" ca="1" si="28">SUM(O50:O56)</f>
        <v>0</v>
      </c>
      <c r="P49" s="71">
        <f t="shared" ref="P49" ca="1" si="29">SUM(P50:P56)</f>
        <v>1</v>
      </c>
      <c r="Q49" s="76">
        <f t="shared" ca="1" si="10"/>
        <v>1.8518518518518517E-2</v>
      </c>
      <c r="R49" s="76">
        <f t="shared" ca="1" si="11"/>
        <v>1.8181818181818181E-2</v>
      </c>
      <c r="S49" s="71"/>
      <c r="T49" s="71">
        <f t="shared" ca="1" si="12"/>
        <v>381</v>
      </c>
      <c r="U49" s="71">
        <f t="shared" ca="1" si="12"/>
        <v>38</v>
      </c>
      <c r="V49" s="71">
        <f t="shared" ca="1" si="12"/>
        <v>12</v>
      </c>
      <c r="W49" s="71">
        <f t="shared" ca="1" si="12"/>
        <v>17</v>
      </c>
      <c r="X49" s="71">
        <f t="shared" ca="1" si="12"/>
        <v>5</v>
      </c>
      <c r="Y49" s="71">
        <f t="shared" ca="1" si="12"/>
        <v>42</v>
      </c>
      <c r="Z49" s="76">
        <f t="shared" ca="1" si="13"/>
        <v>0.15894039735099338</v>
      </c>
      <c r="AA49" s="76">
        <f t="shared" ca="1" si="14"/>
        <v>8.4848484848484854E-2</v>
      </c>
      <c r="AB49" s="71"/>
      <c r="AC49" s="71">
        <f ca="1">SUM(AC50:AC56)</f>
        <v>29</v>
      </c>
      <c r="AD49" s="71">
        <f t="shared" ref="AD49" ca="1" si="30">SUM(AD50:AD56)</f>
        <v>2</v>
      </c>
      <c r="AE49" s="71">
        <f t="shared" ref="AE49" ca="1" si="31">SUM(AE50:AE56)</f>
        <v>1</v>
      </c>
      <c r="AF49" s="71">
        <f t="shared" ref="AF49" ca="1" si="32">SUM(AF50:AF56)</f>
        <v>1</v>
      </c>
      <c r="AG49" s="71">
        <f t="shared" ref="AG49" ca="1" si="33">SUM(AG50:AG56)</f>
        <v>0</v>
      </c>
      <c r="AH49" s="71">
        <f t="shared" ref="AH49" ca="1" si="34">SUM(AH50:AH56)</f>
        <v>0</v>
      </c>
      <c r="AI49" s="76">
        <f t="shared" ca="1" si="16"/>
        <v>0.12121212121212122</v>
      </c>
      <c r="AJ49" s="76">
        <f t="shared" ca="1" si="17"/>
        <v>0</v>
      </c>
      <c r="AK49" s="71"/>
      <c r="AL49" s="71">
        <f ca="1">SUM(AL50:AL56)</f>
        <v>210</v>
      </c>
      <c r="AM49" s="71">
        <f t="shared" ref="AM49" ca="1" si="35">SUM(AM50:AM56)</f>
        <v>4</v>
      </c>
      <c r="AN49" s="71">
        <f t="shared" ref="AN49" ca="1" si="36">SUM(AN50:AN56)</f>
        <v>16</v>
      </c>
      <c r="AO49" s="71">
        <f t="shared" ref="AO49" ca="1" si="37">SUM(AO50:AO56)</f>
        <v>20</v>
      </c>
      <c r="AP49" s="71">
        <f t="shared" ref="AP49" ca="1" si="38">SUM(AP50:AP56)</f>
        <v>0</v>
      </c>
      <c r="AQ49" s="71">
        <f t="shared" ref="AQ49" ca="1" si="39">SUM(AQ50:AQ56)</f>
        <v>42</v>
      </c>
      <c r="AR49" s="76">
        <f t="shared" ca="1" si="19"/>
        <v>0.16</v>
      </c>
      <c r="AS49" s="76">
        <f t="shared" ca="1" si="20"/>
        <v>0.14383561643835616</v>
      </c>
      <c r="AT49" s="71"/>
      <c r="AU49" s="71">
        <f t="shared" ca="1" si="21"/>
        <v>620</v>
      </c>
      <c r="AV49" s="71">
        <f t="shared" ca="1" si="21"/>
        <v>44</v>
      </c>
      <c r="AW49" s="71">
        <f t="shared" ca="1" si="21"/>
        <v>29</v>
      </c>
      <c r="AX49" s="71">
        <f t="shared" ca="1" si="21"/>
        <v>38</v>
      </c>
      <c r="AY49" s="71">
        <f t="shared" ca="1" si="21"/>
        <v>5</v>
      </c>
      <c r="AZ49" s="71">
        <f t="shared" ca="1" si="21"/>
        <v>84</v>
      </c>
      <c r="BA49" s="76">
        <f t="shared" ca="1" si="22"/>
        <v>0.15760869565217392</v>
      </c>
      <c r="BB49" s="76">
        <f t="shared" ca="1" si="23"/>
        <v>0.1024390243902439</v>
      </c>
      <c r="BC49" s="78"/>
      <c r="BD49" s="78"/>
      <c r="BE49" s="78"/>
      <c r="BF49" s="78"/>
      <c r="BG49" s="78"/>
      <c r="BH49" s="78"/>
      <c r="BI49" s="78"/>
      <c r="BJ49" s="78"/>
      <c r="BK49" s="78"/>
    </row>
    <row r="50" spans="1:63" s="8" customFormat="1" ht="15" customHeight="1" x14ac:dyDescent="0.35">
      <c r="A50" s="2" t="s">
        <v>57</v>
      </c>
      <c r="B50" s="24">
        <f ca="1">ROUND(FIRE1121_raw!B50,0)</f>
        <v>16</v>
      </c>
      <c r="C50" s="24">
        <f ca="1">ROUND(FIRE1121_raw!C50,0)</f>
        <v>7</v>
      </c>
      <c r="D50" s="24">
        <f ca="1">ROUND(FIRE1121_raw!D50,0)</f>
        <v>2</v>
      </c>
      <c r="E50" s="24">
        <f ca="1">ROUND(FIRE1121_raw!E50,0)</f>
        <v>1</v>
      </c>
      <c r="F50" s="24">
        <f ca="1">ROUND(FIRE1121_raw!F50,0)</f>
        <v>1</v>
      </c>
      <c r="G50" s="24">
        <f ca="1">ROUND(FIRE1121_raw!G50,0)</f>
        <v>28</v>
      </c>
      <c r="H50" s="46">
        <f t="shared" ca="1" si="7"/>
        <v>0.40740740740740738</v>
      </c>
      <c r="I50" s="46">
        <f t="shared" ca="1" si="8"/>
        <v>0.50909090909090904</v>
      </c>
      <c r="J50" s="24"/>
      <c r="K50" s="24">
        <f ca="1">ROUND(FIRE1121_raw!K50,0)</f>
        <v>0</v>
      </c>
      <c r="L50" s="24">
        <f ca="1">ROUND(FIRE1121_raw!L50,0)</f>
        <v>0</v>
      </c>
      <c r="M50" s="24">
        <f ca="1">ROUND(FIRE1121_raw!M50,0)</f>
        <v>0</v>
      </c>
      <c r="N50" s="24">
        <f ca="1">ROUND(FIRE1121_raw!N50,0)</f>
        <v>0</v>
      </c>
      <c r="O50" s="24">
        <f ca="1">ROUND(FIRE1121_raw!O50,0)</f>
        <v>0</v>
      </c>
      <c r="P50" s="24">
        <f ca="1">ROUND(FIRE1121_raw!P50,0)</f>
        <v>0</v>
      </c>
      <c r="Q50" s="46" t="str">
        <f t="shared" ca="1" si="10"/>
        <v>-</v>
      </c>
      <c r="R50" s="46" t="str">
        <f t="shared" ca="1" si="11"/>
        <v>-</v>
      </c>
      <c r="S50" s="24"/>
      <c r="T50" s="22">
        <f t="shared" ca="1" si="12"/>
        <v>16</v>
      </c>
      <c r="U50" s="22">
        <f t="shared" ca="1" si="12"/>
        <v>7</v>
      </c>
      <c r="V50" s="22">
        <f t="shared" ca="1" si="12"/>
        <v>2</v>
      </c>
      <c r="W50" s="22">
        <f t="shared" ca="1" si="12"/>
        <v>1</v>
      </c>
      <c r="X50" s="22">
        <f t="shared" ca="1" si="12"/>
        <v>1</v>
      </c>
      <c r="Y50" s="22">
        <f t="shared" ca="1" si="12"/>
        <v>28</v>
      </c>
      <c r="Z50" s="46">
        <f t="shared" ca="1" si="13"/>
        <v>0.40740740740740738</v>
      </c>
      <c r="AA50" s="46">
        <f t="shared" ca="1" si="14"/>
        <v>0.50909090909090904</v>
      </c>
      <c r="AB50" s="24"/>
      <c r="AC50" s="24">
        <f ca="1">ROUND(FIRE1121_raw!AC50,0)</f>
        <v>0</v>
      </c>
      <c r="AD50" s="24">
        <f ca="1">ROUND(FIRE1121_raw!AD50,0)</f>
        <v>0</v>
      </c>
      <c r="AE50" s="24">
        <f ca="1">ROUND(FIRE1121_raw!AE50,0)</f>
        <v>0</v>
      </c>
      <c r="AF50" s="24">
        <f ca="1">ROUND(FIRE1121_raw!AF50,0)</f>
        <v>0</v>
      </c>
      <c r="AG50" s="24">
        <f ca="1">ROUND(FIRE1121_raw!AG50,0)</f>
        <v>0</v>
      </c>
      <c r="AH50" s="24">
        <f ca="1">ROUND(FIRE1121_raw!AH50,0)</f>
        <v>0</v>
      </c>
      <c r="AI50" s="46" t="str">
        <f t="shared" ca="1" si="16"/>
        <v>-</v>
      </c>
      <c r="AJ50" s="46" t="str">
        <f t="shared" ca="1" si="17"/>
        <v>-</v>
      </c>
      <c r="AK50" s="24"/>
      <c r="AL50" s="24">
        <f ca="1">ROUND(FIRE1121_raw!AL50,0)</f>
        <v>51</v>
      </c>
      <c r="AM50" s="24">
        <f ca="1">ROUND(FIRE1121_raw!AM50,0)</f>
        <v>1</v>
      </c>
      <c r="AN50" s="24">
        <f ca="1">ROUND(FIRE1121_raw!AN50,0)</f>
        <v>1</v>
      </c>
      <c r="AO50" s="24">
        <f ca="1">ROUND(FIRE1121_raw!AO50,0)</f>
        <v>2</v>
      </c>
      <c r="AP50" s="24">
        <f ca="1">ROUND(FIRE1121_raw!AP50,0)</f>
        <v>0</v>
      </c>
      <c r="AQ50" s="24">
        <f ca="1">ROUND(FIRE1121_raw!AQ50,0)</f>
        <v>24</v>
      </c>
      <c r="AR50" s="46">
        <f t="shared" ca="1" si="19"/>
        <v>7.2727272727272724E-2</v>
      </c>
      <c r="AS50" s="46">
        <f t="shared" ca="1" si="20"/>
        <v>0.30379746835443039</v>
      </c>
      <c r="AT50" s="24"/>
      <c r="AU50" s="22">
        <f t="shared" ca="1" si="21"/>
        <v>67</v>
      </c>
      <c r="AV50" s="22">
        <f t="shared" ca="1" si="21"/>
        <v>8</v>
      </c>
      <c r="AW50" s="22">
        <f t="shared" ca="1" si="21"/>
        <v>3</v>
      </c>
      <c r="AX50" s="22">
        <f t="shared" ca="1" si="21"/>
        <v>3</v>
      </c>
      <c r="AY50" s="22">
        <f t="shared" ca="1" si="21"/>
        <v>1</v>
      </c>
      <c r="AZ50" s="22">
        <f t="shared" ca="1" si="21"/>
        <v>52</v>
      </c>
      <c r="BA50" s="46">
        <f t="shared" ca="1" si="22"/>
        <v>0.18292682926829268</v>
      </c>
      <c r="BB50" s="46">
        <f t="shared" ca="1" si="23"/>
        <v>0.38805970149253732</v>
      </c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s="8" customFormat="1" ht="15" customHeight="1" x14ac:dyDescent="0.35">
      <c r="A51" s="2" t="s">
        <v>58</v>
      </c>
      <c r="B51" s="24">
        <f ca="1">ROUND(FIRE1121_raw!B51,0)</f>
        <v>26</v>
      </c>
      <c r="C51" s="24">
        <f ca="1">ROUND(FIRE1121_raw!C51,0)</f>
        <v>5</v>
      </c>
      <c r="D51" s="24">
        <f ca="1">ROUND(FIRE1121_raw!D51,0)</f>
        <v>0</v>
      </c>
      <c r="E51" s="24">
        <f ca="1">ROUND(FIRE1121_raw!E51,0)</f>
        <v>0</v>
      </c>
      <c r="F51" s="24">
        <f ca="1">ROUND(FIRE1121_raw!F51,0)</f>
        <v>0</v>
      </c>
      <c r="G51" s="24">
        <f ca="1">ROUND(FIRE1121_raw!G51,0)</f>
        <v>1</v>
      </c>
      <c r="H51" s="46">
        <f t="shared" ca="1" si="7"/>
        <v>0.16129032258064516</v>
      </c>
      <c r="I51" s="46">
        <f t="shared" ca="1" si="8"/>
        <v>3.125E-2</v>
      </c>
      <c r="J51" s="24"/>
      <c r="K51" s="24">
        <f ca="1">ROUND(FIRE1121_raw!K51,0)</f>
        <v>14</v>
      </c>
      <c r="L51" s="24">
        <f ca="1">ROUND(FIRE1121_raw!L51,0)</f>
        <v>1</v>
      </c>
      <c r="M51" s="24">
        <f ca="1">ROUND(FIRE1121_raw!M51,0)</f>
        <v>0</v>
      </c>
      <c r="N51" s="24">
        <f ca="1">ROUND(FIRE1121_raw!N51,0)</f>
        <v>0</v>
      </c>
      <c r="O51" s="24">
        <f ca="1">ROUND(FIRE1121_raw!O51,0)</f>
        <v>0</v>
      </c>
      <c r="P51" s="24">
        <f ca="1">ROUND(FIRE1121_raw!P51,0)</f>
        <v>1</v>
      </c>
      <c r="Q51" s="46">
        <f t="shared" ca="1" si="10"/>
        <v>6.6666666666666666E-2</v>
      </c>
      <c r="R51" s="46">
        <f t="shared" ca="1" si="11"/>
        <v>6.25E-2</v>
      </c>
      <c r="S51" s="24"/>
      <c r="T51" s="22">
        <f t="shared" ca="1" si="12"/>
        <v>40</v>
      </c>
      <c r="U51" s="22">
        <f t="shared" ca="1" si="12"/>
        <v>6</v>
      </c>
      <c r="V51" s="22">
        <f t="shared" ca="1" si="12"/>
        <v>0</v>
      </c>
      <c r="W51" s="22">
        <f t="shared" ca="1" si="12"/>
        <v>0</v>
      </c>
      <c r="X51" s="22">
        <f t="shared" ca="1" si="12"/>
        <v>0</v>
      </c>
      <c r="Y51" s="22">
        <f t="shared" ca="1" si="12"/>
        <v>2</v>
      </c>
      <c r="Z51" s="46">
        <f t="shared" ca="1" si="13"/>
        <v>0.13043478260869565</v>
      </c>
      <c r="AA51" s="46">
        <f t="shared" ca="1" si="14"/>
        <v>4.1666666666666664E-2</v>
      </c>
      <c r="AB51" s="24"/>
      <c r="AC51" s="24">
        <f ca="1">ROUND(FIRE1121_raw!AC51,0)</f>
        <v>7</v>
      </c>
      <c r="AD51" s="24">
        <f ca="1">ROUND(FIRE1121_raw!AD51,0)</f>
        <v>0</v>
      </c>
      <c r="AE51" s="24">
        <f ca="1">ROUND(FIRE1121_raw!AE51,0)</f>
        <v>0</v>
      </c>
      <c r="AF51" s="24">
        <f ca="1">ROUND(FIRE1121_raw!AF51,0)</f>
        <v>0</v>
      </c>
      <c r="AG51" s="24">
        <f ca="1">ROUND(FIRE1121_raw!AG51,0)</f>
        <v>0</v>
      </c>
      <c r="AH51" s="24">
        <f ca="1">ROUND(FIRE1121_raw!AH51,0)</f>
        <v>0</v>
      </c>
      <c r="AI51" s="46">
        <f t="shared" ca="1" si="16"/>
        <v>0</v>
      </c>
      <c r="AJ51" s="46">
        <f t="shared" ca="1" si="17"/>
        <v>0</v>
      </c>
      <c r="AK51" s="24"/>
      <c r="AL51" s="24">
        <f ca="1">ROUND(FIRE1121_raw!AL51,0)</f>
        <v>16</v>
      </c>
      <c r="AM51" s="24">
        <f ca="1">ROUND(FIRE1121_raw!AM51,0)</f>
        <v>0</v>
      </c>
      <c r="AN51" s="24">
        <f ca="1">ROUND(FIRE1121_raw!AN51,0)</f>
        <v>0</v>
      </c>
      <c r="AO51" s="24">
        <f ca="1">ROUND(FIRE1121_raw!AO51,0)</f>
        <v>0</v>
      </c>
      <c r="AP51" s="24">
        <f ca="1">ROUND(FIRE1121_raw!AP51,0)</f>
        <v>0</v>
      </c>
      <c r="AQ51" s="24">
        <f ca="1">ROUND(FIRE1121_raw!AQ51,0)</f>
        <v>1</v>
      </c>
      <c r="AR51" s="46">
        <f t="shared" ca="1" si="19"/>
        <v>0</v>
      </c>
      <c r="AS51" s="46">
        <f t="shared" ca="1" si="20"/>
        <v>5.8823529411764705E-2</v>
      </c>
      <c r="AT51" s="24"/>
      <c r="AU51" s="22">
        <f t="shared" ca="1" si="21"/>
        <v>63</v>
      </c>
      <c r="AV51" s="22">
        <f t="shared" ca="1" si="21"/>
        <v>6</v>
      </c>
      <c r="AW51" s="22">
        <f t="shared" ca="1" si="21"/>
        <v>0</v>
      </c>
      <c r="AX51" s="22">
        <f t="shared" ca="1" si="21"/>
        <v>0</v>
      </c>
      <c r="AY51" s="22">
        <f t="shared" ca="1" si="21"/>
        <v>0</v>
      </c>
      <c r="AZ51" s="22">
        <f t="shared" ca="1" si="21"/>
        <v>3</v>
      </c>
      <c r="BA51" s="46">
        <f t="shared" ca="1" si="22"/>
        <v>8.6956521739130432E-2</v>
      </c>
      <c r="BB51" s="46">
        <f t="shared" ca="1" si="23"/>
        <v>4.1666666666666664E-2</v>
      </c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s="8" customFormat="1" ht="15" customHeight="1" x14ac:dyDescent="0.35">
      <c r="A52" s="2" t="s">
        <v>59</v>
      </c>
      <c r="B52" s="24">
        <f ca="1">ROUND(FIRE1121_raw!B52,0)</f>
        <v>27</v>
      </c>
      <c r="C52" s="24">
        <f ca="1">ROUND(FIRE1121_raw!C52,0)</f>
        <v>4</v>
      </c>
      <c r="D52" s="24">
        <f ca="1">ROUND(FIRE1121_raw!D52,0)</f>
        <v>0</v>
      </c>
      <c r="E52" s="24">
        <f ca="1">ROUND(FIRE1121_raw!E52,0)</f>
        <v>0</v>
      </c>
      <c r="F52" s="24">
        <f ca="1">ROUND(FIRE1121_raw!F52,0)</f>
        <v>0</v>
      </c>
      <c r="G52" s="24">
        <f ca="1">ROUND(FIRE1121_raw!G52,0)</f>
        <v>1</v>
      </c>
      <c r="H52" s="46">
        <f t="shared" ca="1" si="7"/>
        <v>0.12903225806451613</v>
      </c>
      <c r="I52" s="46">
        <f t="shared" ca="1" si="8"/>
        <v>3.125E-2</v>
      </c>
      <c r="J52" s="24"/>
      <c r="K52" s="24">
        <f ca="1">ROUND(FIRE1121_raw!K52,0)</f>
        <v>26</v>
      </c>
      <c r="L52" s="24">
        <f ca="1">ROUND(FIRE1121_raw!L52,0)</f>
        <v>0</v>
      </c>
      <c r="M52" s="24">
        <f ca="1">ROUND(FIRE1121_raw!M52,0)</f>
        <v>0</v>
      </c>
      <c r="N52" s="24">
        <f ca="1">ROUND(FIRE1121_raw!N52,0)</f>
        <v>0</v>
      </c>
      <c r="O52" s="24">
        <f ca="1">ROUND(FIRE1121_raw!O52,0)</f>
        <v>0</v>
      </c>
      <c r="P52" s="24">
        <f ca="1">ROUND(FIRE1121_raw!P52,0)</f>
        <v>0</v>
      </c>
      <c r="Q52" s="46">
        <f t="shared" ca="1" si="10"/>
        <v>0</v>
      </c>
      <c r="R52" s="46">
        <f t="shared" ca="1" si="11"/>
        <v>0</v>
      </c>
      <c r="S52" s="24"/>
      <c r="T52" s="22">
        <f t="shared" ca="1" si="12"/>
        <v>53</v>
      </c>
      <c r="U52" s="22">
        <f t="shared" ca="1" si="12"/>
        <v>4</v>
      </c>
      <c r="V52" s="22">
        <f t="shared" ca="1" si="12"/>
        <v>0</v>
      </c>
      <c r="W52" s="22">
        <f t="shared" ca="1" si="12"/>
        <v>0</v>
      </c>
      <c r="X52" s="22">
        <f t="shared" ca="1" si="12"/>
        <v>0</v>
      </c>
      <c r="Y52" s="22">
        <f t="shared" ca="1" si="12"/>
        <v>1</v>
      </c>
      <c r="Z52" s="46">
        <f t="shared" ca="1" si="13"/>
        <v>7.0175438596491224E-2</v>
      </c>
      <c r="AA52" s="46">
        <f t="shared" ca="1" si="14"/>
        <v>1.7241379310344827E-2</v>
      </c>
      <c r="AB52" s="24"/>
      <c r="AC52" s="24">
        <f ca="1">ROUND(FIRE1121_raw!AC52,0)</f>
        <v>3</v>
      </c>
      <c r="AD52" s="24">
        <f ca="1">ROUND(FIRE1121_raw!AD52,0)</f>
        <v>0</v>
      </c>
      <c r="AE52" s="24">
        <f ca="1">ROUND(FIRE1121_raw!AE52,0)</f>
        <v>0</v>
      </c>
      <c r="AF52" s="24">
        <f ca="1">ROUND(FIRE1121_raw!AF52,0)</f>
        <v>0</v>
      </c>
      <c r="AG52" s="24">
        <f ca="1">ROUND(FIRE1121_raw!AG52,0)</f>
        <v>0</v>
      </c>
      <c r="AH52" s="24">
        <f ca="1">ROUND(FIRE1121_raw!AH52,0)</f>
        <v>0</v>
      </c>
      <c r="AI52" s="46">
        <f t="shared" ca="1" si="16"/>
        <v>0</v>
      </c>
      <c r="AJ52" s="46">
        <f t="shared" ca="1" si="17"/>
        <v>0</v>
      </c>
      <c r="AK52" s="24"/>
      <c r="AL52" s="24">
        <f ca="1">ROUND(FIRE1121_raw!AL52,0)</f>
        <v>35</v>
      </c>
      <c r="AM52" s="24">
        <f ca="1">ROUND(FIRE1121_raw!AM52,0)</f>
        <v>0</v>
      </c>
      <c r="AN52" s="24">
        <f ca="1">ROUND(FIRE1121_raw!AN52,0)</f>
        <v>2</v>
      </c>
      <c r="AO52" s="24">
        <f ca="1">ROUND(FIRE1121_raw!AO52,0)</f>
        <v>0</v>
      </c>
      <c r="AP52" s="24">
        <f ca="1">ROUND(FIRE1121_raw!AP52,0)</f>
        <v>0</v>
      </c>
      <c r="AQ52" s="24">
        <f ca="1">ROUND(FIRE1121_raw!AQ52,0)</f>
        <v>0</v>
      </c>
      <c r="AR52" s="46">
        <f t="shared" ca="1" si="19"/>
        <v>5.4054054054054057E-2</v>
      </c>
      <c r="AS52" s="46">
        <f t="shared" ca="1" si="20"/>
        <v>0</v>
      </c>
      <c r="AT52" s="24"/>
      <c r="AU52" s="22">
        <f t="shared" ca="1" si="21"/>
        <v>91</v>
      </c>
      <c r="AV52" s="22">
        <f t="shared" ca="1" si="21"/>
        <v>4</v>
      </c>
      <c r="AW52" s="22">
        <f t="shared" ca="1" si="21"/>
        <v>2</v>
      </c>
      <c r="AX52" s="22">
        <f t="shared" ca="1" si="21"/>
        <v>0</v>
      </c>
      <c r="AY52" s="22">
        <f t="shared" ca="1" si="21"/>
        <v>0</v>
      </c>
      <c r="AZ52" s="22">
        <f t="shared" ca="1" si="21"/>
        <v>1</v>
      </c>
      <c r="BA52" s="46">
        <f t="shared" ca="1" si="22"/>
        <v>6.1855670103092786E-2</v>
      </c>
      <c r="BB52" s="46">
        <f t="shared" ca="1" si="23"/>
        <v>1.020408163265306E-2</v>
      </c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s="8" customFormat="1" ht="15" customHeight="1" x14ac:dyDescent="0.35">
      <c r="A53" s="2" t="s">
        <v>60</v>
      </c>
      <c r="B53" s="24">
        <f ca="1">ROUND(FIRE1121_raw!B53,0)</f>
        <v>6</v>
      </c>
      <c r="C53" s="24">
        <f ca="1">ROUND(FIRE1121_raw!C53,0)</f>
        <v>0</v>
      </c>
      <c r="D53" s="24">
        <f ca="1">ROUND(FIRE1121_raw!D53,0)</f>
        <v>0</v>
      </c>
      <c r="E53" s="24">
        <f ca="1">ROUND(FIRE1121_raw!E53,0)</f>
        <v>0</v>
      </c>
      <c r="F53" s="24">
        <f ca="1">ROUND(FIRE1121_raw!F53,0)</f>
        <v>0</v>
      </c>
      <c r="G53" s="24">
        <f ca="1">ROUND(FIRE1121_raw!G53,0)</f>
        <v>0</v>
      </c>
      <c r="H53" s="46">
        <f t="shared" ca="1" si="7"/>
        <v>0</v>
      </c>
      <c r="I53" s="46">
        <f t="shared" ca="1" si="8"/>
        <v>0</v>
      </c>
      <c r="J53" s="24"/>
      <c r="K53" s="24">
        <f ca="1">ROUND(FIRE1121_raw!K53,0)</f>
        <v>6</v>
      </c>
      <c r="L53" s="24">
        <f ca="1">ROUND(FIRE1121_raw!L53,0)</f>
        <v>0</v>
      </c>
      <c r="M53" s="24">
        <f ca="1">ROUND(FIRE1121_raw!M53,0)</f>
        <v>0</v>
      </c>
      <c r="N53" s="24">
        <f ca="1">ROUND(FIRE1121_raw!N53,0)</f>
        <v>0</v>
      </c>
      <c r="O53" s="24">
        <f ca="1">ROUND(FIRE1121_raw!O53,0)</f>
        <v>0</v>
      </c>
      <c r="P53" s="24">
        <f ca="1">ROUND(FIRE1121_raw!P53,0)</f>
        <v>0</v>
      </c>
      <c r="Q53" s="46">
        <f t="shared" ca="1" si="10"/>
        <v>0</v>
      </c>
      <c r="R53" s="46">
        <f t="shared" ca="1" si="11"/>
        <v>0</v>
      </c>
      <c r="S53" s="24"/>
      <c r="T53" s="22">
        <f t="shared" ca="1" si="12"/>
        <v>12</v>
      </c>
      <c r="U53" s="22">
        <f t="shared" ca="1" si="12"/>
        <v>0</v>
      </c>
      <c r="V53" s="22">
        <f t="shared" ca="1" si="12"/>
        <v>0</v>
      </c>
      <c r="W53" s="22">
        <f t="shared" ca="1" si="12"/>
        <v>0</v>
      </c>
      <c r="X53" s="22">
        <f t="shared" ca="1" si="12"/>
        <v>0</v>
      </c>
      <c r="Y53" s="22">
        <f t="shared" ca="1" si="12"/>
        <v>0</v>
      </c>
      <c r="Z53" s="46">
        <f t="shared" ca="1" si="13"/>
        <v>0</v>
      </c>
      <c r="AA53" s="46">
        <f t="shared" ca="1" si="14"/>
        <v>0</v>
      </c>
      <c r="AB53" s="24"/>
      <c r="AC53" s="24">
        <f ca="1">ROUND(FIRE1121_raw!AC53,0)</f>
        <v>1</v>
      </c>
      <c r="AD53" s="24">
        <f ca="1">ROUND(FIRE1121_raw!AD53,0)</f>
        <v>0</v>
      </c>
      <c r="AE53" s="24">
        <f ca="1">ROUND(FIRE1121_raw!AE53,0)</f>
        <v>0</v>
      </c>
      <c r="AF53" s="24">
        <f ca="1">ROUND(FIRE1121_raw!AF53,0)</f>
        <v>0</v>
      </c>
      <c r="AG53" s="24">
        <f ca="1">ROUND(FIRE1121_raw!AG53,0)</f>
        <v>0</v>
      </c>
      <c r="AH53" s="24">
        <f ca="1">ROUND(FIRE1121_raw!AH53,0)</f>
        <v>0</v>
      </c>
      <c r="AI53" s="46">
        <f t="shared" ca="1" si="16"/>
        <v>0</v>
      </c>
      <c r="AJ53" s="46">
        <f t="shared" ca="1" si="17"/>
        <v>0</v>
      </c>
      <c r="AK53" s="24"/>
      <c r="AL53" s="24">
        <f ca="1">ROUND(FIRE1121_raw!AL53,0)</f>
        <v>20</v>
      </c>
      <c r="AM53" s="24">
        <f ca="1">ROUND(FIRE1121_raw!AM53,0)</f>
        <v>0</v>
      </c>
      <c r="AN53" s="24">
        <f ca="1">ROUND(FIRE1121_raw!AN53,0)</f>
        <v>1</v>
      </c>
      <c r="AO53" s="24">
        <f ca="1">ROUND(FIRE1121_raw!AO53,0)</f>
        <v>0</v>
      </c>
      <c r="AP53" s="24">
        <f ca="1">ROUND(FIRE1121_raw!AP53,0)</f>
        <v>0</v>
      </c>
      <c r="AQ53" s="24">
        <f ca="1">ROUND(FIRE1121_raw!AQ53,0)</f>
        <v>4</v>
      </c>
      <c r="AR53" s="46">
        <f t="shared" ca="1" si="19"/>
        <v>4.7619047619047616E-2</v>
      </c>
      <c r="AS53" s="46">
        <f t="shared" ca="1" si="20"/>
        <v>0.16</v>
      </c>
      <c r="AT53" s="24"/>
      <c r="AU53" s="22">
        <f t="shared" ca="1" si="21"/>
        <v>33</v>
      </c>
      <c r="AV53" s="22">
        <f t="shared" ca="1" si="21"/>
        <v>0</v>
      </c>
      <c r="AW53" s="22">
        <f t="shared" ca="1" si="21"/>
        <v>1</v>
      </c>
      <c r="AX53" s="22">
        <f t="shared" ca="1" si="21"/>
        <v>0</v>
      </c>
      <c r="AY53" s="22">
        <f t="shared" ca="1" si="21"/>
        <v>0</v>
      </c>
      <c r="AZ53" s="22">
        <f t="shared" ca="1" si="21"/>
        <v>4</v>
      </c>
      <c r="BA53" s="46">
        <f t="shared" ca="1" si="22"/>
        <v>2.9411764705882353E-2</v>
      </c>
      <c r="BB53" s="46">
        <f t="shared" ca="1" si="23"/>
        <v>0.10526315789473684</v>
      </c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s="8" customFormat="1" ht="15" customHeight="1" x14ac:dyDescent="0.35">
      <c r="A54" s="2" t="s">
        <v>61</v>
      </c>
      <c r="B54" s="24">
        <f ca="1">ROUND(FIRE1121_raw!B54,0)</f>
        <v>53</v>
      </c>
      <c r="C54" s="24">
        <f ca="1">ROUND(FIRE1121_raw!C54,0)</f>
        <v>12</v>
      </c>
      <c r="D54" s="24">
        <f ca="1">ROUND(FIRE1121_raw!D54,0)</f>
        <v>3</v>
      </c>
      <c r="E54" s="24">
        <f ca="1">ROUND(FIRE1121_raw!E54,0)</f>
        <v>4</v>
      </c>
      <c r="F54" s="24">
        <f ca="1">ROUND(FIRE1121_raw!F54,0)</f>
        <v>0</v>
      </c>
      <c r="G54" s="24">
        <f ca="1">ROUND(FIRE1121_raw!G54,0)</f>
        <v>1</v>
      </c>
      <c r="H54" s="46">
        <f t="shared" ca="1" si="7"/>
        <v>0.2638888888888889</v>
      </c>
      <c r="I54" s="46">
        <f t="shared" ca="1" si="8"/>
        <v>1.3698630136986301E-2</v>
      </c>
      <c r="J54" s="24"/>
      <c r="K54" s="24">
        <f ca="1">ROUND(FIRE1121_raw!K54,0)</f>
        <v>0</v>
      </c>
      <c r="L54" s="24">
        <f ca="1">ROUND(FIRE1121_raw!L54,0)</f>
        <v>0</v>
      </c>
      <c r="M54" s="24">
        <f ca="1">ROUND(FIRE1121_raw!M54,0)</f>
        <v>0</v>
      </c>
      <c r="N54" s="24">
        <f ca="1">ROUND(FIRE1121_raw!N54,0)</f>
        <v>0</v>
      </c>
      <c r="O54" s="24">
        <f ca="1">ROUND(FIRE1121_raw!O54,0)</f>
        <v>0</v>
      </c>
      <c r="P54" s="24">
        <f ca="1">ROUND(FIRE1121_raw!P54,0)</f>
        <v>0</v>
      </c>
      <c r="Q54" s="46" t="str">
        <f t="shared" ca="1" si="10"/>
        <v>-</v>
      </c>
      <c r="R54" s="46" t="str">
        <f t="shared" ca="1" si="11"/>
        <v>-</v>
      </c>
      <c r="S54" s="24"/>
      <c r="T54" s="22">
        <f t="shared" ca="1" si="12"/>
        <v>53</v>
      </c>
      <c r="U54" s="22">
        <f t="shared" ca="1" si="12"/>
        <v>12</v>
      </c>
      <c r="V54" s="22">
        <f t="shared" ca="1" si="12"/>
        <v>3</v>
      </c>
      <c r="W54" s="22">
        <f t="shared" ca="1" si="12"/>
        <v>4</v>
      </c>
      <c r="X54" s="22">
        <f t="shared" ca="1" si="12"/>
        <v>0</v>
      </c>
      <c r="Y54" s="22">
        <f t="shared" ca="1" si="12"/>
        <v>1</v>
      </c>
      <c r="Z54" s="46">
        <f t="shared" ca="1" si="13"/>
        <v>0.2638888888888889</v>
      </c>
      <c r="AA54" s="46">
        <f t="shared" ca="1" si="14"/>
        <v>1.3698630136986301E-2</v>
      </c>
      <c r="AB54" s="24"/>
      <c r="AC54" s="24">
        <f ca="1">ROUND(FIRE1121_raw!AC54,0)</f>
        <v>2</v>
      </c>
      <c r="AD54" s="24">
        <f ca="1">ROUND(FIRE1121_raw!AD54,0)</f>
        <v>0</v>
      </c>
      <c r="AE54" s="24">
        <f ca="1">ROUND(FIRE1121_raw!AE54,0)</f>
        <v>0</v>
      </c>
      <c r="AF54" s="24">
        <f ca="1">ROUND(FIRE1121_raw!AF54,0)</f>
        <v>0</v>
      </c>
      <c r="AG54" s="24">
        <f ca="1">ROUND(FIRE1121_raw!AG54,0)</f>
        <v>0</v>
      </c>
      <c r="AH54" s="24">
        <f ca="1">ROUND(FIRE1121_raw!AH54,0)</f>
        <v>0</v>
      </c>
      <c r="AI54" s="46">
        <f t="shared" ca="1" si="16"/>
        <v>0</v>
      </c>
      <c r="AJ54" s="46">
        <f t="shared" ca="1" si="17"/>
        <v>0</v>
      </c>
      <c r="AK54" s="24"/>
      <c r="AL54" s="24">
        <f ca="1">ROUND(FIRE1121_raw!AL54,0)</f>
        <v>10</v>
      </c>
      <c r="AM54" s="24">
        <f ca="1">ROUND(FIRE1121_raw!AM54,0)</f>
        <v>0</v>
      </c>
      <c r="AN54" s="24">
        <f ca="1">ROUND(FIRE1121_raw!AN54,0)</f>
        <v>1</v>
      </c>
      <c r="AO54" s="24">
        <f ca="1">ROUND(FIRE1121_raw!AO54,0)</f>
        <v>0</v>
      </c>
      <c r="AP54" s="24">
        <f ca="1">ROUND(FIRE1121_raw!AP54,0)</f>
        <v>0</v>
      </c>
      <c r="AQ54" s="24">
        <f ca="1">ROUND(FIRE1121_raw!AQ54,0)</f>
        <v>8</v>
      </c>
      <c r="AR54" s="46">
        <f t="shared" ca="1" si="19"/>
        <v>9.0909090909090912E-2</v>
      </c>
      <c r="AS54" s="46">
        <f t="shared" ca="1" si="20"/>
        <v>0.42105263157894735</v>
      </c>
      <c r="AT54" s="24"/>
      <c r="AU54" s="22">
        <f t="shared" ca="1" si="21"/>
        <v>65</v>
      </c>
      <c r="AV54" s="22">
        <f t="shared" ca="1" si="21"/>
        <v>12</v>
      </c>
      <c r="AW54" s="22">
        <f t="shared" ca="1" si="21"/>
        <v>4</v>
      </c>
      <c r="AX54" s="22">
        <f t="shared" ca="1" si="21"/>
        <v>4</v>
      </c>
      <c r="AY54" s="22">
        <f t="shared" ca="1" si="21"/>
        <v>0</v>
      </c>
      <c r="AZ54" s="22">
        <f t="shared" ca="1" si="21"/>
        <v>9</v>
      </c>
      <c r="BA54" s="46">
        <f t="shared" ca="1" si="22"/>
        <v>0.23529411764705882</v>
      </c>
      <c r="BB54" s="46">
        <f t="shared" ca="1" si="23"/>
        <v>9.5744680851063829E-2</v>
      </c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s="8" customFormat="1" ht="15" customHeight="1" x14ac:dyDescent="0.35">
      <c r="A55" s="2" t="s">
        <v>62</v>
      </c>
      <c r="B55" s="24">
        <f ca="1">ROUND(FIRE1121_raw!B55,0)</f>
        <v>29</v>
      </c>
      <c r="C55" s="24">
        <f ca="1">ROUND(FIRE1121_raw!C55,0)</f>
        <v>0</v>
      </c>
      <c r="D55" s="24">
        <f ca="1">ROUND(FIRE1121_raw!D55,0)</f>
        <v>0</v>
      </c>
      <c r="E55" s="24">
        <f ca="1">ROUND(FIRE1121_raw!E55,0)</f>
        <v>1</v>
      </c>
      <c r="F55" s="24">
        <f ca="1">ROUND(FIRE1121_raw!F55,0)</f>
        <v>0</v>
      </c>
      <c r="G55" s="24">
        <f ca="1">ROUND(FIRE1121_raw!G55,0)</f>
        <v>6</v>
      </c>
      <c r="H55" s="46">
        <f t="shared" ca="1" si="7"/>
        <v>3.3333333333333333E-2</v>
      </c>
      <c r="I55" s="46">
        <f t="shared" ca="1" si="8"/>
        <v>0.16666666666666666</v>
      </c>
      <c r="J55" s="24"/>
      <c r="K55" s="24">
        <f ca="1">ROUND(FIRE1121_raw!K55,0)</f>
        <v>7</v>
      </c>
      <c r="L55" s="24">
        <f ca="1">ROUND(FIRE1121_raw!L55,0)</f>
        <v>0</v>
      </c>
      <c r="M55" s="24">
        <f ca="1">ROUND(FIRE1121_raw!M55,0)</f>
        <v>0</v>
      </c>
      <c r="N55" s="24">
        <f ca="1">ROUND(FIRE1121_raw!N55,0)</f>
        <v>0</v>
      </c>
      <c r="O55" s="24">
        <f ca="1">ROUND(FIRE1121_raw!O55,0)</f>
        <v>0</v>
      </c>
      <c r="P55" s="24">
        <f ca="1">ROUND(FIRE1121_raw!P55,0)</f>
        <v>0</v>
      </c>
      <c r="Q55" s="46">
        <f t="shared" ca="1" si="10"/>
        <v>0</v>
      </c>
      <c r="R55" s="46">
        <f t="shared" ca="1" si="11"/>
        <v>0</v>
      </c>
      <c r="S55" s="24"/>
      <c r="T55" s="22">
        <f t="shared" ca="1" si="12"/>
        <v>36</v>
      </c>
      <c r="U55" s="22">
        <f t="shared" ca="1" si="12"/>
        <v>0</v>
      </c>
      <c r="V55" s="22">
        <f t="shared" ca="1" si="12"/>
        <v>0</v>
      </c>
      <c r="W55" s="22">
        <f t="shared" ca="1" si="12"/>
        <v>1</v>
      </c>
      <c r="X55" s="22">
        <f t="shared" ca="1" si="12"/>
        <v>0</v>
      </c>
      <c r="Y55" s="22">
        <f t="shared" ca="1" si="12"/>
        <v>6</v>
      </c>
      <c r="Z55" s="46">
        <f t="shared" ca="1" si="13"/>
        <v>2.7027027027027029E-2</v>
      </c>
      <c r="AA55" s="46">
        <f t="shared" ca="1" si="14"/>
        <v>0.13953488372093023</v>
      </c>
      <c r="AB55" s="24"/>
      <c r="AC55" s="24">
        <f ca="1">ROUND(FIRE1121_raw!AC55,0)</f>
        <v>0</v>
      </c>
      <c r="AD55" s="24">
        <f ca="1">ROUND(FIRE1121_raw!AD55,0)</f>
        <v>0</v>
      </c>
      <c r="AE55" s="24">
        <f ca="1">ROUND(FIRE1121_raw!AE55,0)</f>
        <v>0</v>
      </c>
      <c r="AF55" s="24">
        <f ca="1">ROUND(FIRE1121_raw!AF55,0)</f>
        <v>0</v>
      </c>
      <c r="AG55" s="24">
        <f ca="1">ROUND(FIRE1121_raw!AG55,0)</f>
        <v>0</v>
      </c>
      <c r="AH55" s="24">
        <f ca="1">ROUND(FIRE1121_raw!AH55,0)</f>
        <v>0</v>
      </c>
      <c r="AI55" s="46" t="str">
        <f t="shared" ca="1" si="16"/>
        <v>-</v>
      </c>
      <c r="AJ55" s="46" t="str">
        <f t="shared" ca="1" si="17"/>
        <v>-</v>
      </c>
      <c r="AK55" s="24"/>
      <c r="AL55" s="24">
        <f ca="1">ROUND(FIRE1121_raw!AL55,0)</f>
        <v>37</v>
      </c>
      <c r="AM55" s="24">
        <f ca="1">ROUND(FIRE1121_raw!AM55,0)</f>
        <v>1</v>
      </c>
      <c r="AN55" s="24">
        <f ca="1">ROUND(FIRE1121_raw!AN55,0)</f>
        <v>6</v>
      </c>
      <c r="AO55" s="24">
        <f ca="1">ROUND(FIRE1121_raw!AO55,0)</f>
        <v>1</v>
      </c>
      <c r="AP55" s="24">
        <f ca="1">ROUND(FIRE1121_raw!AP55,0)</f>
        <v>0</v>
      </c>
      <c r="AQ55" s="24">
        <f ca="1">ROUND(FIRE1121_raw!AQ55,0)</f>
        <v>2</v>
      </c>
      <c r="AR55" s="46">
        <f t="shared" ca="1" si="19"/>
        <v>0.17777777777777778</v>
      </c>
      <c r="AS55" s="46">
        <f t="shared" ca="1" si="20"/>
        <v>4.2553191489361701E-2</v>
      </c>
      <c r="AT55" s="24"/>
      <c r="AU55" s="22">
        <f t="shared" ca="1" si="21"/>
        <v>73</v>
      </c>
      <c r="AV55" s="22">
        <f t="shared" ca="1" si="21"/>
        <v>1</v>
      </c>
      <c r="AW55" s="22">
        <f t="shared" ca="1" si="21"/>
        <v>6</v>
      </c>
      <c r="AX55" s="22">
        <f t="shared" ca="1" si="21"/>
        <v>2</v>
      </c>
      <c r="AY55" s="22">
        <f t="shared" ca="1" si="21"/>
        <v>0</v>
      </c>
      <c r="AZ55" s="22">
        <f t="shared" ca="1" si="21"/>
        <v>8</v>
      </c>
      <c r="BA55" s="46">
        <f t="shared" ca="1" si="22"/>
        <v>0.10975609756097561</v>
      </c>
      <c r="BB55" s="46">
        <f t="shared" ca="1" si="23"/>
        <v>8.8888888888888892E-2</v>
      </c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s="8" customFormat="1" ht="15" customHeight="1" thickBot="1" x14ac:dyDescent="0.4">
      <c r="A56" s="2" t="s">
        <v>63</v>
      </c>
      <c r="B56" s="24">
        <f ca="1">ROUND(FIRE1121_raw!B56,0)</f>
        <v>171</v>
      </c>
      <c r="C56" s="24">
        <f ca="1">ROUND(FIRE1121_raw!C56,0)</f>
        <v>9</v>
      </c>
      <c r="D56" s="24">
        <f ca="1">ROUND(FIRE1121_raw!D56,0)</f>
        <v>7</v>
      </c>
      <c r="E56" s="24">
        <f ca="1">ROUND(FIRE1121_raw!E56,0)</f>
        <v>11</v>
      </c>
      <c r="F56" s="24">
        <f ca="1">ROUND(FIRE1121_raw!F56,0)</f>
        <v>4</v>
      </c>
      <c r="G56" s="24">
        <f ca="1">ROUND(FIRE1121_raw!G56,0)</f>
        <v>4</v>
      </c>
      <c r="H56" s="46">
        <f t="shared" ca="1" si="7"/>
        <v>0.15346534653465346</v>
      </c>
      <c r="I56" s="46">
        <f t="shared" ca="1" si="8"/>
        <v>1.9417475728155338E-2</v>
      </c>
      <c r="J56" s="24"/>
      <c r="K56" s="24">
        <f ca="1">ROUND(FIRE1121_raw!K56,0)</f>
        <v>0</v>
      </c>
      <c r="L56" s="24">
        <f ca="1">ROUND(FIRE1121_raw!L56,0)</f>
        <v>0</v>
      </c>
      <c r="M56" s="24">
        <f ca="1">ROUND(FIRE1121_raw!M56,0)</f>
        <v>0</v>
      </c>
      <c r="N56" s="24">
        <f ca="1">ROUND(FIRE1121_raw!N56,0)</f>
        <v>0</v>
      </c>
      <c r="O56" s="24">
        <f ca="1">ROUND(FIRE1121_raw!O56,0)</f>
        <v>0</v>
      </c>
      <c r="P56" s="24">
        <f ca="1">ROUND(FIRE1121_raw!P56,0)</f>
        <v>0</v>
      </c>
      <c r="Q56" s="46" t="str">
        <f t="shared" ca="1" si="10"/>
        <v>-</v>
      </c>
      <c r="R56" s="46" t="str">
        <f t="shared" ca="1" si="11"/>
        <v>-</v>
      </c>
      <c r="S56" s="24"/>
      <c r="T56" s="22">
        <f t="shared" ca="1" si="12"/>
        <v>171</v>
      </c>
      <c r="U56" s="22">
        <f t="shared" ca="1" si="12"/>
        <v>9</v>
      </c>
      <c r="V56" s="22">
        <f t="shared" ca="1" si="12"/>
        <v>7</v>
      </c>
      <c r="W56" s="22">
        <f t="shared" ca="1" si="12"/>
        <v>11</v>
      </c>
      <c r="X56" s="22">
        <f t="shared" ca="1" si="12"/>
        <v>4</v>
      </c>
      <c r="Y56" s="22">
        <f t="shared" ca="1" si="12"/>
        <v>4</v>
      </c>
      <c r="Z56" s="46">
        <f t="shared" ca="1" si="13"/>
        <v>0.15346534653465346</v>
      </c>
      <c r="AA56" s="46">
        <f t="shared" ca="1" si="14"/>
        <v>1.9417475728155338E-2</v>
      </c>
      <c r="AB56" s="24"/>
      <c r="AC56" s="24">
        <f ca="1">ROUND(FIRE1121_raw!AC56,0)</f>
        <v>16</v>
      </c>
      <c r="AD56" s="24">
        <f ca="1">ROUND(FIRE1121_raw!AD56,0)</f>
        <v>2</v>
      </c>
      <c r="AE56" s="24">
        <f ca="1">ROUND(FIRE1121_raw!AE56,0)</f>
        <v>1</v>
      </c>
      <c r="AF56" s="24">
        <f ca="1">ROUND(FIRE1121_raw!AF56,0)</f>
        <v>1</v>
      </c>
      <c r="AG56" s="24">
        <f ca="1">ROUND(FIRE1121_raw!AG56,0)</f>
        <v>0</v>
      </c>
      <c r="AH56" s="24">
        <f ca="1">ROUND(FIRE1121_raw!AH56,0)</f>
        <v>0</v>
      </c>
      <c r="AI56" s="46">
        <f t="shared" ca="1" si="16"/>
        <v>0.2</v>
      </c>
      <c r="AJ56" s="46">
        <f t="shared" ca="1" si="17"/>
        <v>0</v>
      </c>
      <c r="AK56" s="24"/>
      <c r="AL56" s="24">
        <f ca="1">ROUND(FIRE1121_raw!AL56,0)</f>
        <v>41</v>
      </c>
      <c r="AM56" s="24">
        <f ca="1">ROUND(FIRE1121_raw!AM56,0)</f>
        <v>2</v>
      </c>
      <c r="AN56" s="24">
        <f ca="1">ROUND(FIRE1121_raw!AN56,0)</f>
        <v>5</v>
      </c>
      <c r="AO56" s="24">
        <f ca="1">ROUND(FIRE1121_raw!AO56,0)</f>
        <v>17</v>
      </c>
      <c r="AP56" s="24">
        <f ca="1">ROUND(FIRE1121_raw!AP56,0)</f>
        <v>0</v>
      </c>
      <c r="AQ56" s="24">
        <f ca="1">ROUND(FIRE1121_raw!AQ56,0)</f>
        <v>3</v>
      </c>
      <c r="AR56" s="46">
        <f t="shared" ca="1" si="19"/>
        <v>0.36923076923076925</v>
      </c>
      <c r="AS56" s="46">
        <f t="shared" ca="1" si="20"/>
        <v>4.4117647058823532E-2</v>
      </c>
      <c r="AT56" s="24"/>
      <c r="AU56" s="22">
        <f t="shared" ca="1" si="21"/>
        <v>228</v>
      </c>
      <c r="AV56" s="22">
        <f t="shared" ca="1" si="21"/>
        <v>13</v>
      </c>
      <c r="AW56" s="22">
        <f t="shared" ca="1" si="21"/>
        <v>13</v>
      </c>
      <c r="AX56" s="22">
        <f t="shared" ca="1" si="21"/>
        <v>29</v>
      </c>
      <c r="AY56" s="22">
        <f t="shared" ca="1" si="21"/>
        <v>4</v>
      </c>
      <c r="AZ56" s="22">
        <f t="shared" ca="1" si="21"/>
        <v>7</v>
      </c>
      <c r="BA56" s="46">
        <f t="shared" ca="1" si="22"/>
        <v>0.20557491289198607</v>
      </c>
      <c r="BB56" s="46">
        <f t="shared" ca="1" si="23"/>
        <v>2.3809523809523808E-2</v>
      </c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 s="8" customFormat="1" ht="15" customHeight="1" x14ac:dyDescent="0.3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 x14ac:dyDescent="0.35">
      <c r="A58" s="89" t="s">
        <v>64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63" x14ac:dyDescent="0.35">
      <c r="A59" s="48" t="s">
        <v>90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63" x14ac:dyDescent="0.3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63" x14ac:dyDescent="0.35">
      <c r="A61" s="49" t="s">
        <v>65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63" x14ac:dyDescent="0.35">
      <c r="A62" s="91" t="s">
        <v>66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63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63" x14ac:dyDescent="0.35">
      <c r="A64" s="2" t="s">
        <v>67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x14ac:dyDescent="0.35">
      <c r="A65" s="51" t="s">
        <v>68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x14ac:dyDescent="0.35">
      <c r="A67" s="89" t="s">
        <v>69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x14ac:dyDescent="0.3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3"/>
    </row>
    <row r="69" spans="1:54" x14ac:dyDescent="0.35">
      <c r="A69" s="4" t="s">
        <v>96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5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74" t="s">
        <v>71</v>
      </c>
    </row>
    <row r="70" spans="1:54" x14ac:dyDescent="0.35">
      <c r="A70" s="73" t="s">
        <v>95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5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75" t="s">
        <v>94</v>
      </c>
    </row>
    <row r="86" spans="56:56" x14ac:dyDescent="0.35">
      <c r="BD86" s="4" t="s">
        <v>88</v>
      </c>
    </row>
    <row r="87" spans="56:56" x14ac:dyDescent="0.35">
      <c r="BD87" s="4" t="s">
        <v>89</v>
      </c>
    </row>
  </sheetData>
  <mergeCells count="13">
    <mergeCell ref="A58:X58"/>
    <mergeCell ref="A60:X60"/>
    <mergeCell ref="A62:X62"/>
    <mergeCell ref="A67:X67"/>
    <mergeCell ref="A4:L4"/>
    <mergeCell ref="A1:BB1"/>
    <mergeCell ref="B5:BB5"/>
    <mergeCell ref="B6:H6"/>
    <mergeCell ref="K6:R6"/>
    <mergeCell ref="T6:Z6"/>
    <mergeCell ref="AC6:AI6"/>
    <mergeCell ref="AL6:AR6"/>
    <mergeCell ref="AU6:BB6"/>
  </mergeCells>
  <dataValidations count="1">
    <dataValidation type="list" allowBlank="1" showInputMessage="1" showErrorMessage="1" sqref="A4:L4" xr:uid="{00000000-0002-0000-0400-000000000000}">
      <formula1>$BD$86:$BD$87</formula1>
    </dataValidation>
  </dataValidations>
  <hyperlinks>
    <hyperlink ref="A65" r:id="rId1" xr:uid="{00000000-0004-0000-0400-000000000000}"/>
    <hyperlink ref="A70" r:id="rId2" xr:uid="{DD84EC49-9625-452A-8545-604EC4573FD2}"/>
    <hyperlink ref="BB69" r:id="rId3" xr:uid="{70D9C63F-EB6E-4236-97A0-A131AA55DC35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(2016-17)</vt:lpstr>
      <vt:lpstr>2017-18_working</vt:lpstr>
      <vt:lpstr>(2017-18)</vt:lpstr>
      <vt:lpstr>FIRE1121_raw</vt:lpstr>
      <vt:lpstr>FIRE1121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FIRE1121: Staff joining fire authorities, by fire and rescue authority, ethnicity and role</dc:title>
  <dc:creator/>
  <cp:keywords>data tables, ethnicity, role, 2018</cp:keywords>
  <cp:lastModifiedBy/>
  <dcterms:created xsi:type="dcterms:W3CDTF">2018-10-16T14:47:35Z</dcterms:created>
  <dcterms:modified xsi:type="dcterms:W3CDTF">2018-10-16T14:50:43Z</dcterms:modified>
</cp:coreProperties>
</file>