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EE2354F3-AFD4-4EA2-ACB1-84905C7D70DA}" xr6:coauthVersionLast="31" xr6:coauthVersionMax="31" xr10:uidLastSave="{00000000-0000-0000-0000-000000000000}"/>
  <workbookProtection workbookAlgorithmName="SHA-512" workbookHashValue="/b74Vv5wa+c1URPNBxb4gvQUn0z7Ez1160OPbF2zX3GYb12x7m/g2LGd9OZc7P71rt/Bhm3o0dr0/yX+BvZYtw==" workbookSaltValue="gCrJsSefWUCebz7+macWEg==" workbookSpinCount="100000" lockStructure="1"/>
  <bookViews>
    <workbookView xWindow="0" yWindow="0" windowWidth="19320" windowHeight="6860" firstSheet="3" activeTab="3" xr2:uid="{00000000-000D-0000-FFFF-FFFF00000000}"/>
  </bookViews>
  <sheets>
    <sheet name="(2016-17)" sheetId="1" state="hidden" r:id="rId1"/>
    <sheet name="(2017-18)" sheetId="2" state="hidden" r:id="rId2"/>
    <sheet name="FIRE1120_raw" sheetId="3" state="hidden" r:id="rId3"/>
    <sheet name="FIRE1120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K10" i="1"/>
  <c r="T56" i="1"/>
  <c r="P56" i="1"/>
  <c r="J56" i="1"/>
  <c r="H56" i="1"/>
  <c r="K56" i="1"/>
  <c r="W56" i="1" s="1"/>
  <c r="T55" i="1"/>
  <c r="P55" i="1"/>
  <c r="K55" i="1"/>
  <c r="W55" i="1" s="1"/>
  <c r="H55" i="1"/>
  <c r="J55" i="1"/>
  <c r="T54" i="1"/>
  <c r="P54" i="1"/>
  <c r="J54" i="1"/>
  <c r="H54" i="1"/>
  <c r="K54" i="1"/>
  <c r="W54" i="1" s="1"/>
  <c r="T53" i="1"/>
  <c r="P53" i="1"/>
  <c r="K53" i="1"/>
  <c r="W53" i="1" s="1"/>
  <c r="H53" i="1"/>
  <c r="J53" i="1"/>
  <c r="T52" i="1"/>
  <c r="P52" i="1"/>
  <c r="J52" i="1"/>
  <c r="H52" i="1"/>
  <c r="K52" i="1"/>
  <c r="W52" i="1" s="1"/>
  <c r="T51" i="1"/>
  <c r="P51" i="1"/>
  <c r="K51" i="1"/>
  <c r="W51" i="1" s="1"/>
  <c r="H51" i="1"/>
  <c r="J51" i="1"/>
  <c r="S49" i="1"/>
  <c r="O49" i="1"/>
  <c r="P50" i="1"/>
  <c r="J50" i="1"/>
  <c r="H50" i="1"/>
  <c r="K50" i="1"/>
  <c r="W50" i="1" s="1"/>
  <c r="R49" i="1"/>
  <c r="G49" i="1"/>
  <c r="F49" i="1"/>
  <c r="B49" i="1"/>
  <c r="T48" i="1"/>
  <c r="P48" i="1"/>
  <c r="J48" i="1"/>
  <c r="H48" i="1"/>
  <c r="K48" i="1"/>
  <c r="W48" i="1" s="1"/>
  <c r="T47" i="1"/>
  <c r="P47" i="1"/>
  <c r="K47" i="1"/>
  <c r="W47" i="1" s="1"/>
  <c r="H47" i="1"/>
  <c r="J47" i="1"/>
  <c r="T46" i="1"/>
  <c r="P46" i="1"/>
  <c r="J46" i="1"/>
  <c r="H46" i="1"/>
  <c r="K46" i="1"/>
  <c r="W46" i="1" s="1"/>
  <c r="T45" i="1"/>
  <c r="P45" i="1"/>
  <c r="K45" i="1"/>
  <c r="W45" i="1" s="1"/>
  <c r="H45" i="1"/>
  <c r="J45" i="1"/>
  <c r="T44" i="1"/>
  <c r="P44" i="1"/>
  <c r="J44" i="1"/>
  <c r="H44" i="1"/>
  <c r="K44" i="1"/>
  <c r="W44" i="1" s="1"/>
  <c r="T43" i="1"/>
  <c r="P43" i="1"/>
  <c r="K43" i="1"/>
  <c r="W43" i="1" s="1"/>
  <c r="H43" i="1"/>
  <c r="J43" i="1"/>
  <c r="T42" i="1"/>
  <c r="P42" i="1"/>
  <c r="H42" i="1"/>
  <c r="K42" i="1"/>
  <c r="W42" i="1" s="1"/>
  <c r="J42" i="1"/>
  <c r="T41" i="1"/>
  <c r="P41" i="1"/>
  <c r="K41" i="1"/>
  <c r="W41" i="1" s="1"/>
  <c r="H41" i="1"/>
  <c r="D41" i="1"/>
  <c r="P40" i="1"/>
  <c r="H40" i="1"/>
  <c r="K40" i="1"/>
  <c r="J40" i="1"/>
  <c r="T39" i="1"/>
  <c r="P39" i="1"/>
  <c r="K39" i="1"/>
  <c r="W39" i="1" s="1"/>
  <c r="D39" i="1"/>
  <c r="T38" i="1"/>
  <c r="P38" i="1"/>
  <c r="H38" i="1"/>
  <c r="K38" i="1"/>
  <c r="J38" i="1"/>
  <c r="T37" i="1"/>
  <c r="P37" i="1"/>
  <c r="K37" i="1"/>
  <c r="W37" i="1" s="1"/>
  <c r="D37" i="1"/>
  <c r="T36" i="1"/>
  <c r="P36" i="1"/>
  <c r="H36" i="1"/>
  <c r="K36" i="1"/>
  <c r="W36" i="1" s="1"/>
  <c r="J36" i="1"/>
  <c r="T35" i="1"/>
  <c r="P35" i="1"/>
  <c r="K35" i="1"/>
  <c r="W35" i="1" s="1"/>
  <c r="D35" i="1"/>
  <c r="P34" i="1"/>
  <c r="H34" i="1"/>
  <c r="K34" i="1"/>
  <c r="J34" i="1"/>
  <c r="T33" i="1"/>
  <c r="P33" i="1"/>
  <c r="K33" i="1"/>
  <c r="W33" i="1" s="1"/>
  <c r="H33" i="1"/>
  <c r="J33" i="1"/>
  <c r="P32" i="1"/>
  <c r="H32" i="1"/>
  <c r="K32" i="1"/>
  <c r="W32" i="1" s="1"/>
  <c r="J32" i="1"/>
  <c r="T31" i="1"/>
  <c r="P31" i="1"/>
  <c r="K31" i="1"/>
  <c r="W31" i="1" s="1"/>
  <c r="H31" i="1"/>
  <c r="J31" i="1"/>
  <c r="T30" i="1"/>
  <c r="P30" i="1"/>
  <c r="H30" i="1"/>
  <c r="K30" i="1"/>
  <c r="W30" i="1" s="1"/>
  <c r="J30" i="1"/>
  <c r="T29" i="1"/>
  <c r="P29" i="1"/>
  <c r="K29" i="1"/>
  <c r="W29" i="1" s="1"/>
  <c r="H29" i="1"/>
  <c r="J29" i="1"/>
  <c r="T28" i="1"/>
  <c r="P28" i="1"/>
  <c r="H28" i="1"/>
  <c r="K28" i="1"/>
  <c r="J28" i="1"/>
  <c r="T27" i="1"/>
  <c r="P27" i="1"/>
  <c r="K27" i="1"/>
  <c r="W27" i="1" s="1"/>
  <c r="H27" i="1"/>
  <c r="P26" i="1"/>
  <c r="H26" i="1"/>
  <c r="K26" i="1"/>
  <c r="J26" i="1"/>
  <c r="T25" i="1"/>
  <c r="P25" i="1"/>
  <c r="K25" i="1"/>
  <c r="W25" i="1" s="1"/>
  <c r="H25" i="1"/>
  <c r="J25" i="1"/>
  <c r="P24" i="1"/>
  <c r="H24" i="1"/>
  <c r="K24" i="1"/>
  <c r="W24" i="1" s="1"/>
  <c r="J24" i="1"/>
  <c r="T23" i="1"/>
  <c r="P23" i="1"/>
  <c r="K23" i="1"/>
  <c r="W23" i="1" s="1"/>
  <c r="H23" i="1"/>
  <c r="J23" i="1"/>
  <c r="T22" i="1"/>
  <c r="P22" i="1"/>
  <c r="H22" i="1"/>
  <c r="K22" i="1"/>
  <c r="W22" i="1" s="1"/>
  <c r="J22" i="1"/>
  <c r="T21" i="1"/>
  <c r="P21" i="1"/>
  <c r="K21" i="1"/>
  <c r="W21" i="1" s="1"/>
  <c r="H21" i="1"/>
  <c r="J21" i="1"/>
  <c r="T20" i="1"/>
  <c r="P20" i="1"/>
  <c r="H20" i="1"/>
  <c r="K20" i="1"/>
  <c r="W20" i="1" s="1"/>
  <c r="J20" i="1"/>
  <c r="T19" i="1"/>
  <c r="P19" i="1"/>
  <c r="K19" i="1"/>
  <c r="W19" i="1" s="1"/>
  <c r="H19" i="1"/>
  <c r="J19" i="1"/>
  <c r="T18" i="1"/>
  <c r="P18" i="1"/>
  <c r="H18" i="1"/>
  <c r="K18" i="1"/>
  <c r="W18" i="1" s="1"/>
  <c r="J18" i="1"/>
  <c r="T17" i="1"/>
  <c r="P17" i="1"/>
  <c r="K17" i="1"/>
  <c r="W17" i="1" s="1"/>
  <c r="H17" i="1"/>
  <c r="J17" i="1"/>
  <c r="T16" i="1"/>
  <c r="P16" i="1"/>
  <c r="H16" i="1"/>
  <c r="K16" i="1"/>
  <c r="W16" i="1" s="1"/>
  <c r="J16" i="1"/>
  <c r="T15" i="1"/>
  <c r="P15" i="1"/>
  <c r="K15" i="1"/>
  <c r="W15" i="1" s="1"/>
  <c r="J15" i="1"/>
  <c r="D15" i="1"/>
  <c r="T14" i="1"/>
  <c r="P14" i="1"/>
  <c r="H14" i="1"/>
  <c r="K14" i="1"/>
  <c r="W14" i="1" s="1"/>
  <c r="J14" i="1"/>
  <c r="T13" i="1"/>
  <c r="P13" i="1"/>
  <c r="K13" i="1"/>
  <c r="W13" i="1" s="1"/>
  <c r="J13" i="1"/>
  <c r="D13" i="1"/>
  <c r="T12" i="1"/>
  <c r="P12" i="1"/>
  <c r="H12" i="1"/>
  <c r="K12" i="1"/>
  <c r="W12" i="1" s="1"/>
  <c r="J12" i="1"/>
  <c r="T11" i="1"/>
  <c r="P11" i="1"/>
  <c r="K11" i="1"/>
  <c r="W11" i="1" s="1"/>
  <c r="J11" i="1"/>
  <c r="D11" i="1"/>
  <c r="S9" i="1"/>
  <c r="S8" i="1" s="1"/>
  <c r="T10" i="1"/>
  <c r="H10" i="1"/>
  <c r="J10" i="1"/>
  <c r="R9" i="1"/>
  <c r="G9" i="1"/>
  <c r="F9" i="1"/>
  <c r="B9" i="1"/>
  <c r="L31" i="1" l="1"/>
  <c r="J49" i="1"/>
  <c r="G8" i="1"/>
  <c r="H49" i="1"/>
  <c r="T9" i="1"/>
  <c r="R8" i="1"/>
  <c r="T8" i="1" s="1"/>
  <c r="H9" i="1"/>
  <c r="L25" i="1"/>
  <c r="B8" i="1"/>
  <c r="L33" i="1"/>
  <c r="O9" i="1"/>
  <c r="O8" i="1" s="1"/>
  <c r="L29" i="1"/>
  <c r="V15" i="1"/>
  <c r="L15" i="1"/>
  <c r="V21" i="1"/>
  <c r="L21" i="1"/>
  <c r="L16" i="1"/>
  <c r="V16" i="1"/>
  <c r="V19" i="1"/>
  <c r="L19" i="1"/>
  <c r="V24" i="1"/>
  <c r="L24" i="1"/>
  <c r="L14" i="1"/>
  <c r="V14" i="1"/>
  <c r="L18" i="1"/>
  <c r="V18" i="1"/>
  <c r="L10" i="1"/>
  <c r="V10" i="1"/>
  <c r="L11" i="1"/>
  <c r="V11" i="1"/>
  <c r="V17" i="1"/>
  <c r="L17" i="1"/>
  <c r="L22" i="1"/>
  <c r="V22" i="1"/>
  <c r="W10" i="1"/>
  <c r="K9" i="1"/>
  <c r="L12" i="1"/>
  <c r="V12" i="1"/>
  <c r="V13" i="1"/>
  <c r="L13" i="1"/>
  <c r="L20" i="1"/>
  <c r="V20" i="1"/>
  <c r="V23" i="1"/>
  <c r="L23" i="1"/>
  <c r="D10" i="1"/>
  <c r="D12" i="1"/>
  <c r="D14" i="1"/>
  <c r="D16" i="1"/>
  <c r="D18" i="1"/>
  <c r="D20" i="1"/>
  <c r="D22" i="1"/>
  <c r="D24" i="1"/>
  <c r="W26" i="1"/>
  <c r="L28" i="1"/>
  <c r="V28" i="1"/>
  <c r="V29" i="1"/>
  <c r="W34" i="1"/>
  <c r="J35" i="1"/>
  <c r="H35" i="1"/>
  <c r="L38" i="1"/>
  <c r="V38" i="1"/>
  <c r="W40" i="1"/>
  <c r="V51" i="1"/>
  <c r="L51" i="1"/>
  <c r="V53" i="1"/>
  <c r="L53" i="1"/>
  <c r="V55" i="1"/>
  <c r="L55" i="1"/>
  <c r="F8" i="1"/>
  <c r="C9" i="1"/>
  <c r="D9" i="1" s="1"/>
  <c r="N9" i="1"/>
  <c r="H11" i="1"/>
  <c r="H13" i="1"/>
  <c r="H15" i="1"/>
  <c r="T24" i="1"/>
  <c r="J27" i="1"/>
  <c r="W28" i="1"/>
  <c r="L30" i="1"/>
  <c r="V30" i="1"/>
  <c r="V31" i="1"/>
  <c r="T32" i="1"/>
  <c r="L36" i="1"/>
  <c r="V36" i="1"/>
  <c r="W38" i="1"/>
  <c r="J39" i="1"/>
  <c r="H39" i="1"/>
  <c r="J41" i="1"/>
  <c r="L42" i="1"/>
  <c r="V42" i="1"/>
  <c r="L44" i="1"/>
  <c r="L46" i="1"/>
  <c r="L48" i="1"/>
  <c r="T49" i="1"/>
  <c r="D17" i="1"/>
  <c r="D19" i="1"/>
  <c r="D21" i="1"/>
  <c r="D23" i="1"/>
  <c r="V25" i="1"/>
  <c r="T26" i="1"/>
  <c r="L32" i="1"/>
  <c r="V32" i="1"/>
  <c r="V33" i="1"/>
  <c r="T34" i="1"/>
  <c r="J37" i="1"/>
  <c r="H37" i="1"/>
  <c r="T40" i="1"/>
  <c r="V43" i="1"/>
  <c r="L43" i="1"/>
  <c r="V45" i="1"/>
  <c r="L45" i="1"/>
  <c r="V47" i="1"/>
  <c r="L47" i="1"/>
  <c r="L26" i="1"/>
  <c r="V26" i="1"/>
  <c r="L34" i="1"/>
  <c r="V34" i="1"/>
  <c r="L40" i="1"/>
  <c r="V40" i="1"/>
  <c r="L50" i="1"/>
  <c r="L52" i="1"/>
  <c r="L54" i="1"/>
  <c r="L56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T50" i="1"/>
  <c r="D52" i="1"/>
  <c r="D54" i="1"/>
  <c r="D56" i="1"/>
  <c r="V44" i="1"/>
  <c r="V46" i="1"/>
  <c r="V48" i="1"/>
  <c r="C49" i="1"/>
  <c r="K49" i="1" s="1"/>
  <c r="W49" i="1" s="1"/>
  <c r="N49" i="1"/>
  <c r="P49" i="1" s="1"/>
  <c r="V50" i="1"/>
  <c r="V52" i="1"/>
  <c r="V54" i="1"/>
  <c r="V56" i="1"/>
  <c r="D25" i="1"/>
  <c r="D27" i="1"/>
  <c r="D29" i="1"/>
  <c r="D31" i="1"/>
  <c r="D33" i="1"/>
  <c r="D43" i="1"/>
  <c r="D45" i="1"/>
  <c r="D47" i="1"/>
  <c r="D51" i="1"/>
  <c r="D53" i="1"/>
  <c r="D55" i="1"/>
  <c r="X29" i="1" l="1"/>
  <c r="X14" i="1"/>
  <c r="X51" i="1"/>
  <c r="X19" i="1"/>
  <c r="X50" i="1"/>
  <c r="X46" i="1"/>
  <c r="X33" i="1"/>
  <c r="X25" i="1"/>
  <c r="X20" i="1"/>
  <c r="X12" i="1"/>
  <c r="X22" i="1"/>
  <c r="X11" i="1"/>
  <c r="X18" i="1"/>
  <c r="X16" i="1"/>
  <c r="X54" i="1"/>
  <c r="X52" i="1"/>
  <c r="X48" i="1"/>
  <c r="X47" i="1"/>
  <c r="X43" i="1"/>
  <c r="X36" i="1"/>
  <c r="X30" i="1"/>
  <c r="X55" i="1"/>
  <c r="X23" i="1"/>
  <c r="X13" i="1"/>
  <c r="X17" i="1"/>
  <c r="X21" i="1"/>
  <c r="X56" i="1"/>
  <c r="X44" i="1"/>
  <c r="X34" i="1"/>
  <c r="L49" i="1"/>
  <c r="X45" i="1"/>
  <c r="X32" i="1"/>
  <c r="X42" i="1"/>
  <c r="H8" i="1"/>
  <c r="X53" i="1"/>
  <c r="X38" i="1"/>
  <c r="X24" i="1"/>
  <c r="X15" i="1"/>
  <c r="X31" i="1"/>
  <c r="D49" i="1"/>
  <c r="X26" i="1"/>
  <c r="V49" i="1"/>
  <c r="L39" i="1"/>
  <c r="V39" i="1"/>
  <c r="X40" i="1"/>
  <c r="L37" i="1"/>
  <c r="V37" i="1"/>
  <c r="L27" i="1"/>
  <c r="V27" i="1"/>
  <c r="K8" i="1"/>
  <c r="L41" i="1"/>
  <c r="V41" i="1"/>
  <c r="P9" i="1"/>
  <c r="N8" i="1"/>
  <c r="P8" i="1" s="1"/>
  <c r="X28" i="1"/>
  <c r="W9" i="1"/>
  <c r="W8" i="1" s="1"/>
  <c r="X10" i="1"/>
  <c r="C8" i="1"/>
  <c r="D8" i="1" s="1"/>
  <c r="L35" i="1"/>
  <c r="V35" i="1"/>
  <c r="J9" i="1"/>
  <c r="X35" i="1" l="1"/>
  <c r="X37" i="1"/>
  <c r="X49" i="1"/>
  <c r="X41" i="1"/>
  <c r="X39" i="1"/>
  <c r="X27" i="1"/>
  <c r="V9" i="1"/>
  <c r="J8" i="1"/>
  <c r="L8" i="1" s="1"/>
  <c r="L9" i="1"/>
  <c r="X9" i="1" l="1"/>
  <c r="V8" i="1"/>
  <c r="X8" i="1" l="1"/>
  <c r="A4" i="3" l="1"/>
  <c r="H55" i="2" l="1"/>
  <c r="H48" i="2"/>
  <c r="H45" i="2"/>
  <c r="T43" i="2"/>
  <c r="T53" i="2"/>
  <c r="T45" i="2"/>
  <c r="T41" i="2"/>
  <c r="H54" i="2"/>
  <c r="H46" i="2"/>
  <c r="T48" i="2"/>
  <c r="T40" i="2"/>
  <c r="T24" i="2"/>
  <c r="H41" i="2"/>
  <c r="H39" i="2"/>
  <c r="H25" i="2" l="1"/>
  <c r="T31" i="2"/>
  <c r="H50" i="2"/>
  <c r="H52" i="2"/>
  <c r="T55" i="2"/>
  <c r="T12" i="2"/>
  <c r="T13" i="2"/>
  <c r="T14" i="2"/>
  <c r="T15" i="2"/>
  <c r="H16" i="2"/>
  <c r="T19" i="2"/>
  <c r="H21" i="2"/>
  <c r="T22" i="2"/>
  <c r="T23" i="2"/>
  <c r="H24" i="2"/>
  <c r="H27" i="2"/>
  <c r="T27" i="2"/>
  <c r="H28" i="2"/>
  <c r="H32" i="2"/>
  <c r="T33" i="2"/>
  <c r="T34" i="2"/>
  <c r="H38" i="2"/>
  <c r="P29" i="2"/>
  <c r="H15" i="2"/>
  <c r="T16" i="2"/>
  <c r="H22" i="2"/>
  <c r="H23" i="2"/>
  <c r="T26" i="2"/>
  <c r="T28" i="2"/>
  <c r="T32" i="2"/>
  <c r="T36" i="2"/>
  <c r="H37" i="2"/>
  <c r="T37" i="2"/>
  <c r="T39" i="2"/>
  <c r="H31" i="2"/>
  <c r="H40" i="2"/>
  <c r="H42" i="2"/>
  <c r="T42" i="2"/>
  <c r="H43" i="2"/>
  <c r="H44" i="2"/>
  <c r="T44" i="2"/>
  <c r="T46" i="2"/>
  <c r="T50" i="2"/>
  <c r="H51" i="2"/>
  <c r="T51" i="2"/>
  <c r="H36" i="2"/>
  <c r="H47" i="2"/>
  <c r="T47" i="2"/>
  <c r="P12" i="2"/>
  <c r="P13" i="2"/>
  <c r="J14" i="2"/>
  <c r="V14" i="2" s="1"/>
  <c r="P14" i="2"/>
  <c r="J15" i="2"/>
  <c r="V15" i="2" s="1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39" i="2"/>
  <c r="J40" i="2"/>
  <c r="V40" i="2" s="1"/>
  <c r="P40" i="2"/>
  <c r="P41" i="2"/>
  <c r="P42" i="2"/>
  <c r="P43" i="2"/>
  <c r="P44" i="2"/>
  <c r="P45" i="2"/>
  <c r="P46" i="2"/>
  <c r="P47" i="2"/>
  <c r="P51" i="2"/>
  <c r="P52" i="2"/>
  <c r="P53" i="2"/>
  <c r="P54" i="2"/>
  <c r="P55" i="2"/>
  <c r="P56" i="2"/>
  <c r="K14" i="2"/>
  <c r="W14" i="2" s="1"/>
  <c r="K15" i="2"/>
  <c r="W15" i="2" s="1"/>
  <c r="K16" i="2"/>
  <c r="W16" i="2" s="1"/>
  <c r="K17" i="2"/>
  <c r="W17" i="2" s="1"/>
  <c r="K19" i="2"/>
  <c r="W19" i="2" s="1"/>
  <c r="K20" i="2"/>
  <c r="W20" i="2" s="1"/>
  <c r="K21" i="2"/>
  <c r="W21" i="2" s="1"/>
  <c r="K22" i="2"/>
  <c r="W22" i="2" s="1"/>
  <c r="K26" i="2"/>
  <c r="W26" i="2" s="1"/>
  <c r="K29" i="2"/>
  <c r="W29" i="2" s="1"/>
  <c r="K31" i="2"/>
  <c r="W31" i="2" s="1"/>
  <c r="K32" i="2"/>
  <c r="W32" i="2" s="1"/>
  <c r="K33" i="2"/>
  <c r="W33" i="2" s="1"/>
  <c r="K34" i="2"/>
  <c r="W34" i="2" s="1"/>
  <c r="K37" i="2"/>
  <c r="W37" i="2" s="1"/>
  <c r="K39" i="2"/>
  <c r="W39" i="2" s="1"/>
  <c r="K42" i="2"/>
  <c r="W42" i="2" s="1"/>
  <c r="K44" i="2"/>
  <c r="W44" i="2" s="1"/>
  <c r="K45" i="2"/>
  <c r="W45" i="2" s="1"/>
  <c r="K52" i="2"/>
  <c r="W52" i="2" s="1"/>
  <c r="K53" i="2"/>
  <c r="W53" i="2" s="1"/>
  <c r="K54" i="2"/>
  <c r="W54" i="2" s="1"/>
  <c r="K55" i="2"/>
  <c r="W55" i="2" s="1"/>
  <c r="K56" i="2"/>
  <c r="W56" i="2" s="1"/>
  <c r="T11" i="2"/>
  <c r="H12" i="2"/>
  <c r="P48" i="2"/>
  <c r="K48" i="2"/>
  <c r="W48" i="2" s="1"/>
  <c r="P10" i="2"/>
  <c r="N9" i="2"/>
  <c r="T10" i="2"/>
  <c r="D10" i="2"/>
  <c r="J10" i="2"/>
  <c r="D22" i="2"/>
  <c r="J22" i="2"/>
  <c r="D29" i="2"/>
  <c r="J29" i="2"/>
  <c r="D33" i="2"/>
  <c r="J33" i="2"/>
  <c r="D36" i="2"/>
  <c r="J36" i="2"/>
  <c r="D44" i="2"/>
  <c r="J44" i="2"/>
  <c r="D45" i="2"/>
  <c r="J45" i="2"/>
  <c r="D46" i="2"/>
  <c r="J46" i="2"/>
  <c r="D47" i="2"/>
  <c r="J47" i="2"/>
  <c r="D48" i="2"/>
  <c r="J48" i="2"/>
  <c r="D51" i="2"/>
  <c r="J51" i="2"/>
  <c r="D52" i="2"/>
  <c r="J52" i="2"/>
  <c r="D53" i="2"/>
  <c r="J53" i="2"/>
  <c r="D54" i="2"/>
  <c r="J54" i="2"/>
  <c r="D55" i="2"/>
  <c r="J55" i="2"/>
  <c r="D11" i="2"/>
  <c r="J11" i="2"/>
  <c r="D12" i="2"/>
  <c r="J12" i="2"/>
  <c r="D13" i="2"/>
  <c r="J13" i="2"/>
  <c r="D20" i="2"/>
  <c r="J20" i="2"/>
  <c r="D24" i="2"/>
  <c r="J24" i="2"/>
  <c r="D30" i="2"/>
  <c r="J30" i="2"/>
  <c r="D34" i="2"/>
  <c r="J34" i="2"/>
  <c r="D38" i="2"/>
  <c r="J38" i="2"/>
  <c r="D39" i="2"/>
  <c r="J39" i="2"/>
  <c r="D42" i="2"/>
  <c r="J42" i="2"/>
  <c r="D56" i="2"/>
  <c r="J56" i="2"/>
  <c r="K10" i="2"/>
  <c r="D15" i="2"/>
  <c r="K11" i="2"/>
  <c r="W11" i="2" s="1"/>
  <c r="K12" i="2"/>
  <c r="W12" i="2" s="1"/>
  <c r="K13" i="2"/>
  <c r="W13" i="2" s="1"/>
  <c r="K18" i="2"/>
  <c r="W18" i="2" s="1"/>
  <c r="K23" i="2"/>
  <c r="W23" i="2" s="1"/>
  <c r="K24" i="2"/>
  <c r="W24" i="2" s="1"/>
  <c r="K25" i="2"/>
  <c r="W25" i="2" s="1"/>
  <c r="K27" i="2"/>
  <c r="W27" i="2" s="1"/>
  <c r="K28" i="2"/>
  <c r="W28" i="2" s="1"/>
  <c r="K30" i="2"/>
  <c r="W30" i="2" s="1"/>
  <c r="K35" i="2"/>
  <c r="W35" i="2" s="1"/>
  <c r="K36" i="2"/>
  <c r="W36" i="2" s="1"/>
  <c r="K38" i="2"/>
  <c r="W38" i="2" s="1"/>
  <c r="K40" i="2"/>
  <c r="K41" i="2"/>
  <c r="W41" i="2" s="1"/>
  <c r="K43" i="2"/>
  <c r="W43" i="2" s="1"/>
  <c r="K46" i="2"/>
  <c r="W46" i="2" s="1"/>
  <c r="K47" i="2"/>
  <c r="W47" i="2" s="1"/>
  <c r="K50" i="2"/>
  <c r="W50" i="2" s="1"/>
  <c r="K51" i="2"/>
  <c r="W51" i="2" s="1"/>
  <c r="D16" i="2"/>
  <c r="J16" i="2"/>
  <c r="D17" i="2"/>
  <c r="J17" i="2"/>
  <c r="D18" i="2"/>
  <c r="J18" i="2"/>
  <c r="D21" i="2"/>
  <c r="J21" i="2"/>
  <c r="D23" i="2"/>
  <c r="J23" i="2"/>
  <c r="D26" i="2"/>
  <c r="J26" i="2"/>
  <c r="D27" i="2"/>
  <c r="J27" i="2"/>
  <c r="D28" i="2"/>
  <c r="J28" i="2"/>
  <c r="D31" i="2"/>
  <c r="J31" i="2"/>
  <c r="D41" i="2"/>
  <c r="J41" i="2"/>
  <c r="D43" i="2"/>
  <c r="J43" i="2"/>
  <c r="D50" i="2"/>
  <c r="J50" i="2"/>
  <c r="D19" i="2"/>
  <c r="J19" i="2"/>
  <c r="D25" i="2"/>
  <c r="J25" i="2"/>
  <c r="D32" i="2"/>
  <c r="J32" i="2"/>
  <c r="D35" i="2"/>
  <c r="J35" i="2"/>
  <c r="D37" i="2"/>
  <c r="J37" i="2"/>
  <c r="H10" i="2"/>
  <c r="D40" i="2"/>
  <c r="H11" i="2"/>
  <c r="H13" i="2"/>
  <c r="H14" i="2"/>
  <c r="H20" i="2"/>
  <c r="T21" i="2"/>
  <c r="T25" i="2"/>
  <c r="H26" i="2"/>
  <c r="P11" i="2"/>
  <c r="O49" i="2"/>
  <c r="F9" i="2"/>
  <c r="T17" i="2"/>
  <c r="H18" i="2"/>
  <c r="T18" i="2"/>
  <c r="H19" i="2"/>
  <c r="R9" i="2"/>
  <c r="H29" i="2"/>
  <c r="T29" i="2"/>
  <c r="H30" i="2"/>
  <c r="T30" i="2"/>
  <c r="H33" i="2"/>
  <c r="H35" i="2"/>
  <c r="T35" i="2"/>
  <c r="T38" i="2"/>
  <c r="F49" i="2"/>
  <c r="T52" i="2"/>
  <c r="H53" i="2"/>
  <c r="T54" i="2"/>
  <c r="H56" i="2"/>
  <c r="T56" i="2"/>
  <c r="D14" i="2"/>
  <c r="S9" i="2"/>
  <c r="G9" i="2"/>
  <c r="S49" i="2"/>
  <c r="G49" i="2"/>
  <c r="R49" i="2"/>
  <c r="N49" i="2"/>
  <c r="P50" i="2"/>
  <c r="B49" i="2"/>
  <c r="T20" i="2"/>
  <c r="H17" i="2"/>
  <c r="O9" i="2"/>
  <c r="B9" i="2"/>
  <c r="H34" i="2"/>
  <c r="C49" i="2"/>
  <c r="C9" i="2"/>
  <c r="R16" i="3"/>
  <c r="S52" i="3"/>
  <c r="G27" i="3"/>
  <c r="N33" i="3"/>
  <c r="O14" i="3"/>
  <c r="S29" i="3"/>
  <c r="O52" i="3"/>
  <c r="O43" i="3"/>
  <c r="G25" i="3"/>
  <c r="R54" i="3"/>
  <c r="R41" i="3"/>
  <c r="F28" i="3"/>
  <c r="O31" i="3"/>
  <c r="O47" i="3"/>
  <c r="F51" i="3"/>
  <c r="B54" i="3"/>
  <c r="N23" i="3"/>
  <c r="C40" i="3"/>
  <c r="F21" i="3"/>
  <c r="G24" i="3"/>
  <c r="B35" i="3"/>
  <c r="B43" i="3"/>
  <c r="B18" i="3"/>
  <c r="B42" i="3"/>
  <c r="F26" i="3"/>
  <c r="N51" i="3"/>
  <c r="S37" i="3"/>
  <c r="C20" i="3"/>
  <c r="B24" i="3"/>
  <c r="B45" i="3"/>
  <c r="C28" i="3"/>
  <c r="G40" i="3"/>
  <c r="C24" i="3"/>
  <c r="C10" i="3"/>
  <c r="O30" i="3"/>
  <c r="G42" i="3"/>
  <c r="N45" i="3"/>
  <c r="C53" i="3"/>
  <c r="F20" i="3"/>
  <c r="N20" i="3"/>
  <c r="F34" i="3"/>
  <c r="C39" i="3"/>
  <c r="N29" i="3"/>
  <c r="O40" i="3"/>
  <c r="G34" i="3"/>
  <c r="R15" i="3"/>
  <c r="N42" i="3"/>
  <c r="O35" i="3"/>
  <c r="R29" i="3"/>
  <c r="F53" i="3"/>
  <c r="G31" i="3"/>
  <c r="B47" i="3"/>
  <c r="N55" i="3"/>
  <c r="C31" i="3"/>
  <c r="F25" i="3"/>
  <c r="O33" i="3"/>
  <c r="N31" i="3"/>
  <c r="O21" i="3"/>
  <c r="C47" i="3"/>
  <c r="F31" i="3"/>
  <c r="N30" i="3"/>
  <c r="R19" i="3"/>
  <c r="B27" i="3"/>
  <c r="F45" i="3"/>
  <c r="B28" i="3"/>
  <c r="C16" i="3"/>
  <c r="C22" i="3"/>
  <c r="G11" i="3"/>
  <c r="O50" i="3"/>
  <c r="B31" i="3"/>
  <c r="R20" i="3"/>
  <c r="G53" i="3"/>
  <c r="B23" i="3"/>
  <c r="O46" i="3"/>
  <c r="S36" i="3"/>
  <c r="C30" i="3"/>
  <c r="N53" i="3"/>
  <c r="B21" i="3"/>
  <c r="B46" i="3"/>
  <c r="N54" i="3"/>
  <c r="N35" i="3"/>
  <c r="R47" i="3"/>
  <c r="C38" i="3"/>
  <c r="G19" i="3"/>
  <c r="N48" i="3"/>
  <c r="G47" i="3"/>
  <c r="R46" i="3"/>
  <c r="R30" i="3"/>
  <c r="F15" i="3"/>
  <c r="C19" i="3"/>
  <c r="O23" i="3"/>
  <c r="C54" i="3"/>
  <c r="O34" i="3"/>
  <c r="S19" i="3"/>
  <c r="O55" i="3"/>
  <c r="R25" i="3"/>
  <c r="O32" i="3"/>
  <c r="N38" i="3"/>
  <c r="B48" i="3"/>
  <c r="B50" i="3"/>
  <c r="F36" i="3"/>
  <c r="N32" i="3"/>
  <c r="B41" i="3"/>
  <c r="B29" i="3"/>
  <c r="O39" i="3"/>
  <c r="C11" i="3"/>
  <c r="G36" i="3"/>
  <c r="G54" i="3"/>
  <c r="S30" i="3"/>
  <c r="G26" i="3"/>
  <c r="R21" i="3"/>
  <c r="G48" i="3"/>
  <c r="R12" i="3"/>
  <c r="O45" i="3"/>
  <c r="O42" i="3"/>
  <c r="S51" i="3"/>
  <c r="G46" i="3"/>
  <c r="G45" i="3"/>
  <c r="F17" i="3"/>
  <c r="C36" i="3"/>
  <c r="B34" i="3"/>
  <c r="N26" i="3"/>
  <c r="R28" i="3"/>
  <c r="F18" i="3"/>
  <c r="N37" i="3"/>
  <c r="F42" i="3"/>
  <c r="C43" i="3"/>
  <c r="C52" i="3"/>
  <c r="O54" i="3"/>
  <c r="F47" i="3"/>
  <c r="R10" i="3"/>
  <c r="S13" i="3"/>
  <c r="S12" i="3"/>
  <c r="C15" i="3"/>
  <c r="S45" i="3"/>
  <c r="R55" i="3"/>
  <c r="G56" i="3"/>
  <c r="G21" i="3"/>
  <c r="S56" i="3"/>
  <c r="B40" i="3"/>
  <c r="R37" i="3"/>
  <c r="S24" i="3"/>
  <c r="C13" i="3"/>
  <c r="R33" i="3"/>
  <c r="O27" i="3"/>
  <c r="S48" i="3"/>
  <c r="O53" i="3"/>
  <c r="B51" i="3"/>
  <c r="N46" i="3"/>
  <c r="B32" i="3"/>
  <c r="S42" i="3"/>
  <c r="N13" i="3"/>
  <c r="B44" i="3"/>
  <c r="C50" i="3"/>
  <c r="N52" i="3"/>
  <c r="C29" i="3"/>
  <c r="R32" i="3"/>
  <c r="F24" i="3"/>
  <c r="R31" i="3"/>
  <c r="N14" i="3"/>
  <c r="R42" i="3"/>
  <c r="C34" i="3"/>
  <c r="B16" i="3"/>
  <c r="G15" i="3"/>
  <c r="R18" i="3"/>
  <c r="G10" i="3"/>
  <c r="N34" i="3"/>
  <c r="O41" i="3"/>
  <c r="B56" i="3"/>
  <c r="F11" i="3"/>
  <c r="R56" i="3"/>
  <c r="G52" i="3"/>
  <c r="R48" i="3"/>
  <c r="N18" i="3"/>
  <c r="R50" i="3"/>
  <c r="O16" i="3"/>
  <c r="N27" i="3"/>
  <c r="G30" i="3"/>
  <c r="S46" i="3"/>
  <c r="G55" i="3"/>
  <c r="R11" i="3"/>
  <c r="O17" i="3"/>
  <c r="G37" i="3"/>
  <c r="G44" i="3"/>
  <c r="O20" i="3"/>
  <c r="R40" i="3"/>
  <c r="C18" i="3"/>
  <c r="G41" i="3"/>
  <c r="G18" i="3"/>
  <c r="B36" i="3"/>
  <c r="B19" i="3"/>
  <c r="S27" i="3"/>
  <c r="F37" i="3"/>
  <c r="G50" i="3"/>
  <c r="F54" i="3"/>
  <c r="N16" i="3"/>
  <c r="O51" i="3"/>
  <c r="F32" i="3"/>
  <c r="G39" i="3"/>
  <c r="O11" i="3"/>
  <c r="F16" i="3"/>
  <c r="N17" i="3"/>
  <c r="R17" i="3"/>
  <c r="O18" i="3"/>
  <c r="N28" i="3"/>
  <c r="C35" i="3"/>
  <c r="O56" i="3"/>
  <c r="F30" i="3"/>
  <c r="B13" i="3"/>
  <c r="B20" i="3"/>
  <c r="G33" i="3"/>
  <c r="R43" i="3"/>
  <c r="R22" i="3"/>
  <c r="S22" i="3"/>
  <c r="N24" i="3"/>
  <c r="R34" i="3"/>
  <c r="F41" i="3"/>
  <c r="S25" i="3"/>
  <c r="R51" i="3"/>
  <c r="C37" i="3"/>
  <c r="S40" i="3"/>
  <c r="N22" i="3"/>
  <c r="B17" i="3"/>
  <c r="S35" i="3"/>
  <c r="B33" i="3"/>
  <c r="G38" i="3"/>
  <c r="R44" i="3"/>
  <c r="R38" i="3"/>
  <c r="R45" i="3"/>
  <c r="F33" i="3"/>
  <c r="S15" i="3"/>
  <c r="F35" i="3"/>
  <c r="C44" i="3"/>
  <c r="N11" i="3"/>
  <c r="O37" i="3"/>
  <c r="G23" i="3"/>
  <c r="R52" i="3"/>
  <c r="S26" i="3"/>
  <c r="S50" i="3"/>
  <c r="C21" i="3"/>
  <c r="F43" i="3"/>
  <c r="S21" i="3"/>
  <c r="R35" i="3"/>
  <c r="O19" i="3"/>
  <c r="B30" i="3"/>
  <c r="N19" i="3"/>
  <c r="C56" i="3"/>
  <c r="O38" i="3"/>
  <c r="C46" i="3"/>
  <c r="N15" i="3"/>
  <c r="N36" i="3"/>
  <c r="G12" i="3"/>
  <c r="C23" i="3"/>
  <c r="G29" i="3"/>
  <c r="B52" i="3"/>
  <c r="S39" i="3"/>
  <c r="S54" i="3"/>
  <c r="F29" i="3"/>
  <c r="C41" i="3"/>
  <c r="C33" i="3"/>
  <c r="C51" i="3"/>
  <c r="R39" i="3"/>
  <c r="S55" i="3"/>
  <c r="F39" i="3"/>
  <c r="S47" i="3"/>
  <c r="R53" i="3"/>
  <c r="O48" i="3"/>
  <c r="F38" i="3"/>
  <c r="F10" i="3"/>
  <c r="N39" i="3"/>
  <c r="O25" i="3"/>
  <c r="B37" i="3"/>
  <c r="R14" i="3"/>
  <c r="S16" i="3"/>
  <c r="C48" i="3"/>
  <c r="S38" i="3"/>
  <c r="F12" i="3"/>
  <c r="S17" i="3"/>
  <c r="O22" i="3"/>
  <c r="S11" i="3"/>
  <c r="C45" i="3"/>
  <c r="O15" i="3"/>
  <c r="N44" i="3"/>
  <c r="S44" i="3"/>
  <c r="B14" i="3"/>
  <c r="R23" i="3"/>
  <c r="S33" i="3"/>
  <c r="R26" i="3"/>
  <c r="G43" i="3"/>
  <c r="F44" i="3"/>
  <c r="B11" i="3"/>
  <c r="B53" i="3"/>
  <c r="F14" i="3"/>
  <c r="C12" i="3"/>
  <c r="G20" i="3"/>
  <c r="C55" i="3"/>
  <c r="S34" i="3"/>
  <c r="F40" i="3"/>
  <c r="S28" i="3"/>
  <c r="S31" i="3"/>
  <c r="B39" i="3"/>
  <c r="N50" i="3"/>
  <c r="C17" i="3"/>
  <c r="N10" i="3"/>
  <c r="F52" i="3"/>
  <c r="N21" i="3"/>
  <c r="F55" i="3"/>
  <c r="F23" i="3"/>
  <c r="G17" i="3"/>
  <c r="B55" i="3"/>
  <c r="O12" i="3"/>
  <c r="O24" i="3"/>
  <c r="C42" i="3"/>
  <c r="S18" i="3"/>
  <c r="N12" i="3"/>
  <c r="N43" i="3"/>
  <c r="G28" i="3"/>
  <c r="O44" i="3"/>
  <c r="R36" i="3"/>
  <c r="F27" i="3"/>
  <c r="S32" i="3"/>
  <c r="G35" i="3"/>
  <c r="B38" i="3"/>
  <c r="G16" i="3"/>
  <c r="F56" i="3"/>
  <c r="N56" i="3"/>
  <c r="S43" i="3"/>
  <c r="B12" i="3"/>
  <c r="S41" i="3"/>
  <c r="B26" i="3"/>
  <c r="N41" i="3"/>
  <c r="N25" i="3"/>
  <c r="C26" i="3"/>
  <c r="G51" i="3"/>
  <c r="G22" i="3"/>
  <c r="S23" i="3"/>
  <c r="C25" i="3"/>
  <c r="C14" i="3"/>
  <c r="N47" i="3"/>
  <c r="R27" i="3"/>
  <c r="G14" i="3"/>
  <c r="O10" i="3"/>
  <c r="C32" i="3"/>
  <c r="O29" i="3"/>
  <c r="C27" i="3"/>
  <c r="O36" i="3"/>
  <c r="G13" i="3"/>
  <c r="F48" i="3"/>
  <c r="S20" i="3"/>
  <c r="R13" i="3"/>
  <c r="O13" i="3"/>
  <c r="F22" i="3"/>
  <c r="O26" i="3"/>
  <c r="B10" i="3"/>
  <c r="B22" i="3"/>
  <c r="R24" i="3"/>
  <c r="B25" i="3"/>
  <c r="F50" i="3"/>
  <c r="O28" i="3"/>
  <c r="G32" i="3"/>
  <c r="S10" i="3"/>
  <c r="F46" i="3"/>
  <c r="N40" i="3"/>
  <c r="S14" i="3"/>
  <c r="F13" i="3"/>
  <c r="S53" i="3"/>
  <c r="B15" i="3"/>
  <c r="F19" i="3"/>
  <c r="F19" i="4" l="1"/>
  <c r="H19" i="3"/>
  <c r="J15" i="3"/>
  <c r="B15" i="4"/>
  <c r="J15" i="4" s="1"/>
  <c r="D15" i="3"/>
  <c r="S53" i="4"/>
  <c r="H13" i="3"/>
  <c r="F13" i="4"/>
  <c r="H13" i="4" s="1"/>
  <c r="S14" i="4"/>
  <c r="P40" i="3"/>
  <c r="N40" i="4"/>
  <c r="H46" i="3"/>
  <c r="F46" i="4"/>
  <c r="S9" i="3"/>
  <c r="S10" i="4"/>
  <c r="G32" i="4"/>
  <c r="H32" i="4" s="1"/>
  <c r="O28" i="4"/>
  <c r="F50" i="4"/>
  <c r="H50" i="3"/>
  <c r="F49" i="3"/>
  <c r="H49" i="3" s="1"/>
  <c r="B25" i="4"/>
  <c r="J25" i="3"/>
  <c r="D25" i="3"/>
  <c r="T24" i="3"/>
  <c r="R24" i="4"/>
  <c r="B22" i="4"/>
  <c r="J22" i="3"/>
  <c r="D22" i="3"/>
  <c r="B9" i="3"/>
  <c r="D10" i="3"/>
  <c r="B10" i="4"/>
  <c r="J10" i="3"/>
  <c r="L10" i="3" s="1"/>
  <c r="O26" i="4"/>
  <c r="F22" i="4"/>
  <c r="H22" i="3"/>
  <c r="O13" i="4"/>
  <c r="P13" i="4" s="1"/>
  <c r="T13" i="3"/>
  <c r="R13" i="4"/>
  <c r="S20" i="4"/>
  <c r="F48" i="4"/>
  <c r="H48" i="4" s="1"/>
  <c r="H48" i="3"/>
  <c r="G13" i="4"/>
  <c r="O36" i="4"/>
  <c r="C27" i="4"/>
  <c r="D27" i="4" s="1"/>
  <c r="K27" i="3"/>
  <c r="W27" i="3" s="1"/>
  <c r="O29" i="4"/>
  <c r="C32" i="4"/>
  <c r="K32" i="3"/>
  <c r="W32" i="3" s="1"/>
  <c r="O10" i="4"/>
  <c r="O9" i="3"/>
  <c r="G14" i="4"/>
  <c r="T27" i="3"/>
  <c r="R27" i="4"/>
  <c r="N47" i="4"/>
  <c r="P47" i="3"/>
  <c r="K14" i="3"/>
  <c r="W14" i="3" s="1"/>
  <c r="C14" i="4"/>
  <c r="K25" i="3"/>
  <c r="W25" i="3" s="1"/>
  <c r="C25" i="4"/>
  <c r="S23" i="4"/>
  <c r="T23" i="4" s="1"/>
  <c r="G22" i="4"/>
  <c r="G51" i="4"/>
  <c r="C26" i="4"/>
  <c r="K26" i="3"/>
  <c r="W26" i="3" s="1"/>
  <c r="P25" i="3"/>
  <c r="N25" i="4"/>
  <c r="N41" i="4"/>
  <c r="P41" i="3"/>
  <c r="B26" i="4"/>
  <c r="J26" i="3"/>
  <c r="D26" i="3"/>
  <c r="S41" i="4"/>
  <c r="T41" i="4" s="1"/>
  <c r="B12" i="4"/>
  <c r="J12" i="3"/>
  <c r="D12" i="3"/>
  <c r="S43" i="4"/>
  <c r="T43" i="4" s="1"/>
  <c r="N56" i="4"/>
  <c r="P56" i="3"/>
  <c r="H56" i="3"/>
  <c r="F56" i="4"/>
  <c r="G16" i="4"/>
  <c r="D38" i="3"/>
  <c r="J38" i="3"/>
  <c r="B38" i="4"/>
  <c r="J38" i="4" s="1"/>
  <c r="G35" i="4"/>
  <c r="S32" i="4"/>
  <c r="F27" i="4"/>
  <c r="H27" i="3"/>
  <c r="T36" i="3"/>
  <c r="R36" i="4"/>
  <c r="O44" i="4"/>
  <c r="G28" i="4"/>
  <c r="K28" i="4" s="1"/>
  <c r="W28" i="4" s="1"/>
  <c r="N43" i="4"/>
  <c r="P43" i="3"/>
  <c r="N12" i="4"/>
  <c r="P12" i="3"/>
  <c r="S18" i="4"/>
  <c r="K42" i="3"/>
  <c r="W42" i="3" s="1"/>
  <c r="C42" i="4"/>
  <c r="O24" i="4"/>
  <c r="O12" i="4"/>
  <c r="B55" i="4"/>
  <c r="D55" i="3"/>
  <c r="J55" i="3"/>
  <c r="V55" i="3" s="1"/>
  <c r="X55" i="3" s="1"/>
  <c r="G17" i="4"/>
  <c r="F23" i="4"/>
  <c r="H23" i="3"/>
  <c r="H55" i="3"/>
  <c r="F55" i="4"/>
  <c r="N21" i="4"/>
  <c r="P21" i="3"/>
  <c r="F52" i="4"/>
  <c r="H52" i="4" s="1"/>
  <c r="H52" i="3"/>
  <c r="P10" i="3"/>
  <c r="N9" i="3"/>
  <c r="N10" i="4"/>
  <c r="P10" i="4" s="1"/>
  <c r="K17" i="3"/>
  <c r="W17" i="3" s="1"/>
  <c r="C17" i="4"/>
  <c r="N49" i="3"/>
  <c r="N50" i="4"/>
  <c r="N49" i="4" s="1"/>
  <c r="P50" i="3"/>
  <c r="B39" i="4"/>
  <c r="J39" i="3"/>
  <c r="D39" i="3"/>
  <c r="S31" i="4"/>
  <c r="S28" i="4"/>
  <c r="F40" i="4"/>
  <c r="H40" i="3"/>
  <c r="S34" i="4"/>
  <c r="K55" i="3"/>
  <c r="W55" i="3" s="1"/>
  <c r="C55" i="4"/>
  <c r="G20" i="4"/>
  <c r="H20" i="4" s="1"/>
  <c r="C12" i="4"/>
  <c r="K12" i="3"/>
  <c r="W12" i="3" s="1"/>
  <c r="H14" i="3"/>
  <c r="F14" i="4"/>
  <c r="H14" i="4" s="1"/>
  <c r="J53" i="3"/>
  <c r="D53" i="3"/>
  <c r="B53" i="4"/>
  <c r="J11" i="3"/>
  <c r="V11" i="3" s="1"/>
  <c r="X11" i="3" s="1"/>
  <c r="D11" i="3"/>
  <c r="B11" i="4"/>
  <c r="F44" i="4"/>
  <c r="H44" i="3"/>
  <c r="G43" i="4"/>
  <c r="R26" i="4"/>
  <c r="T26" i="3"/>
  <c r="S33" i="4"/>
  <c r="R23" i="4"/>
  <c r="T23" i="3"/>
  <c r="B14" i="4"/>
  <c r="J14" i="3"/>
  <c r="V14" i="3" s="1"/>
  <c r="X14" i="3" s="1"/>
  <c r="D14" i="3"/>
  <c r="S44" i="4"/>
  <c r="N44" i="4"/>
  <c r="P44" i="3"/>
  <c r="O15" i="4"/>
  <c r="C45" i="4"/>
  <c r="K45" i="3"/>
  <c r="W45" i="3" s="1"/>
  <c r="S11" i="4"/>
  <c r="O22" i="4"/>
  <c r="S17" i="4"/>
  <c r="F12" i="4"/>
  <c r="H12" i="3"/>
  <c r="S38" i="4"/>
  <c r="C48" i="4"/>
  <c r="K48" i="3"/>
  <c r="W48" i="3" s="1"/>
  <c r="S16" i="4"/>
  <c r="W16" i="4" s="1"/>
  <c r="R14" i="4"/>
  <c r="T14" i="3"/>
  <c r="B37" i="4"/>
  <c r="D37" i="3"/>
  <c r="J37" i="3"/>
  <c r="O25" i="4"/>
  <c r="P39" i="3"/>
  <c r="N39" i="4"/>
  <c r="P39" i="4" s="1"/>
  <c r="F10" i="4"/>
  <c r="H10" i="3"/>
  <c r="F9" i="3"/>
  <c r="H38" i="3"/>
  <c r="F38" i="4"/>
  <c r="O48" i="4"/>
  <c r="R53" i="4"/>
  <c r="T53" i="3"/>
  <c r="S47" i="4"/>
  <c r="F39" i="4"/>
  <c r="H39" i="3"/>
  <c r="S55" i="4"/>
  <c r="T55" i="4" s="1"/>
  <c r="R39" i="4"/>
  <c r="T39" i="3"/>
  <c r="K51" i="3"/>
  <c r="W51" i="3" s="1"/>
  <c r="C51" i="4"/>
  <c r="C49" i="4" s="1"/>
  <c r="C33" i="4"/>
  <c r="K33" i="3"/>
  <c r="W33" i="3" s="1"/>
  <c r="K41" i="3"/>
  <c r="W41" i="3" s="1"/>
  <c r="C41" i="4"/>
  <c r="K41" i="4" s="1"/>
  <c r="W41" i="4" s="1"/>
  <c r="F29" i="4"/>
  <c r="H29" i="3"/>
  <c r="S54" i="4"/>
  <c r="S39" i="4"/>
  <c r="T39" i="4" s="1"/>
  <c r="B52" i="4"/>
  <c r="J52" i="3"/>
  <c r="D52" i="3"/>
  <c r="G29" i="4"/>
  <c r="H29" i="4" s="1"/>
  <c r="C23" i="4"/>
  <c r="K23" i="3"/>
  <c r="W23" i="3" s="1"/>
  <c r="G12" i="4"/>
  <c r="N36" i="4"/>
  <c r="P36" i="4" s="1"/>
  <c r="P36" i="3"/>
  <c r="N15" i="4"/>
  <c r="P15" i="3"/>
  <c r="C46" i="4"/>
  <c r="D46" i="4" s="1"/>
  <c r="K46" i="3"/>
  <c r="W46" i="3" s="1"/>
  <c r="O38" i="4"/>
  <c r="C56" i="4"/>
  <c r="K56" i="3"/>
  <c r="W56" i="3" s="1"/>
  <c r="P19" i="3"/>
  <c r="N19" i="4"/>
  <c r="B30" i="4"/>
  <c r="J30" i="3"/>
  <c r="D30" i="3"/>
  <c r="O19" i="4"/>
  <c r="R35" i="4"/>
  <c r="T35" i="3"/>
  <c r="S21" i="4"/>
  <c r="H43" i="3"/>
  <c r="F43" i="4"/>
  <c r="K21" i="3"/>
  <c r="W21" i="3" s="1"/>
  <c r="C21" i="4"/>
  <c r="S50" i="4"/>
  <c r="S49" i="3"/>
  <c r="S26" i="4"/>
  <c r="T52" i="3"/>
  <c r="R52" i="4"/>
  <c r="G23" i="4"/>
  <c r="O37" i="4"/>
  <c r="N11" i="4"/>
  <c r="P11" i="3"/>
  <c r="K44" i="3"/>
  <c r="W44" i="3" s="1"/>
  <c r="C44" i="4"/>
  <c r="K44" i="4" s="1"/>
  <c r="W44" i="4" s="1"/>
  <c r="F35" i="4"/>
  <c r="H35" i="3"/>
  <c r="S15" i="4"/>
  <c r="H33" i="3"/>
  <c r="F33" i="4"/>
  <c r="R45" i="4"/>
  <c r="T45" i="3"/>
  <c r="R38" i="4"/>
  <c r="T38" i="4" s="1"/>
  <c r="T38" i="3"/>
  <c r="R44" i="4"/>
  <c r="T44" i="3"/>
  <c r="G38" i="4"/>
  <c r="H38" i="4" s="1"/>
  <c r="J33" i="3"/>
  <c r="B33" i="4"/>
  <c r="D33" i="3"/>
  <c r="S35" i="4"/>
  <c r="T35" i="4" s="1"/>
  <c r="J17" i="3"/>
  <c r="B17" i="4"/>
  <c r="D17" i="3"/>
  <c r="N22" i="4"/>
  <c r="P22" i="4" s="1"/>
  <c r="P22" i="3"/>
  <c r="S40" i="4"/>
  <c r="C37" i="4"/>
  <c r="K37" i="3"/>
  <c r="W37" i="3" s="1"/>
  <c r="R51" i="4"/>
  <c r="T51" i="3"/>
  <c r="S25" i="4"/>
  <c r="H41" i="3"/>
  <c r="F41" i="4"/>
  <c r="T34" i="3"/>
  <c r="R34" i="4"/>
  <c r="T34" i="4" s="1"/>
  <c r="N24" i="4"/>
  <c r="P24" i="4" s="1"/>
  <c r="P24" i="3"/>
  <c r="S22" i="4"/>
  <c r="R22" i="4"/>
  <c r="T22" i="3"/>
  <c r="R43" i="4"/>
  <c r="T43" i="3"/>
  <c r="G33" i="4"/>
  <c r="J20" i="3"/>
  <c r="V20" i="3" s="1"/>
  <c r="X20" i="3" s="1"/>
  <c r="B20" i="4"/>
  <c r="D20" i="3"/>
  <c r="B13" i="4"/>
  <c r="J13" i="3"/>
  <c r="L13" i="3" s="1"/>
  <c r="D13" i="3"/>
  <c r="F30" i="4"/>
  <c r="H30" i="3"/>
  <c r="O56" i="4"/>
  <c r="P56" i="4" s="1"/>
  <c r="C35" i="4"/>
  <c r="K35" i="3"/>
  <c r="W35" i="3" s="1"/>
  <c r="N28" i="4"/>
  <c r="P28" i="3"/>
  <c r="O18" i="4"/>
  <c r="R17" i="4"/>
  <c r="T17" i="4" s="1"/>
  <c r="T17" i="3"/>
  <c r="N17" i="4"/>
  <c r="P17" i="4" s="1"/>
  <c r="P17" i="3"/>
  <c r="H16" i="3"/>
  <c r="F16" i="4"/>
  <c r="O11" i="4"/>
  <c r="G39" i="4"/>
  <c r="F32" i="4"/>
  <c r="H32" i="3"/>
  <c r="O51" i="4"/>
  <c r="P51" i="4" s="1"/>
  <c r="N16" i="4"/>
  <c r="P16" i="3"/>
  <c r="F54" i="4"/>
  <c r="H54" i="3"/>
  <c r="G50" i="4"/>
  <c r="G49" i="3"/>
  <c r="F37" i="4"/>
  <c r="H37" i="3"/>
  <c r="S27" i="4"/>
  <c r="J19" i="3"/>
  <c r="B19" i="4"/>
  <c r="J19" i="4" s="1"/>
  <c r="D19" i="3"/>
  <c r="B36" i="4"/>
  <c r="D36" i="3"/>
  <c r="J36" i="3"/>
  <c r="G18" i="4"/>
  <c r="K18" i="4" s="1"/>
  <c r="W18" i="4" s="1"/>
  <c r="G41" i="4"/>
  <c r="C18" i="4"/>
  <c r="K18" i="3"/>
  <c r="W18" i="3" s="1"/>
  <c r="R40" i="4"/>
  <c r="T40" i="4" s="1"/>
  <c r="T40" i="3"/>
  <c r="O20" i="4"/>
  <c r="G44" i="4"/>
  <c r="H44" i="4" s="1"/>
  <c r="G37" i="4"/>
  <c r="H37" i="4" s="1"/>
  <c r="O17" i="4"/>
  <c r="T11" i="3"/>
  <c r="R11" i="4"/>
  <c r="G55" i="4"/>
  <c r="K55" i="4" s="1"/>
  <c r="W55" i="4" s="1"/>
  <c r="S46" i="4"/>
  <c r="G30" i="4"/>
  <c r="N27" i="4"/>
  <c r="P27" i="3"/>
  <c r="O16" i="4"/>
  <c r="R49" i="3"/>
  <c r="R50" i="4"/>
  <c r="T50" i="3"/>
  <c r="N18" i="4"/>
  <c r="P18" i="3"/>
  <c r="R48" i="4"/>
  <c r="T48" i="3"/>
  <c r="G52" i="4"/>
  <c r="R56" i="4"/>
  <c r="T56" i="3"/>
  <c r="H11" i="3"/>
  <c r="F11" i="4"/>
  <c r="B56" i="4"/>
  <c r="J56" i="3"/>
  <c r="D56" i="3"/>
  <c r="O41" i="4"/>
  <c r="N34" i="4"/>
  <c r="P34" i="3"/>
  <c r="G10" i="4"/>
  <c r="G9" i="3"/>
  <c r="R18" i="4"/>
  <c r="T18" i="4" s="1"/>
  <c r="T18" i="3"/>
  <c r="G15" i="4"/>
  <c r="H15" i="4" s="1"/>
  <c r="J16" i="3"/>
  <c r="B16" i="4"/>
  <c r="D16" i="3"/>
  <c r="C34" i="4"/>
  <c r="K34" i="4" s="1"/>
  <c r="K34" i="3"/>
  <c r="W34" i="3" s="1"/>
  <c r="R42" i="4"/>
  <c r="T42" i="3"/>
  <c r="N14" i="4"/>
  <c r="P14" i="4" s="1"/>
  <c r="P14" i="3"/>
  <c r="R31" i="4"/>
  <c r="T31" i="3"/>
  <c r="F24" i="4"/>
  <c r="H24" i="4" s="1"/>
  <c r="H24" i="3"/>
  <c r="R32" i="4"/>
  <c r="T32" i="3"/>
  <c r="K29" i="3"/>
  <c r="W29" i="3" s="1"/>
  <c r="C29" i="4"/>
  <c r="N52" i="4"/>
  <c r="P52" i="3"/>
  <c r="K50" i="3"/>
  <c r="W50" i="3" s="1"/>
  <c r="C49" i="3"/>
  <c r="C50" i="4"/>
  <c r="B44" i="4"/>
  <c r="J44" i="4" s="1"/>
  <c r="D44" i="3"/>
  <c r="J44" i="3"/>
  <c r="N13" i="4"/>
  <c r="P13" i="3"/>
  <c r="S42" i="4"/>
  <c r="T42" i="4" s="1"/>
  <c r="J32" i="3"/>
  <c r="B32" i="4"/>
  <c r="D32" i="3"/>
  <c r="P46" i="3"/>
  <c r="N46" i="4"/>
  <c r="D51" i="3"/>
  <c r="B51" i="4"/>
  <c r="J51" i="3"/>
  <c r="V51" i="3" s="1"/>
  <c r="X51" i="3" s="1"/>
  <c r="O53" i="4"/>
  <c r="S48" i="4"/>
  <c r="O27" i="4"/>
  <c r="R33" i="4"/>
  <c r="T33" i="4" s="1"/>
  <c r="T33" i="3"/>
  <c r="K13" i="3"/>
  <c r="W13" i="3" s="1"/>
  <c r="C13" i="4"/>
  <c r="S24" i="4"/>
  <c r="T24" i="4" s="1"/>
  <c r="R37" i="4"/>
  <c r="T37" i="3"/>
  <c r="B40" i="4"/>
  <c r="J40" i="3"/>
  <c r="V40" i="3" s="1"/>
  <c r="X40" i="3" s="1"/>
  <c r="D40" i="3"/>
  <c r="S56" i="4"/>
  <c r="G21" i="4"/>
  <c r="K21" i="4" s="1"/>
  <c r="G56" i="4"/>
  <c r="K56" i="4" s="1"/>
  <c r="W56" i="4" s="1"/>
  <c r="T55" i="3"/>
  <c r="R55" i="4"/>
  <c r="S45" i="4"/>
  <c r="K15" i="3"/>
  <c r="W15" i="3" s="1"/>
  <c r="C15" i="4"/>
  <c r="S12" i="4"/>
  <c r="S13" i="4"/>
  <c r="T13" i="4" s="1"/>
  <c r="R9" i="3"/>
  <c r="R8" i="3" s="1"/>
  <c r="T10" i="3"/>
  <c r="R10" i="4"/>
  <c r="F47" i="4"/>
  <c r="H47" i="3"/>
  <c r="O54" i="4"/>
  <c r="K52" i="3"/>
  <c r="W52" i="3" s="1"/>
  <c r="C52" i="4"/>
  <c r="K52" i="4" s="1"/>
  <c r="C43" i="4"/>
  <c r="D43" i="4" s="1"/>
  <c r="K43" i="3"/>
  <c r="W43" i="3" s="1"/>
  <c r="F42" i="4"/>
  <c r="H42" i="3"/>
  <c r="N37" i="4"/>
  <c r="P37" i="4" s="1"/>
  <c r="P37" i="3"/>
  <c r="F18" i="4"/>
  <c r="H18" i="3"/>
  <c r="R28" i="4"/>
  <c r="T28" i="4" s="1"/>
  <c r="T28" i="3"/>
  <c r="N26" i="4"/>
  <c r="P26" i="3"/>
  <c r="J34" i="3"/>
  <c r="L34" i="3" s="1"/>
  <c r="B34" i="4"/>
  <c r="D34" i="3"/>
  <c r="C36" i="4"/>
  <c r="K36" i="3"/>
  <c r="W36" i="3" s="1"/>
  <c r="F17" i="4"/>
  <c r="H17" i="4" s="1"/>
  <c r="H17" i="3"/>
  <c r="G45" i="4"/>
  <c r="K45" i="4" s="1"/>
  <c r="G46" i="4"/>
  <c r="H46" i="4" s="1"/>
  <c r="S51" i="4"/>
  <c r="O42" i="4"/>
  <c r="O45" i="4"/>
  <c r="R12" i="4"/>
  <c r="T12" i="4" s="1"/>
  <c r="T12" i="3"/>
  <c r="G48" i="4"/>
  <c r="T21" i="3"/>
  <c r="R21" i="4"/>
  <c r="T21" i="4" s="1"/>
  <c r="G26" i="4"/>
  <c r="S30" i="4"/>
  <c r="G54" i="4"/>
  <c r="G36" i="4"/>
  <c r="K36" i="4" s="1"/>
  <c r="W36" i="4" s="1"/>
  <c r="K11" i="3"/>
  <c r="W11" i="3" s="1"/>
  <c r="C11" i="4"/>
  <c r="O39" i="4"/>
  <c r="D29" i="3"/>
  <c r="J29" i="3"/>
  <c r="B29" i="4"/>
  <c r="J41" i="3"/>
  <c r="V41" i="3" s="1"/>
  <c r="X41" i="3" s="1"/>
  <c r="B41" i="4"/>
  <c r="J41" i="4" s="1"/>
  <c r="D41" i="3"/>
  <c r="N32" i="4"/>
  <c r="P32" i="3"/>
  <c r="F36" i="4"/>
  <c r="J36" i="4" s="1"/>
  <c r="H36" i="3"/>
  <c r="B50" i="4"/>
  <c r="J50" i="4" s="1"/>
  <c r="J50" i="3"/>
  <c r="B49" i="3"/>
  <c r="J49" i="3" s="1"/>
  <c r="D50" i="3"/>
  <c r="B48" i="4"/>
  <c r="D48" i="3"/>
  <c r="J48" i="3"/>
  <c r="L48" i="3" s="1"/>
  <c r="N38" i="4"/>
  <c r="P38" i="3"/>
  <c r="O32" i="4"/>
  <c r="R25" i="4"/>
  <c r="T25" i="4" s="1"/>
  <c r="T25" i="3"/>
  <c r="O55" i="4"/>
  <c r="S19" i="4"/>
  <c r="O34" i="4"/>
  <c r="P34" i="4" s="1"/>
  <c r="K54" i="3"/>
  <c r="W54" i="3" s="1"/>
  <c r="C54" i="4"/>
  <c r="O23" i="4"/>
  <c r="C19" i="4"/>
  <c r="K19" i="4" s="1"/>
  <c r="W19" i="4" s="1"/>
  <c r="K19" i="3"/>
  <c r="W19" i="3" s="1"/>
  <c r="F15" i="4"/>
  <c r="H15" i="3"/>
  <c r="R30" i="4"/>
  <c r="T30" i="4" s="1"/>
  <c r="T30" i="3"/>
  <c r="T46" i="3"/>
  <c r="R46" i="4"/>
  <c r="T46" i="4" s="1"/>
  <c r="G47" i="4"/>
  <c r="H47" i="4" s="1"/>
  <c r="P48" i="3"/>
  <c r="N48" i="4"/>
  <c r="G19" i="4"/>
  <c r="H19" i="4" s="1"/>
  <c r="K38" i="3"/>
  <c r="W38" i="3" s="1"/>
  <c r="C38" i="4"/>
  <c r="R47" i="4"/>
  <c r="T47" i="4" s="1"/>
  <c r="T47" i="3"/>
  <c r="N35" i="4"/>
  <c r="P35" i="4" s="1"/>
  <c r="P35" i="3"/>
  <c r="N54" i="4"/>
  <c r="P54" i="4" s="1"/>
  <c r="P54" i="3"/>
  <c r="J46" i="3"/>
  <c r="L46" i="3" s="1"/>
  <c r="B46" i="4"/>
  <c r="D46" i="3"/>
  <c r="B21" i="4"/>
  <c r="J21" i="3"/>
  <c r="L21" i="3" s="1"/>
  <c r="D21" i="3"/>
  <c r="N53" i="4"/>
  <c r="P53" i="4" s="1"/>
  <c r="P53" i="3"/>
  <c r="K30" i="3"/>
  <c r="W30" i="3" s="1"/>
  <c r="C30" i="4"/>
  <c r="S36" i="4"/>
  <c r="T36" i="4" s="1"/>
  <c r="O46" i="4"/>
  <c r="B23" i="4"/>
  <c r="D23" i="4" s="1"/>
  <c r="D23" i="3"/>
  <c r="J23" i="3"/>
  <c r="V23" i="3" s="1"/>
  <c r="X23" i="3" s="1"/>
  <c r="G53" i="4"/>
  <c r="R20" i="4"/>
  <c r="T20" i="4" s="1"/>
  <c r="T20" i="3"/>
  <c r="B31" i="4"/>
  <c r="J31" i="4" s="1"/>
  <c r="D31" i="3"/>
  <c r="J31" i="3"/>
  <c r="V31" i="3" s="1"/>
  <c r="X31" i="3" s="1"/>
  <c r="O49" i="3"/>
  <c r="O50" i="4"/>
  <c r="G11" i="4"/>
  <c r="H11" i="4" s="1"/>
  <c r="K22" i="3"/>
  <c r="W22" i="3" s="1"/>
  <c r="C22" i="4"/>
  <c r="D22" i="4" s="1"/>
  <c r="K16" i="3"/>
  <c r="W16" i="3" s="1"/>
  <c r="C16" i="4"/>
  <c r="B28" i="4"/>
  <c r="D28" i="3"/>
  <c r="J28" i="3"/>
  <c r="F45" i="4"/>
  <c r="H45" i="4" s="1"/>
  <c r="H45" i="3"/>
  <c r="B27" i="4"/>
  <c r="J27" i="3"/>
  <c r="V27" i="3" s="1"/>
  <c r="X27" i="3" s="1"/>
  <c r="D27" i="3"/>
  <c r="R19" i="4"/>
  <c r="T19" i="4" s="1"/>
  <c r="T19" i="3"/>
  <c r="N30" i="4"/>
  <c r="P30" i="3"/>
  <c r="H31" i="3"/>
  <c r="F31" i="4"/>
  <c r="K47" i="3"/>
  <c r="W47" i="3" s="1"/>
  <c r="C47" i="4"/>
  <c r="O21" i="4"/>
  <c r="P21" i="4" s="1"/>
  <c r="P31" i="3"/>
  <c r="N31" i="4"/>
  <c r="P31" i="4" s="1"/>
  <c r="O33" i="4"/>
  <c r="F25" i="4"/>
  <c r="H25" i="4" s="1"/>
  <c r="H25" i="3"/>
  <c r="C31" i="4"/>
  <c r="K31" i="3"/>
  <c r="W31" i="3" s="1"/>
  <c r="P55" i="3"/>
  <c r="N55" i="4"/>
  <c r="J47" i="3"/>
  <c r="L47" i="3" s="1"/>
  <c r="B47" i="4"/>
  <c r="J47" i="4" s="1"/>
  <c r="D47" i="3"/>
  <c r="G31" i="4"/>
  <c r="H53" i="3"/>
  <c r="F53" i="4"/>
  <c r="T29" i="3"/>
  <c r="R29" i="4"/>
  <c r="O35" i="4"/>
  <c r="N42" i="4"/>
  <c r="P42" i="3"/>
  <c r="T15" i="3"/>
  <c r="R15" i="4"/>
  <c r="G34" i="4"/>
  <c r="O40" i="4"/>
  <c r="P40" i="4" s="1"/>
  <c r="N29" i="4"/>
  <c r="P29" i="3"/>
  <c r="K39" i="3"/>
  <c r="W39" i="3" s="1"/>
  <c r="C39" i="4"/>
  <c r="K39" i="4" s="1"/>
  <c r="W39" i="4" s="1"/>
  <c r="F34" i="4"/>
  <c r="H34" i="3"/>
  <c r="N20" i="4"/>
  <c r="P20" i="3"/>
  <c r="F20" i="4"/>
  <c r="H20" i="3"/>
  <c r="C53" i="4"/>
  <c r="D53" i="4" s="1"/>
  <c r="K53" i="3"/>
  <c r="W53" i="3" s="1"/>
  <c r="P45" i="3"/>
  <c r="N45" i="4"/>
  <c r="G42" i="4"/>
  <c r="K42" i="4" s="1"/>
  <c r="O30" i="4"/>
  <c r="P30" i="4" s="1"/>
  <c r="K10" i="3"/>
  <c r="C9" i="3"/>
  <c r="C10" i="4"/>
  <c r="D10" i="4" s="1"/>
  <c r="C24" i="4"/>
  <c r="K24" i="4" s="1"/>
  <c r="W24" i="4" s="1"/>
  <c r="K24" i="3"/>
  <c r="W24" i="3" s="1"/>
  <c r="G40" i="4"/>
  <c r="H40" i="4" s="1"/>
  <c r="C28" i="4"/>
  <c r="K28" i="3"/>
  <c r="W28" i="3" s="1"/>
  <c r="J45" i="3"/>
  <c r="L45" i="3" s="1"/>
  <c r="D45" i="3"/>
  <c r="B45" i="4"/>
  <c r="B24" i="4"/>
  <c r="J24" i="4" s="1"/>
  <c r="J24" i="3"/>
  <c r="D24" i="3"/>
  <c r="K20" i="3"/>
  <c r="W20" i="3" s="1"/>
  <c r="C20" i="4"/>
  <c r="K20" i="4" s="1"/>
  <c r="W20" i="4" s="1"/>
  <c r="S37" i="4"/>
  <c r="N51" i="4"/>
  <c r="P51" i="3"/>
  <c r="F26" i="4"/>
  <c r="H26" i="4" s="1"/>
  <c r="H26" i="3"/>
  <c r="J42" i="3"/>
  <c r="L42" i="3" s="1"/>
  <c r="B42" i="4"/>
  <c r="D42" i="3"/>
  <c r="J18" i="3"/>
  <c r="B18" i="4"/>
  <c r="J18" i="4" s="1"/>
  <c r="D18" i="3"/>
  <c r="J43" i="3"/>
  <c r="V43" i="3" s="1"/>
  <c r="X43" i="3" s="1"/>
  <c r="B43" i="4"/>
  <c r="D43" i="3"/>
  <c r="B35" i="4"/>
  <c r="J35" i="4" s="1"/>
  <c r="D35" i="3"/>
  <c r="J35" i="3"/>
  <c r="L35" i="3" s="1"/>
  <c r="G24" i="4"/>
  <c r="H21" i="3"/>
  <c r="F21" i="4"/>
  <c r="H21" i="4" s="1"/>
  <c r="K40" i="3"/>
  <c r="W40" i="3" s="1"/>
  <c r="C40" i="4"/>
  <c r="K40" i="4" s="1"/>
  <c r="N23" i="4"/>
  <c r="P23" i="3"/>
  <c r="B54" i="4"/>
  <c r="J54" i="3"/>
  <c r="L54" i="3" s="1"/>
  <c r="D54" i="3"/>
  <c r="H51" i="3"/>
  <c r="F51" i="4"/>
  <c r="H51" i="4" s="1"/>
  <c r="O47" i="4"/>
  <c r="P47" i="4" s="1"/>
  <c r="O31" i="4"/>
  <c r="F28" i="4"/>
  <c r="H28" i="4" s="1"/>
  <c r="H28" i="3"/>
  <c r="R41" i="4"/>
  <c r="T41" i="3"/>
  <c r="R54" i="4"/>
  <c r="R49" i="4" s="1"/>
  <c r="T54" i="3"/>
  <c r="G25" i="4"/>
  <c r="K25" i="4" s="1"/>
  <c r="W25" i="4" s="1"/>
  <c r="O43" i="4"/>
  <c r="O52" i="4"/>
  <c r="P52" i="4" s="1"/>
  <c r="S29" i="4"/>
  <c r="O14" i="4"/>
  <c r="P33" i="3"/>
  <c r="N33" i="4"/>
  <c r="P33" i="4" s="1"/>
  <c r="G27" i="4"/>
  <c r="S52" i="4"/>
  <c r="T52" i="4" s="1"/>
  <c r="T16" i="3"/>
  <c r="R16" i="4"/>
  <c r="T16" i="4" s="1"/>
  <c r="T37" i="4"/>
  <c r="H39" i="4"/>
  <c r="G8" i="3"/>
  <c r="K16" i="4"/>
  <c r="T56" i="4"/>
  <c r="H35" i="4"/>
  <c r="H23" i="4"/>
  <c r="X15" i="2"/>
  <c r="H54" i="4"/>
  <c r="H43" i="4"/>
  <c r="L15" i="2"/>
  <c r="T29" i="4"/>
  <c r="T27" i="4"/>
  <c r="H42" i="4"/>
  <c r="H33" i="4"/>
  <c r="H41" i="4"/>
  <c r="H27" i="4"/>
  <c r="K33" i="4"/>
  <c r="K17" i="4"/>
  <c r="W17" i="4" s="1"/>
  <c r="K13" i="4"/>
  <c r="K49" i="3"/>
  <c r="T53" i="4"/>
  <c r="T44" i="4"/>
  <c r="T32" i="4"/>
  <c r="T22" i="4"/>
  <c r="H16" i="4"/>
  <c r="T14" i="4"/>
  <c r="K53" i="4"/>
  <c r="W53" i="4" s="1"/>
  <c r="O8" i="3"/>
  <c r="K30" i="4"/>
  <c r="K22" i="4"/>
  <c r="W22" i="4" s="1"/>
  <c r="K14" i="4"/>
  <c r="H53" i="4"/>
  <c r="T51" i="4"/>
  <c r="H34" i="4"/>
  <c r="H22" i="4"/>
  <c r="K26" i="4"/>
  <c r="W26" i="4" s="1"/>
  <c r="S8" i="3"/>
  <c r="T45" i="4"/>
  <c r="P45" i="4"/>
  <c r="P25" i="4"/>
  <c r="P41" i="4"/>
  <c r="L14" i="2"/>
  <c r="H50" i="4"/>
  <c r="T31" i="4"/>
  <c r="H30" i="4"/>
  <c r="H12" i="4"/>
  <c r="K35" i="4"/>
  <c r="K31" i="4"/>
  <c r="W31" i="4" s="1"/>
  <c r="K23" i="4"/>
  <c r="K12" i="4"/>
  <c r="W12" i="4" s="1"/>
  <c r="J55" i="4"/>
  <c r="D55" i="4"/>
  <c r="J54" i="4"/>
  <c r="B49" i="4"/>
  <c r="D50" i="4"/>
  <c r="P44" i="4"/>
  <c r="P43" i="4"/>
  <c r="V42" i="3"/>
  <c r="X42" i="3" s="1"/>
  <c r="L41" i="3"/>
  <c r="P38" i="4"/>
  <c r="D36" i="4"/>
  <c r="D35" i="4"/>
  <c r="V33" i="3"/>
  <c r="X33" i="3" s="1"/>
  <c r="L33" i="3"/>
  <c r="P29" i="4"/>
  <c r="J27" i="4"/>
  <c r="D26" i="4"/>
  <c r="P23" i="4"/>
  <c r="D21" i="4"/>
  <c r="V19" i="3"/>
  <c r="X19" i="3" s="1"/>
  <c r="L19" i="3"/>
  <c r="V16" i="3"/>
  <c r="L16" i="3"/>
  <c r="V15" i="3"/>
  <c r="D14" i="4"/>
  <c r="P12" i="4"/>
  <c r="K50" i="4"/>
  <c r="L52" i="3"/>
  <c r="V52" i="3"/>
  <c r="X52" i="3" s="1"/>
  <c r="P46" i="4"/>
  <c r="V44" i="3"/>
  <c r="X44" i="3" s="1"/>
  <c r="J43" i="4"/>
  <c r="D42" i="4"/>
  <c r="J42" i="4"/>
  <c r="V37" i="3"/>
  <c r="V36" i="3"/>
  <c r="V35" i="3"/>
  <c r="X35" i="3" s="1"/>
  <c r="P32" i="4"/>
  <c r="D29" i="4"/>
  <c r="J29" i="4"/>
  <c r="V28" i="3"/>
  <c r="L27" i="3"/>
  <c r="V24" i="3"/>
  <c r="X24" i="3" s="1"/>
  <c r="L24" i="3"/>
  <c r="L23" i="3"/>
  <c r="V22" i="3"/>
  <c r="P19" i="4"/>
  <c r="P18" i="4"/>
  <c r="J17" i="4"/>
  <c r="D17" i="4"/>
  <c r="D16" i="4"/>
  <c r="J16" i="4"/>
  <c r="V12" i="3"/>
  <c r="X12" i="3" s="1"/>
  <c r="L12" i="3"/>
  <c r="J11" i="4"/>
  <c r="D11" i="4"/>
  <c r="P55" i="4"/>
  <c r="J53" i="4"/>
  <c r="D52" i="4"/>
  <c r="J51" i="4"/>
  <c r="J46" i="4"/>
  <c r="D45" i="4"/>
  <c r="J45" i="4"/>
  <c r="V39" i="3"/>
  <c r="X39" i="3" s="1"/>
  <c r="L39" i="3"/>
  <c r="V38" i="3"/>
  <c r="J37" i="4"/>
  <c r="D37" i="4"/>
  <c r="J32" i="4"/>
  <c r="D32" i="4"/>
  <c r="D30" i="4"/>
  <c r="V29" i="3"/>
  <c r="P26" i="4"/>
  <c r="V25" i="3"/>
  <c r="X25" i="3" s="1"/>
  <c r="L25" i="3"/>
  <c r="J22" i="4"/>
  <c r="P20" i="4"/>
  <c r="D18" i="4"/>
  <c r="V17" i="3"/>
  <c r="X17" i="3" s="1"/>
  <c r="L17" i="3"/>
  <c r="P15" i="4"/>
  <c r="J12" i="4"/>
  <c r="D12" i="4"/>
  <c r="S8" i="2"/>
  <c r="X14" i="2"/>
  <c r="V56" i="3"/>
  <c r="V54" i="3"/>
  <c r="X54" i="3" s="1"/>
  <c r="V53" i="3"/>
  <c r="L50" i="3"/>
  <c r="V50" i="3"/>
  <c r="D47" i="4"/>
  <c r="V45" i="3"/>
  <c r="X45" i="3" s="1"/>
  <c r="P42" i="4"/>
  <c r="D40" i="4"/>
  <c r="J40" i="4"/>
  <c r="J39" i="4"/>
  <c r="J34" i="4"/>
  <c r="J33" i="4"/>
  <c r="D33" i="4"/>
  <c r="V32" i="3"/>
  <c r="D31" i="4"/>
  <c r="P28" i="4"/>
  <c r="P27" i="4"/>
  <c r="V26" i="3"/>
  <c r="D25" i="4"/>
  <c r="J20" i="4"/>
  <c r="V18" i="3"/>
  <c r="X18" i="3" s="1"/>
  <c r="L18" i="3"/>
  <c r="P16" i="4"/>
  <c r="D13" i="4"/>
  <c r="F8" i="2"/>
  <c r="T48" i="4"/>
  <c r="K48" i="4"/>
  <c r="W48" i="4" s="1"/>
  <c r="D48" i="4"/>
  <c r="P48" i="4"/>
  <c r="P9" i="2"/>
  <c r="N8" i="2"/>
  <c r="K49" i="2"/>
  <c r="W49" i="2" s="1"/>
  <c r="D9" i="3"/>
  <c r="W10" i="3"/>
  <c r="T9" i="2"/>
  <c r="J10" i="4"/>
  <c r="G8" i="2"/>
  <c r="H8" i="2" s="1"/>
  <c r="T10" i="4"/>
  <c r="T49" i="2"/>
  <c r="H9" i="2"/>
  <c r="J49" i="2"/>
  <c r="H49" i="2"/>
  <c r="V35" i="2"/>
  <c r="L35" i="2"/>
  <c r="V25" i="2"/>
  <c r="L25" i="2"/>
  <c r="V50" i="2"/>
  <c r="L50" i="2"/>
  <c r="V41" i="2"/>
  <c r="L41" i="2"/>
  <c r="V28" i="2"/>
  <c r="L28" i="2"/>
  <c r="V26" i="2"/>
  <c r="L26" i="2"/>
  <c r="V21" i="2"/>
  <c r="L21" i="2"/>
  <c r="V17" i="2"/>
  <c r="L17" i="2"/>
  <c r="V42" i="2"/>
  <c r="L42" i="2"/>
  <c r="V38" i="2"/>
  <c r="L38" i="2"/>
  <c r="V30" i="2"/>
  <c r="L30" i="2"/>
  <c r="V20" i="2"/>
  <c r="L20" i="2"/>
  <c r="V12" i="2"/>
  <c r="L12" i="2"/>
  <c r="V55" i="2"/>
  <c r="L55" i="2"/>
  <c r="V53" i="2"/>
  <c r="L53" i="2"/>
  <c r="V51" i="2"/>
  <c r="L51" i="2"/>
  <c r="V47" i="2"/>
  <c r="L47" i="2"/>
  <c r="V45" i="2"/>
  <c r="L45" i="2"/>
  <c r="V36" i="2"/>
  <c r="L36" i="2"/>
  <c r="V29" i="2"/>
  <c r="L29" i="2"/>
  <c r="V10" i="2"/>
  <c r="J9" i="2"/>
  <c r="L10" i="2"/>
  <c r="W10" i="2"/>
  <c r="K9" i="2"/>
  <c r="V37" i="2"/>
  <c r="L37" i="2"/>
  <c r="V32" i="2"/>
  <c r="L32" i="2"/>
  <c r="V19" i="2"/>
  <c r="L19" i="2"/>
  <c r="V43" i="2"/>
  <c r="L43" i="2"/>
  <c r="V31" i="2"/>
  <c r="L31" i="2"/>
  <c r="V27" i="2"/>
  <c r="L27" i="2"/>
  <c r="V23" i="2"/>
  <c r="L23" i="2"/>
  <c r="V18" i="2"/>
  <c r="L18" i="2"/>
  <c r="V16" i="2"/>
  <c r="L16" i="2"/>
  <c r="W40" i="2"/>
  <c r="X40" i="2" s="1"/>
  <c r="L40" i="2"/>
  <c r="V56" i="2"/>
  <c r="L56" i="2"/>
  <c r="V39" i="2"/>
  <c r="L39" i="2"/>
  <c r="V34" i="2"/>
  <c r="L34" i="2"/>
  <c r="V24" i="2"/>
  <c r="L24" i="2"/>
  <c r="V13" i="2"/>
  <c r="L13" i="2"/>
  <c r="V11" i="2"/>
  <c r="L11" i="2"/>
  <c r="V54" i="2"/>
  <c r="L54" i="2"/>
  <c r="V52" i="2"/>
  <c r="L52" i="2"/>
  <c r="V48" i="2"/>
  <c r="L48" i="2"/>
  <c r="V46" i="2"/>
  <c r="L46" i="2"/>
  <c r="V44" i="2"/>
  <c r="L44" i="2"/>
  <c r="V33" i="2"/>
  <c r="L33" i="2"/>
  <c r="V22" i="2"/>
  <c r="L22" i="2"/>
  <c r="P9" i="3"/>
  <c r="H9" i="3"/>
  <c r="C8" i="3"/>
  <c r="T49" i="3"/>
  <c r="P49" i="3"/>
  <c r="N8" i="3"/>
  <c r="R8" i="2"/>
  <c r="D49" i="2"/>
  <c r="B8" i="2"/>
  <c r="P49" i="2"/>
  <c r="O8" i="2"/>
  <c r="D9" i="2"/>
  <c r="C8" i="2"/>
  <c r="V46" i="3" l="1"/>
  <c r="X46" i="3" s="1"/>
  <c r="L55" i="3"/>
  <c r="V34" i="3"/>
  <c r="X34" i="3" s="1"/>
  <c r="V47" i="3"/>
  <c r="X47" i="3" s="1"/>
  <c r="W23" i="4"/>
  <c r="K54" i="4"/>
  <c r="W54" i="4" s="1"/>
  <c r="W45" i="4"/>
  <c r="W52" i="4"/>
  <c r="T50" i="4"/>
  <c r="T15" i="4"/>
  <c r="J30" i="4"/>
  <c r="D56" i="4"/>
  <c r="X28" i="3"/>
  <c r="F9" i="4"/>
  <c r="X16" i="3"/>
  <c r="D54" i="4"/>
  <c r="K9" i="3"/>
  <c r="J28" i="4"/>
  <c r="W49" i="3"/>
  <c r="J9" i="3"/>
  <c r="L9" i="3" s="1"/>
  <c r="D34" i="4"/>
  <c r="X56" i="3"/>
  <c r="L38" i="3"/>
  <c r="L40" i="3"/>
  <c r="X37" i="3"/>
  <c r="L51" i="3"/>
  <c r="W40" i="4"/>
  <c r="K37" i="4"/>
  <c r="W37" i="4" s="1"/>
  <c r="T9" i="3"/>
  <c r="K15" i="4"/>
  <c r="W15" i="4" s="1"/>
  <c r="W34" i="4"/>
  <c r="O9" i="4"/>
  <c r="V48" i="3"/>
  <c r="X48" i="3" s="1"/>
  <c r="L14" i="3"/>
  <c r="L32" i="3"/>
  <c r="X22" i="3"/>
  <c r="H55" i="4"/>
  <c r="C9" i="4"/>
  <c r="J48" i="4"/>
  <c r="D15" i="4"/>
  <c r="J25" i="4"/>
  <c r="L25" i="4" s="1"/>
  <c r="L53" i="3"/>
  <c r="L44" i="3"/>
  <c r="O49" i="4"/>
  <c r="P49" i="4" s="1"/>
  <c r="L15" i="3"/>
  <c r="H36" i="4"/>
  <c r="K11" i="4"/>
  <c r="R9" i="4"/>
  <c r="T9" i="4" s="1"/>
  <c r="G9" i="4"/>
  <c r="L30" i="3"/>
  <c r="S9" i="4"/>
  <c r="S49" i="4"/>
  <c r="T49" i="4" s="1"/>
  <c r="D19" i="4"/>
  <c r="X26" i="3"/>
  <c r="D24" i="4"/>
  <c r="L29" i="3"/>
  <c r="L31" i="3"/>
  <c r="V30" i="3"/>
  <c r="X30" i="3" s="1"/>
  <c r="K43" i="4"/>
  <c r="W43" i="4" s="1"/>
  <c r="K46" i="4"/>
  <c r="W46" i="4" s="1"/>
  <c r="N9" i="4"/>
  <c r="N8" i="4" s="1"/>
  <c r="H31" i="4"/>
  <c r="H56" i="4"/>
  <c r="V10" i="3"/>
  <c r="X10" i="3" s="1"/>
  <c r="W9" i="3"/>
  <c r="W8" i="3" s="1"/>
  <c r="P11" i="4"/>
  <c r="L26" i="3"/>
  <c r="P50" i="4"/>
  <c r="W11" i="4"/>
  <c r="J23" i="4"/>
  <c r="V23" i="4" s="1"/>
  <c r="X23" i="4" s="1"/>
  <c r="X29" i="3"/>
  <c r="X38" i="3"/>
  <c r="D44" i="4"/>
  <c r="D51" i="4"/>
  <c r="V21" i="3"/>
  <c r="X21" i="3" s="1"/>
  <c r="X36" i="3"/>
  <c r="D38" i="4"/>
  <c r="G49" i="4"/>
  <c r="J14" i="4"/>
  <c r="J21" i="4"/>
  <c r="V21" i="4" s="1"/>
  <c r="D28" i="4"/>
  <c r="J56" i="4"/>
  <c r="L56" i="4" s="1"/>
  <c r="K32" i="4"/>
  <c r="W32" i="4" s="1"/>
  <c r="F49" i="4"/>
  <c r="F8" i="4" s="1"/>
  <c r="T54" i="4"/>
  <c r="W30" i="4"/>
  <c r="W13" i="4"/>
  <c r="K29" i="4"/>
  <c r="W29" i="4" s="1"/>
  <c r="T11" i="4"/>
  <c r="K47" i="4"/>
  <c r="W47" i="4" s="1"/>
  <c r="B9" i="4"/>
  <c r="D9" i="4" s="1"/>
  <c r="F8" i="3"/>
  <c r="H8" i="3" s="1"/>
  <c r="D49" i="3"/>
  <c r="K10" i="4"/>
  <c r="B8" i="3"/>
  <c r="D20" i="4"/>
  <c r="D39" i="4"/>
  <c r="V13" i="3"/>
  <c r="X13" i="3" s="1"/>
  <c r="L11" i="3"/>
  <c r="J26" i="4"/>
  <c r="V26" i="4" s="1"/>
  <c r="X26" i="4" s="1"/>
  <c r="K27" i="4"/>
  <c r="W27" i="4" s="1"/>
  <c r="W35" i="4"/>
  <c r="K51" i="4"/>
  <c r="W51" i="4" s="1"/>
  <c r="K38" i="4"/>
  <c r="W38" i="4" s="1"/>
  <c r="H18" i="4"/>
  <c r="T26" i="4"/>
  <c r="D41" i="4"/>
  <c r="L43" i="3"/>
  <c r="J52" i="4"/>
  <c r="L36" i="3"/>
  <c r="L20" i="3"/>
  <c r="H10" i="4"/>
  <c r="J13" i="4"/>
  <c r="X32" i="3"/>
  <c r="X53" i="3"/>
  <c r="L56" i="3"/>
  <c r="L22" i="3"/>
  <c r="L28" i="3"/>
  <c r="L37" i="3"/>
  <c r="X15" i="3"/>
  <c r="W14" i="4"/>
  <c r="W42" i="4"/>
  <c r="W21" i="4"/>
  <c r="W33" i="4"/>
  <c r="T8" i="2"/>
  <c r="X45" i="2"/>
  <c r="K8" i="2"/>
  <c r="X36" i="2"/>
  <c r="X12" i="2"/>
  <c r="X30" i="2"/>
  <c r="X28" i="2"/>
  <c r="X22" i="2"/>
  <c r="X44" i="2"/>
  <c r="X48" i="2"/>
  <c r="X54" i="2"/>
  <c r="X13" i="2"/>
  <c r="X34" i="2"/>
  <c r="X56" i="2"/>
  <c r="X16" i="2"/>
  <c r="X23" i="2"/>
  <c r="X19" i="2"/>
  <c r="X37" i="2"/>
  <c r="X47" i="2"/>
  <c r="X35" i="2"/>
  <c r="X53" i="2"/>
  <c r="X21" i="2"/>
  <c r="X50" i="2"/>
  <c r="X33" i="2"/>
  <c r="X46" i="2"/>
  <c r="X52" i="2"/>
  <c r="X11" i="2"/>
  <c r="X39" i="2"/>
  <c r="X18" i="2"/>
  <c r="X27" i="2"/>
  <c r="X43" i="2"/>
  <c r="X32" i="2"/>
  <c r="X42" i="2"/>
  <c r="X29" i="2"/>
  <c r="X51" i="2"/>
  <c r="X55" i="2"/>
  <c r="X20" i="2"/>
  <c r="X38" i="2"/>
  <c r="X17" i="2"/>
  <c r="X26" i="2"/>
  <c r="X41" i="2"/>
  <c r="X25" i="2"/>
  <c r="X31" i="2"/>
  <c r="X24" i="2"/>
  <c r="K8" i="3"/>
  <c r="L49" i="3"/>
  <c r="T8" i="3"/>
  <c r="P8" i="3"/>
  <c r="V44" i="4"/>
  <c r="X44" i="4" s="1"/>
  <c r="L44" i="4"/>
  <c r="V51" i="4"/>
  <c r="L51" i="4"/>
  <c r="V53" i="4"/>
  <c r="X53" i="4" s="1"/>
  <c r="L53" i="4"/>
  <c r="L16" i="4"/>
  <c r="V16" i="4"/>
  <c r="X16" i="4" s="1"/>
  <c r="L31" i="4"/>
  <c r="V31" i="4"/>
  <c r="X31" i="4" s="1"/>
  <c r="L12" i="4"/>
  <c r="V12" i="4"/>
  <c r="X12" i="4" s="1"/>
  <c r="L18" i="4"/>
  <c r="V18" i="4"/>
  <c r="X18" i="4" s="1"/>
  <c r="V11" i="4"/>
  <c r="L11" i="4"/>
  <c r="V36" i="4"/>
  <c r="X36" i="4" s="1"/>
  <c r="L36" i="4"/>
  <c r="L55" i="4"/>
  <c r="V55" i="4"/>
  <c r="X55" i="4" s="1"/>
  <c r="V46" i="4"/>
  <c r="L28" i="4"/>
  <c r="V28" i="4"/>
  <c r="X28" i="4" s="1"/>
  <c r="L35" i="4"/>
  <c r="V35" i="4"/>
  <c r="V33" i="4"/>
  <c r="L33" i="4"/>
  <c r="L43" i="4"/>
  <c r="V43" i="4"/>
  <c r="X43" i="4" s="1"/>
  <c r="C8" i="4"/>
  <c r="V15" i="4"/>
  <c r="X15" i="4" s="1"/>
  <c r="L15" i="4"/>
  <c r="V19" i="4"/>
  <c r="X19" i="4" s="1"/>
  <c r="L19" i="4"/>
  <c r="L34" i="4"/>
  <c r="V34" i="4"/>
  <c r="X34" i="4" s="1"/>
  <c r="L39" i="4"/>
  <c r="V39" i="4"/>
  <c r="X39" i="4" s="1"/>
  <c r="V41" i="4"/>
  <c r="X41" i="4" s="1"/>
  <c r="L41" i="4"/>
  <c r="V49" i="3"/>
  <c r="X49" i="3" s="1"/>
  <c r="X50" i="3"/>
  <c r="V45" i="4"/>
  <c r="X45" i="4" s="1"/>
  <c r="L45" i="4"/>
  <c r="V29" i="4"/>
  <c r="V42" i="4"/>
  <c r="X42" i="4" s="1"/>
  <c r="L42" i="4"/>
  <c r="V27" i="4"/>
  <c r="V50" i="4"/>
  <c r="L50" i="4"/>
  <c r="L20" i="4"/>
  <c r="V20" i="4"/>
  <c r="X20" i="4" s="1"/>
  <c r="V47" i="4"/>
  <c r="X47" i="4" s="1"/>
  <c r="L47" i="4"/>
  <c r="L40" i="4"/>
  <c r="V40" i="4"/>
  <c r="X40" i="4" s="1"/>
  <c r="V22" i="4"/>
  <c r="X22" i="4" s="1"/>
  <c r="L22" i="4"/>
  <c r="V24" i="4"/>
  <c r="X24" i="4" s="1"/>
  <c r="L24" i="4"/>
  <c r="V30" i="4"/>
  <c r="L30" i="4"/>
  <c r="L32" i="4"/>
  <c r="V32" i="4"/>
  <c r="X32" i="4" s="1"/>
  <c r="V37" i="4"/>
  <c r="V17" i="4"/>
  <c r="X17" i="4" s="1"/>
  <c r="L17" i="4"/>
  <c r="V38" i="4"/>
  <c r="W50" i="4"/>
  <c r="V14" i="4"/>
  <c r="L14" i="4"/>
  <c r="D49" i="4"/>
  <c r="L54" i="4"/>
  <c r="V54" i="4"/>
  <c r="X54" i="4" s="1"/>
  <c r="L48" i="4"/>
  <c r="V48" i="4"/>
  <c r="X48" i="4" s="1"/>
  <c r="P8" i="2"/>
  <c r="D8" i="3"/>
  <c r="L10" i="4"/>
  <c r="V10" i="4"/>
  <c r="W10" i="4"/>
  <c r="V49" i="2"/>
  <c r="L49" i="2"/>
  <c r="J8" i="2"/>
  <c r="L8" i="2" s="1"/>
  <c r="L9" i="2"/>
  <c r="V9" i="2"/>
  <c r="X10" i="2"/>
  <c r="W9" i="2"/>
  <c r="W8" i="2" s="1"/>
  <c r="D8" i="2"/>
  <c r="O8" i="4" l="1"/>
  <c r="V9" i="3"/>
  <c r="X29" i="4"/>
  <c r="X35" i="4"/>
  <c r="S8" i="4"/>
  <c r="J8" i="3"/>
  <c r="L8" i="3" s="1"/>
  <c r="J49" i="4"/>
  <c r="G8" i="4"/>
  <c r="H8" i="4" s="1"/>
  <c r="P9" i="4"/>
  <c r="X33" i="4"/>
  <c r="X21" i="4"/>
  <c r="R8" i="4"/>
  <c r="W49" i="4"/>
  <c r="L37" i="4"/>
  <c r="V25" i="4"/>
  <c r="X25" i="4" s="1"/>
  <c r="X46" i="4"/>
  <c r="H9" i="4"/>
  <c r="B8" i="4"/>
  <c r="D8" i="4" s="1"/>
  <c r="L21" i="4"/>
  <c r="X38" i="4"/>
  <c r="X37" i="4"/>
  <c r="L46" i="4"/>
  <c r="J9" i="4"/>
  <c r="J8" i="4" s="1"/>
  <c r="H49" i="4"/>
  <c r="L52" i="4"/>
  <c r="L13" i="4"/>
  <c r="W9" i="4"/>
  <c r="V56" i="4"/>
  <c r="X56" i="4" s="1"/>
  <c r="X14" i="4"/>
  <c r="L38" i="4"/>
  <c r="X30" i="4"/>
  <c r="X27" i="4"/>
  <c r="V52" i="4"/>
  <c r="X52" i="4" s="1"/>
  <c r="V13" i="4"/>
  <c r="X13" i="4" s="1"/>
  <c r="L23" i="4"/>
  <c r="L26" i="4"/>
  <c r="K49" i="4"/>
  <c r="L49" i="4" s="1"/>
  <c r="L27" i="4"/>
  <c r="L29" i="4"/>
  <c r="X11" i="4"/>
  <c r="X51" i="4"/>
  <c r="K9" i="4"/>
  <c r="V9" i="4"/>
  <c r="X49" i="2"/>
  <c r="T8" i="4"/>
  <c r="P8" i="4"/>
  <c r="W8" i="4"/>
  <c r="X50" i="4"/>
  <c r="V49" i="4"/>
  <c r="X49" i="4" s="1"/>
  <c r="X10" i="4"/>
  <c r="X9" i="3"/>
  <c r="V8" i="3"/>
  <c r="X8" i="3" s="1"/>
  <c r="V8" i="2"/>
  <c r="X9" i="2"/>
  <c r="L9" i="4" l="1"/>
  <c r="K8" i="4"/>
  <c r="L8" i="4" s="1"/>
  <c r="X8" i="2"/>
  <c r="V8" i="4"/>
  <c r="X8" i="4" s="1"/>
  <c r="X9" i="4"/>
</calcChain>
</file>

<file path=xl/sharedStrings.xml><?xml version="1.0" encoding="utf-8"?>
<sst xmlns="http://schemas.openxmlformats.org/spreadsheetml/2006/main" count="348" uniqueCount="82">
  <si>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 in 2016/17</t>
    </r>
  </si>
  <si>
    <t>Wholetime</t>
  </si>
  <si>
    <t>Total Firefighters</t>
  </si>
  <si>
    <t>Fire Control</t>
  </si>
  <si>
    <t>Support Staff</t>
  </si>
  <si>
    <t>Total Staff</t>
  </si>
  <si>
    <t>FRA</t>
  </si>
  <si>
    <t>Men</t>
  </si>
  <si>
    <t>Women</t>
  </si>
  <si>
    <t>Percentage that are women</t>
  </si>
  <si>
    <t>England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</si>
  <si>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</si>
  <si>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</si>
  <si>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</si>
  <si>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</si>
  <si>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</si>
  <si>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</si>
  <si>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</si>
  <si>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</si>
  <si>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</si>
  <si>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</si>
  <si>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</si>
  <si>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</si>
  <si>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</si>
  <si>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</si>
  <si>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</si>
  <si>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</si>
  <si>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</si>
  <si>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Hampshire</t>
  </si>
  <si>
    <t>Hereford and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</si>
  <si>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</si>
  <si>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</si>
  <si>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</si>
  <si>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</si>
  <si>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</si>
  <si>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</si>
  <si>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</si>
  <si>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</si>
  <si>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</si>
  <si>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</si>
  <si>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</si>
  <si>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</si>
  <si>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</si>
  <si>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</si>
  <si>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</si>
  <si>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</si>
  <si>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</si>
  <si>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</si>
  <si>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</si>
  <si>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</si>
  <si>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Isles of Scilly</t>
  </si>
  <si>
    <t>Metropolitan fire and rescue authorities</t>
  </si>
  <si>
    <t>Greater Manchester</t>
  </si>
  <si>
    <t>Merseyside</t>
  </si>
  <si>
    <t>South Yorkshire</t>
  </si>
  <si>
    <t>Tyne and Wear</t>
  </si>
  <si>
    <t>West Midlands</t>
  </si>
  <si>
    <t>West Yorkshire</t>
  </si>
  <si>
    <t>Greater London</t>
  </si>
  <si>
    <t>1 The total number of employees</t>
  </si>
  <si>
    <t>Notes</t>
  </si>
  <si>
    <t>The figures for 2016/17 were collected on a voluntary basis. Those eight FRSs with 0 new staff could be due to 0 new staff being recruited or due to the data being unavailable.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</si>
  <si>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</si>
  <si>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</si>
  <si>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</si>
  <si>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Authorities.</t>
  </si>
  <si>
    <t>Updated alongside Fire and rescue workforce and pensions statistics</t>
  </si>
  <si>
    <t>Contact: FireStatistics@homeoffice.gsi.gov.uk</t>
  </si>
  <si>
    <t>Next Update: Autumn 2018</t>
  </si>
  <si>
    <t>2 Also known as "On-call firefighters"</t>
  </si>
  <si>
    <r>
      <t xml:space="preserve">Retained Duty System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</si>
  <si>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 in 2017/18</t>
    </r>
  </si>
  <si>
    <r>
      <t>FIRE STATISTICS TABLE 1120: Staff joining fire authorities (headcount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>), by fire and rescue authority, gender and role</t>
    </r>
  </si>
  <si>
    <t>2017-18</t>
  </si>
  <si>
    <t>2016-17</t>
  </si>
  <si>
    <t>Select a year from the drop-down list in the orange box below:</t>
  </si>
  <si>
    <t>Next Update: Autumn 2019</t>
  </si>
  <si>
    <t>Source: Home Office Operational Statistics Data Collection, figures supplied by fire and rescue authorities.</t>
  </si>
  <si>
    <t>Contact: FireStatistics@homeoffice.gov.uk</t>
  </si>
  <si>
    <r>
      <t xml:space="preserve">On call firefighters </t>
    </r>
    <r>
      <rPr>
        <vertAlign val="superscript"/>
        <sz val="11"/>
        <color theme="1"/>
        <rFont val="Calibri"/>
        <family val="2"/>
        <scheme val="minor"/>
      </rPr>
      <t>2</t>
    </r>
  </si>
  <si>
    <t>2 Also known as Retained Duty System (RDS) firefighters</t>
  </si>
  <si>
    <t>Wholetime firefighters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</si>
</sst>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3" borderId="0" xfId="0" applyFill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/>
    <xf numFmtId="0" fontId="0" fillId="3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0" fontId="2" fillId="4" borderId="2" xfId="0" applyFont="1" applyFill="1" applyBorder="1"/>
    <xf numFmtId="3" fontId="2" fillId="3" borderId="0" xfId="0" applyNumberFormat="1" applyFont="1" applyFill="1" applyBorder="1" applyAlignment="1">
      <alignment horizontal="right"/>
    </xf>
    <xf numFmtId="9" fontId="2" fillId="3" borderId="0" xfId="1" applyFont="1" applyFill="1" applyBorder="1" applyAlignment="1">
      <alignment horizontal="right"/>
    </xf>
    <xf numFmtId="164" fontId="0" fillId="3" borderId="0" xfId="0" applyNumberFormat="1" applyFill="1"/>
    <xf numFmtId="1" fontId="0" fillId="3" borderId="0" xfId="0" applyNumberFormat="1" applyFill="1"/>
    <xf numFmtId="0" fontId="2" fillId="4" borderId="0" xfId="0" applyFont="1" applyFill="1" applyBorder="1"/>
    <xf numFmtId="3" fontId="0" fillId="3" borderId="0" xfId="0" applyNumberFormat="1" applyFont="1" applyFill="1" applyBorder="1" applyAlignment="1">
      <alignment horizontal="right"/>
    </xf>
    <xf numFmtId="9" fontId="1" fillId="3" borderId="0" xfId="1" applyFont="1" applyFill="1" applyBorder="1" applyAlignment="1">
      <alignment horizontal="right"/>
    </xf>
    <xf numFmtId="3" fontId="0" fillId="4" borderId="0" xfId="0" applyNumberFormat="1" applyFill="1"/>
    <xf numFmtId="0" fontId="2" fillId="4" borderId="0" xfId="0" applyFont="1" applyFill="1"/>
    <xf numFmtId="0" fontId="0" fillId="4" borderId="1" xfId="0" applyFill="1" applyBorder="1"/>
    <xf numFmtId="3" fontId="0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9" fontId="2" fillId="3" borderId="1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7" fillId="4" borderId="0" xfId="0" applyFont="1" applyFill="1"/>
    <xf numFmtId="0" fontId="0" fillId="4" borderId="0" xfId="0" applyFill="1" applyAlignment="1">
      <alignment wrapText="1"/>
    </xf>
    <xf numFmtId="0" fontId="8" fillId="4" borderId="0" xfId="2" applyFont="1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0" xfId="2" applyFill="1" applyAlignment="1">
      <alignment horizontal="right"/>
    </xf>
    <xf numFmtId="0" fontId="3" fillId="6" borderId="0" xfId="0" applyFont="1" applyFill="1" applyAlignment="1">
      <alignment horizontal="left" wrapText="1"/>
    </xf>
    <xf numFmtId="9" fontId="1" fillId="3" borderId="1" xfId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9" fontId="2" fillId="3" borderId="0" xfId="1" applyNumberFormat="1" applyFont="1" applyFill="1" applyBorder="1" applyAlignment="1">
      <alignment horizontal="right"/>
    </xf>
    <xf numFmtId="0" fontId="8" fillId="3" borderId="0" xfId="2" applyFill="1" applyAlignment="1">
      <alignment horizontal="right"/>
    </xf>
    <xf numFmtId="0" fontId="0" fillId="3" borderId="0" xfId="0" applyFill="1" applyAlignment="1">
      <alignment horizontal="right"/>
    </xf>
    <xf numFmtId="0" fontId="8" fillId="4" borderId="0" xfId="2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</cellXfs>
  <cellStyles count="3">
    <cellStyle name="Hyperlink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and-rescue-workforce-and-pensions-statistics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0"/>
  <sheetViews>
    <sheetView topLeftCell="D1" workbookViewId="0">
      <pane ySplit="8" topLeftCell="A12" activePane="bottomLeft" state="frozen"/>
      <selection activeCell="A62" sqref="A62:X62"/>
      <selection pane="bottomLeft" activeCell="A62" sqref="A62:X62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7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8" t="s">
        <v>7</v>
      </c>
      <c r="C7" s="8" t="s">
        <v>8</v>
      </c>
      <c r="D7" s="9" t="s">
        <v>9</v>
      </c>
      <c r="E7" s="8"/>
      <c r="F7" s="8" t="s">
        <v>7</v>
      </c>
      <c r="G7" s="8" t="s">
        <v>8</v>
      </c>
      <c r="H7" s="9" t="s">
        <v>9</v>
      </c>
      <c r="I7" s="8"/>
      <c r="J7" s="10" t="s">
        <v>7</v>
      </c>
      <c r="K7" s="10" t="s">
        <v>8</v>
      </c>
      <c r="L7" s="11" t="s">
        <v>9</v>
      </c>
      <c r="M7" s="8"/>
      <c r="N7" s="8" t="s">
        <v>7</v>
      </c>
      <c r="O7" s="8" t="s">
        <v>8</v>
      </c>
      <c r="P7" s="9" t="s">
        <v>9</v>
      </c>
      <c r="Q7" s="8"/>
      <c r="R7" s="8" t="s">
        <v>7</v>
      </c>
      <c r="S7" s="8" t="s">
        <v>8</v>
      </c>
      <c r="T7" s="9" t="s">
        <v>9</v>
      </c>
      <c r="U7" s="8"/>
      <c r="V7" s="10" t="s">
        <v>7</v>
      </c>
      <c r="W7" s="10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>B9+B49</f>
        <v>418</v>
      </c>
      <c r="C8" s="14">
        <f>C9+C49</f>
        <v>58</v>
      </c>
      <c r="D8" s="15">
        <f>IF(B8+C8=0,"-",(C8/(B8+C8)))</f>
        <v>0.12184873949579832</v>
      </c>
      <c r="E8" s="14"/>
      <c r="F8" s="14">
        <f>F9+F49</f>
        <v>937</v>
      </c>
      <c r="G8" s="14">
        <f>G9+G49</f>
        <v>71</v>
      </c>
      <c r="H8" s="15">
        <f>IF(F8+G8=0,"-",(G8/(F8+G8)))</f>
        <v>7.0436507936507936E-2</v>
      </c>
      <c r="I8" s="14"/>
      <c r="J8" s="14">
        <f>J9+J49</f>
        <v>1355</v>
      </c>
      <c r="K8" s="14">
        <f>K9+K49</f>
        <v>129</v>
      </c>
      <c r="L8" s="15">
        <f>IF(J8+K8=0,"-",(K8/(J8+K8)))</f>
        <v>8.6927223719676552E-2</v>
      </c>
      <c r="M8" s="14"/>
      <c r="N8" s="14">
        <f>N9+N49</f>
        <v>22</v>
      </c>
      <c r="O8" s="14">
        <f>O9+O49</f>
        <v>39</v>
      </c>
      <c r="P8" s="15">
        <f>IF(N8+O8=0,"-",(O8/(N8+O8)))</f>
        <v>0.63934426229508201</v>
      </c>
      <c r="Q8" s="14"/>
      <c r="R8" s="14">
        <f>R9+R49</f>
        <v>336</v>
      </c>
      <c r="S8" s="14">
        <f>S9+S49</f>
        <v>381</v>
      </c>
      <c r="T8" s="15">
        <f>IF(R8+S8=0,"-",(S8/(R8+S8)))</f>
        <v>0.53138075313807531</v>
      </c>
      <c r="U8" s="14"/>
      <c r="V8" s="14">
        <f>V9+V49</f>
        <v>1713</v>
      </c>
      <c r="W8" s="14">
        <f>W9+W49</f>
        <v>549</v>
      </c>
      <c r="X8" s="15">
        <f>IF(V8+W8=0,"-",(W8/(V8+W8)))</f>
        <v>0.2427055702917772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>SUM(B10:B48)</f>
        <v>280</v>
      </c>
      <c r="C9" s="14">
        <f>SUM(C10:C48)</f>
        <v>37</v>
      </c>
      <c r="D9" s="15">
        <f>IF(B9+C9=0,"-",(C9/(B9+C9)))</f>
        <v>0.1167192429022082</v>
      </c>
      <c r="E9" s="14"/>
      <c r="F9" s="14">
        <f>SUM(F10:F48)</f>
        <v>924</v>
      </c>
      <c r="G9" s="14">
        <f>SUM(G10:G48)</f>
        <v>68</v>
      </c>
      <c r="H9" s="15">
        <f>IF(F9+G9=0,"-",(G9/(F9+G9)))</f>
        <v>6.8548387096774188E-2</v>
      </c>
      <c r="I9" s="14"/>
      <c r="J9" s="14">
        <f>SUM(J10:J48)</f>
        <v>1204</v>
      </c>
      <c r="K9" s="14">
        <f>SUM(K10:K48)</f>
        <v>105</v>
      </c>
      <c r="L9" s="15">
        <f>IF(J9+K9=0,"-",(K9/(J9+K9)))</f>
        <v>8.0213903743315509E-2</v>
      </c>
      <c r="M9" s="14"/>
      <c r="N9" s="14">
        <f>SUM(N10:N48)</f>
        <v>14</v>
      </c>
      <c r="O9" s="14">
        <f>SUM(O10:O48)</f>
        <v>22</v>
      </c>
      <c r="P9" s="15">
        <f>IF(N9+O9=0,"-",(O9/(N9+O9)))</f>
        <v>0.61111111111111116</v>
      </c>
      <c r="Q9" s="14"/>
      <c r="R9" s="14">
        <f>SUM(R10:R48)</f>
        <v>248</v>
      </c>
      <c r="S9" s="14">
        <f>SUM(S10:S48)</f>
        <v>272</v>
      </c>
      <c r="T9" s="15">
        <f>IF(R9+S9=0,"-",(S9/(R9+S9)))</f>
        <v>0.52307692307692311</v>
      </c>
      <c r="U9" s="14"/>
      <c r="V9" s="14">
        <f>SUM(V10:V48)</f>
        <v>1466</v>
      </c>
      <c r="W9" s="14">
        <f>SUM(W10:W48)</f>
        <v>399</v>
      </c>
      <c r="X9" s="15">
        <f>IF(V9+W9=0,"-",(W9/(V9+W9)))</f>
        <v>0.21394101876675603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v>0</v>
      </c>
      <c r="C10" s="19">
        <v>0</v>
      </c>
      <c r="D10" s="20" t="str">
        <f>IF(B10+C10=0,"-",(C10/(B10+C10)))</f>
        <v>-</v>
      </c>
      <c r="E10" s="19"/>
      <c r="F10" s="19">
        <v>0</v>
      </c>
      <c r="G10" s="19">
        <v>0</v>
      </c>
      <c r="H10" s="20" t="str">
        <f>IF(F10+G10=0,"-",(G10/(F10+G10)))</f>
        <v>-</v>
      </c>
      <c r="I10" s="19"/>
      <c r="J10" s="14">
        <f>B10+F10</f>
        <v>0</v>
      </c>
      <c r="K10" s="14">
        <f>C10+G10</f>
        <v>0</v>
      </c>
      <c r="L10" s="20" t="str">
        <f>IF(J10+K10=0,"-",(K10/(J10+K10)))</f>
        <v>-</v>
      </c>
      <c r="M10" s="19"/>
      <c r="N10" s="19">
        <v>0</v>
      </c>
      <c r="O10" s="19">
        <v>0</v>
      </c>
      <c r="P10" s="20" t="str">
        <f>IF(N10+O10=0,"-",(O10/(N10+O10)))</f>
        <v>-</v>
      </c>
      <c r="Q10" s="19"/>
      <c r="R10" s="19">
        <v>0</v>
      </c>
      <c r="S10" s="19">
        <v>0</v>
      </c>
      <c r="T10" s="20" t="str">
        <f>IF(R10+S10=0,"-",(S10/(R10+S10)))</f>
        <v>-</v>
      </c>
      <c r="U10" s="19"/>
      <c r="V10" s="14">
        <f>J10+N10+R10</f>
        <v>0</v>
      </c>
      <c r="W10" s="14">
        <f>K10+O10+S10</f>
        <v>0</v>
      </c>
      <c r="X10" s="20" t="str">
        <f>IF(V10+W10=0,"-",(W10/(V10+W10)))</f>
        <v>-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v>20</v>
      </c>
      <c r="C11" s="19">
        <v>3</v>
      </c>
      <c r="D11" s="20">
        <f t="shared" ref="D11:D56" si="0">IF(B11+C11=0,"-",(C11/(B11+C11)))</f>
        <v>0.13043478260869565</v>
      </c>
      <c r="E11" s="19"/>
      <c r="F11" s="19">
        <v>19</v>
      </c>
      <c r="G11" s="19">
        <v>3</v>
      </c>
      <c r="H11" s="20">
        <f t="shared" ref="H11:H56" si="1">IF(F11+G11=0,"-",(G11/(F11+G11)))</f>
        <v>0.13636363636363635</v>
      </c>
      <c r="I11" s="19"/>
      <c r="J11" s="14">
        <f t="shared" ref="J11:K56" si="2">B11+F11</f>
        <v>39</v>
      </c>
      <c r="K11" s="14">
        <f t="shared" si="2"/>
        <v>6</v>
      </c>
      <c r="L11" s="20">
        <f t="shared" ref="L11:L56" si="3">IF(J11+K11=0,"-",(K11/(J11+K11)))</f>
        <v>0.13333333333333333</v>
      </c>
      <c r="M11" s="19"/>
      <c r="N11" s="19">
        <v>0</v>
      </c>
      <c r="O11" s="19">
        <v>0</v>
      </c>
      <c r="P11" s="20" t="str">
        <f t="shared" ref="P11:P56" si="4">IF(N11+O11=0,"-",(O11/(N11+O11)))</f>
        <v>-</v>
      </c>
      <c r="Q11" s="19"/>
      <c r="R11" s="19">
        <v>6</v>
      </c>
      <c r="S11" s="19">
        <v>6</v>
      </c>
      <c r="T11" s="20">
        <f t="shared" ref="T11:T56" si="5">IF(R11+S11=0,"-",(S11/(R11+S11)))</f>
        <v>0.5</v>
      </c>
      <c r="U11" s="19"/>
      <c r="V11" s="14">
        <f t="shared" ref="V11:W56" si="6">J11+N11+R11</f>
        <v>45</v>
      </c>
      <c r="W11" s="14">
        <f t="shared" si="6"/>
        <v>12</v>
      </c>
      <c r="X11" s="20">
        <f t="shared" ref="X11:X56" si="7">IF(V11+W11=0,"-",(W11/(V11+W11)))</f>
        <v>0.21052631578947367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v>7</v>
      </c>
      <c r="C12" s="19">
        <v>0</v>
      </c>
      <c r="D12" s="20">
        <f t="shared" si="0"/>
        <v>0</v>
      </c>
      <c r="E12" s="19"/>
      <c r="F12" s="19">
        <v>5</v>
      </c>
      <c r="G12" s="19">
        <v>3</v>
      </c>
      <c r="H12" s="20">
        <f t="shared" si="1"/>
        <v>0.375</v>
      </c>
      <c r="I12" s="19"/>
      <c r="J12" s="14">
        <f t="shared" si="2"/>
        <v>12</v>
      </c>
      <c r="K12" s="14">
        <f t="shared" si="2"/>
        <v>3</v>
      </c>
      <c r="L12" s="20">
        <f t="shared" si="3"/>
        <v>0.2</v>
      </c>
      <c r="M12" s="19"/>
      <c r="N12" s="19">
        <v>1</v>
      </c>
      <c r="O12" s="19">
        <v>2</v>
      </c>
      <c r="P12" s="20">
        <f t="shared" si="4"/>
        <v>0.66666666666666663</v>
      </c>
      <c r="Q12" s="19"/>
      <c r="R12" s="19">
        <v>9</v>
      </c>
      <c r="S12" s="19">
        <v>13</v>
      </c>
      <c r="T12" s="20">
        <f t="shared" si="5"/>
        <v>0.59090909090909094</v>
      </c>
      <c r="U12" s="19"/>
      <c r="V12" s="14">
        <f t="shared" si="6"/>
        <v>22</v>
      </c>
      <c r="W12" s="14">
        <f t="shared" si="6"/>
        <v>18</v>
      </c>
      <c r="X12" s="20">
        <f t="shared" si="7"/>
        <v>0.45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v>10</v>
      </c>
      <c r="C13" s="19">
        <v>1</v>
      </c>
      <c r="D13" s="20">
        <f t="shared" si="0"/>
        <v>9.0909090909090912E-2</v>
      </c>
      <c r="E13" s="19"/>
      <c r="F13" s="19">
        <v>19</v>
      </c>
      <c r="G13" s="19">
        <v>2</v>
      </c>
      <c r="H13" s="20">
        <f t="shared" si="1"/>
        <v>9.5238095238095233E-2</v>
      </c>
      <c r="I13" s="19"/>
      <c r="J13" s="14">
        <f t="shared" si="2"/>
        <v>29</v>
      </c>
      <c r="K13" s="14">
        <f t="shared" si="2"/>
        <v>3</v>
      </c>
      <c r="L13" s="20">
        <f t="shared" si="3"/>
        <v>9.375E-2</v>
      </c>
      <c r="M13" s="19"/>
      <c r="N13" s="19">
        <v>0</v>
      </c>
      <c r="O13" s="19">
        <v>0</v>
      </c>
      <c r="P13" s="20" t="str">
        <f t="shared" si="4"/>
        <v>-</v>
      </c>
      <c r="Q13" s="19"/>
      <c r="R13" s="19">
        <v>3</v>
      </c>
      <c r="S13" s="19">
        <v>6</v>
      </c>
      <c r="T13" s="20">
        <f t="shared" si="5"/>
        <v>0.66666666666666663</v>
      </c>
      <c r="U13" s="19"/>
      <c r="V13" s="14">
        <f t="shared" si="6"/>
        <v>32</v>
      </c>
      <c r="W13" s="14">
        <f t="shared" si="6"/>
        <v>9</v>
      </c>
      <c r="X13" s="20">
        <f t="shared" si="7"/>
        <v>0.21951219512195122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v>0</v>
      </c>
      <c r="C14" s="19">
        <v>0</v>
      </c>
      <c r="D14" s="20" t="str">
        <f t="shared" si="0"/>
        <v>-</v>
      </c>
      <c r="E14" s="19"/>
      <c r="F14" s="19">
        <v>0</v>
      </c>
      <c r="G14" s="19">
        <v>0</v>
      </c>
      <c r="H14" s="20" t="str">
        <f t="shared" si="1"/>
        <v>-</v>
      </c>
      <c r="I14" s="19"/>
      <c r="J14" s="14">
        <f t="shared" si="2"/>
        <v>0</v>
      </c>
      <c r="K14" s="14">
        <f t="shared" si="2"/>
        <v>0</v>
      </c>
      <c r="L14" s="20" t="str">
        <f t="shared" si="3"/>
        <v>-</v>
      </c>
      <c r="M14" s="19"/>
      <c r="N14" s="19">
        <v>0</v>
      </c>
      <c r="O14" s="19">
        <v>0</v>
      </c>
      <c r="P14" s="20" t="str">
        <f t="shared" si="4"/>
        <v>-</v>
      </c>
      <c r="Q14" s="19"/>
      <c r="R14" s="19">
        <v>0</v>
      </c>
      <c r="S14" s="19">
        <v>0</v>
      </c>
      <c r="T14" s="20" t="str">
        <f t="shared" si="5"/>
        <v>-</v>
      </c>
      <c r="U14" s="19"/>
      <c r="V14" s="14">
        <f t="shared" si="6"/>
        <v>0</v>
      </c>
      <c r="W14" s="14">
        <f t="shared" si="6"/>
        <v>0</v>
      </c>
      <c r="X14" s="20" t="str">
        <f t="shared" si="7"/>
        <v>-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v>23</v>
      </c>
      <c r="C15" s="19">
        <v>7</v>
      </c>
      <c r="D15" s="20">
        <f t="shared" si="0"/>
        <v>0.23333333333333334</v>
      </c>
      <c r="E15" s="19"/>
      <c r="F15" s="19">
        <v>57</v>
      </c>
      <c r="G15" s="19">
        <v>3</v>
      </c>
      <c r="H15" s="20">
        <f t="shared" si="1"/>
        <v>0.05</v>
      </c>
      <c r="I15" s="19"/>
      <c r="J15" s="14">
        <f t="shared" si="2"/>
        <v>80</v>
      </c>
      <c r="K15" s="14">
        <f t="shared" si="2"/>
        <v>10</v>
      </c>
      <c r="L15" s="20">
        <f t="shared" si="3"/>
        <v>0.1111111111111111</v>
      </c>
      <c r="M15" s="19"/>
      <c r="N15" s="19">
        <v>0</v>
      </c>
      <c r="O15" s="19">
        <v>0</v>
      </c>
      <c r="P15" s="20" t="str">
        <f t="shared" si="4"/>
        <v>-</v>
      </c>
      <c r="Q15" s="19"/>
      <c r="R15" s="19">
        <v>24</v>
      </c>
      <c r="S15" s="19">
        <v>29</v>
      </c>
      <c r="T15" s="20">
        <f t="shared" si="5"/>
        <v>0.54716981132075471</v>
      </c>
      <c r="U15" s="19"/>
      <c r="V15" s="14">
        <f t="shared" si="6"/>
        <v>104</v>
      </c>
      <c r="W15" s="14">
        <f t="shared" si="6"/>
        <v>39</v>
      </c>
      <c r="X15" s="20">
        <f t="shared" si="7"/>
        <v>0.27272727272727271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v>0</v>
      </c>
      <c r="C16" s="19">
        <v>0</v>
      </c>
      <c r="D16" s="20" t="str">
        <f t="shared" si="0"/>
        <v>-</v>
      </c>
      <c r="E16" s="19"/>
      <c r="F16" s="19">
        <v>0</v>
      </c>
      <c r="G16" s="19">
        <v>0</v>
      </c>
      <c r="H16" s="20" t="str">
        <f t="shared" si="1"/>
        <v>-</v>
      </c>
      <c r="I16" s="19"/>
      <c r="J16" s="14">
        <f t="shared" si="2"/>
        <v>0</v>
      </c>
      <c r="K16" s="14">
        <f t="shared" si="2"/>
        <v>0</v>
      </c>
      <c r="L16" s="20" t="str">
        <f t="shared" si="3"/>
        <v>-</v>
      </c>
      <c r="M16" s="19"/>
      <c r="N16" s="19">
        <v>0</v>
      </c>
      <c r="O16" s="19">
        <v>0</v>
      </c>
      <c r="P16" s="20" t="str">
        <f t="shared" si="4"/>
        <v>-</v>
      </c>
      <c r="Q16" s="19"/>
      <c r="R16" s="19">
        <v>0</v>
      </c>
      <c r="S16" s="19">
        <v>0</v>
      </c>
      <c r="T16" s="20" t="str">
        <f t="shared" si="5"/>
        <v>-</v>
      </c>
      <c r="U16" s="19"/>
      <c r="V16" s="14">
        <f t="shared" si="6"/>
        <v>0</v>
      </c>
      <c r="W16" s="14">
        <f t="shared" si="6"/>
        <v>0</v>
      </c>
      <c r="X16" s="20" t="str">
        <f t="shared" si="7"/>
        <v>-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v>0</v>
      </c>
      <c r="C17" s="19">
        <v>0</v>
      </c>
      <c r="D17" s="20" t="str">
        <f t="shared" si="0"/>
        <v>-</v>
      </c>
      <c r="E17" s="19"/>
      <c r="F17" s="19">
        <v>26</v>
      </c>
      <c r="G17" s="19">
        <v>1</v>
      </c>
      <c r="H17" s="20">
        <f t="shared" si="1"/>
        <v>3.7037037037037035E-2</v>
      </c>
      <c r="I17" s="19"/>
      <c r="J17" s="14">
        <f t="shared" si="2"/>
        <v>26</v>
      </c>
      <c r="K17" s="14">
        <f t="shared" si="2"/>
        <v>1</v>
      </c>
      <c r="L17" s="20">
        <f t="shared" si="3"/>
        <v>3.7037037037037035E-2</v>
      </c>
      <c r="M17" s="19"/>
      <c r="N17" s="19">
        <v>1</v>
      </c>
      <c r="O17" s="19">
        <v>1</v>
      </c>
      <c r="P17" s="20">
        <f t="shared" si="4"/>
        <v>0.5</v>
      </c>
      <c r="Q17" s="19"/>
      <c r="R17" s="19">
        <v>2</v>
      </c>
      <c r="S17" s="19">
        <v>3</v>
      </c>
      <c r="T17" s="20">
        <f t="shared" si="5"/>
        <v>0.6</v>
      </c>
      <c r="U17" s="19"/>
      <c r="V17" s="14">
        <f t="shared" si="6"/>
        <v>29</v>
      </c>
      <c r="W17" s="14">
        <f t="shared" si="6"/>
        <v>5</v>
      </c>
      <c r="X17" s="20">
        <f t="shared" si="7"/>
        <v>0.14705882352941177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v>10</v>
      </c>
      <c r="C18" s="19">
        <v>2</v>
      </c>
      <c r="D18" s="20">
        <f t="shared" si="0"/>
        <v>0.16666666666666666</v>
      </c>
      <c r="E18" s="19"/>
      <c r="F18" s="19">
        <v>0</v>
      </c>
      <c r="G18" s="19">
        <v>0</v>
      </c>
      <c r="H18" s="20" t="str">
        <f t="shared" si="1"/>
        <v>-</v>
      </c>
      <c r="I18" s="19"/>
      <c r="J18" s="14">
        <f t="shared" si="2"/>
        <v>10</v>
      </c>
      <c r="K18" s="14">
        <f t="shared" si="2"/>
        <v>2</v>
      </c>
      <c r="L18" s="20">
        <f t="shared" si="3"/>
        <v>0.16666666666666666</v>
      </c>
      <c r="M18" s="19"/>
      <c r="N18" s="19">
        <v>0</v>
      </c>
      <c r="O18" s="19">
        <v>0</v>
      </c>
      <c r="P18" s="20" t="str">
        <f t="shared" si="4"/>
        <v>-</v>
      </c>
      <c r="Q18" s="19"/>
      <c r="R18" s="19">
        <v>1</v>
      </c>
      <c r="S18" s="19">
        <v>1</v>
      </c>
      <c r="T18" s="20">
        <f t="shared" si="5"/>
        <v>0.5</v>
      </c>
      <c r="U18" s="19"/>
      <c r="V18" s="14">
        <f t="shared" si="6"/>
        <v>11</v>
      </c>
      <c r="W18" s="14">
        <f t="shared" si="6"/>
        <v>3</v>
      </c>
      <c r="X18" s="20">
        <f t="shared" si="7"/>
        <v>0.21428571428571427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v>21</v>
      </c>
      <c r="C19" s="19">
        <v>3</v>
      </c>
      <c r="D19" s="20">
        <f t="shared" si="0"/>
        <v>0.125</v>
      </c>
      <c r="E19" s="19"/>
      <c r="F19" s="19">
        <v>37</v>
      </c>
      <c r="G19" s="19">
        <v>1</v>
      </c>
      <c r="H19" s="20">
        <f t="shared" si="1"/>
        <v>2.6315789473684209E-2</v>
      </c>
      <c r="I19" s="19"/>
      <c r="J19" s="14">
        <f t="shared" si="2"/>
        <v>58</v>
      </c>
      <c r="K19" s="14">
        <f t="shared" si="2"/>
        <v>4</v>
      </c>
      <c r="L19" s="20">
        <f t="shared" si="3"/>
        <v>6.4516129032258063E-2</v>
      </c>
      <c r="M19" s="19"/>
      <c r="N19" s="19">
        <v>2</v>
      </c>
      <c r="O19" s="19">
        <v>1</v>
      </c>
      <c r="P19" s="20">
        <f t="shared" si="4"/>
        <v>0.33333333333333331</v>
      </c>
      <c r="Q19" s="19"/>
      <c r="R19" s="19">
        <v>11</v>
      </c>
      <c r="S19" s="19">
        <v>15</v>
      </c>
      <c r="T19" s="20">
        <f t="shared" si="5"/>
        <v>0.57692307692307687</v>
      </c>
      <c r="U19" s="19"/>
      <c r="V19" s="14">
        <f t="shared" si="6"/>
        <v>71</v>
      </c>
      <c r="W19" s="14">
        <f t="shared" si="6"/>
        <v>20</v>
      </c>
      <c r="X19" s="20">
        <f t="shared" si="7"/>
        <v>0.21978021978021978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v>3</v>
      </c>
      <c r="C20" s="19">
        <v>0</v>
      </c>
      <c r="D20" s="20">
        <f t="shared" si="0"/>
        <v>0</v>
      </c>
      <c r="E20" s="19"/>
      <c r="F20" s="19">
        <v>88</v>
      </c>
      <c r="G20" s="19">
        <v>6</v>
      </c>
      <c r="H20" s="20">
        <f t="shared" si="1"/>
        <v>6.3829787234042548E-2</v>
      </c>
      <c r="I20" s="19"/>
      <c r="J20" s="14">
        <f t="shared" si="2"/>
        <v>91</v>
      </c>
      <c r="K20" s="14">
        <f t="shared" si="2"/>
        <v>6</v>
      </c>
      <c r="L20" s="20">
        <f t="shared" si="3"/>
        <v>6.1855670103092786E-2</v>
      </c>
      <c r="M20" s="19"/>
      <c r="N20" s="19">
        <v>0</v>
      </c>
      <c r="O20" s="19">
        <v>0</v>
      </c>
      <c r="P20" s="20" t="str">
        <f t="shared" si="4"/>
        <v>-</v>
      </c>
      <c r="Q20" s="19"/>
      <c r="R20" s="19">
        <v>2</v>
      </c>
      <c r="S20" s="19">
        <v>3</v>
      </c>
      <c r="T20" s="20">
        <f t="shared" si="5"/>
        <v>0.6</v>
      </c>
      <c r="U20" s="19"/>
      <c r="V20" s="14">
        <f t="shared" si="6"/>
        <v>93</v>
      </c>
      <c r="W20" s="14">
        <f t="shared" si="6"/>
        <v>9</v>
      </c>
      <c r="X20" s="20">
        <f t="shared" si="7"/>
        <v>8.8235294117647065E-2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v>15</v>
      </c>
      <c r="C21" s="19">
        <v>3</v>
      </c>
      <c r="D21" s="20">
        <f t="shared" si="0"/>
        <v>0.16666666666666666</v>
      </c>
      <c r="E21" s="19"/>
      <c r="F21" s="19">
        <v>31</v>
      </c>
      <c r="G21" s="19">
        <v>1</v>
      </c>
      <c r="H21" s="20">
        <f t="shared" si="1"/>
        <v>3.125E-2</v>
      </c>
      <c r="I21" s="19"/>
      <c r="J21" s="14">
        <f t="shared" si="2"/>
        <v>46</v>
      </c>
      <c r="K21" s="14">
        <f t="shared" si="2"/>
        <v>4</v>
      </c>
      <c r="L21" s="20">
        <f t="shared" si="3"/>
        <v>0.08</v>
      </c>
      <c r="M21" s="19"/>
      <c r="N21" s="19">
        <v>0</v>
      </c>
      <c r="O21" s="19">
        <v>0</v>
      </c>
      <c r="P21" s="20" t="str">
        <f t="shared" si="4"/>
        <v>-</v>
      </c>
      <c r="Q21" s="19"/>
      <c r="R21" s="19">
        <v>16</v>
      </c>
      <c r="S21" s="19">
        <v>16</v>
      </c>
      <c r="T21" s="20">
        <f t="shared" si="5"/>
        <v>0.5</v>
      </c>
      <c r="U21" s="19"/>
      <c r="V21" s="14">
        <f t="shared" si="6"/>
        <v>62</v>
      </c>
      <c r="W21" s="14">
        <f t="shared" si="6"/>
        <v>20</v>
      </c>
      <c r="X21" s="20">
        <f t="shared" si="7"/>
        <v>0.24390243902439024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v>0</v>
      </c>
      <c r="C22" s="19">
        <v>0</v>
      </c>
      <c r="D22" s="20" t="str">
        <f t="shared" si="0"/>
        <v>-</v>
      </c>
      <c r="E22" s="19"/>
      <c r="F22" s="19">
        <v>8</v>
      </c>
      <c r="G22" s="19">
        <v>1</v>
      </c>
      <c r="H22" s="20">
        <f t="shared" si="1"/>
        <v>0.1111111111111111</v>
      </c>
      <c r="I22" s="19"/>
      <c r="J22" s="14">
        <f t="shared" si="2"/>
        <v>8</v>
      </c>
      <c r="K22" s="14">
        <f t="shared" si="2"/>
        <v>1</v>
      </c>
      <c r="L22" s="20">
        <f t="shared" si="3"/>
        <v>0.1111111111111111</v>
      </c>
      <c r="M22" s="19"/>
      <c r="N22" s="19">
        <v>1</v>
      </c>
      <c r="O22" s="19">
        <v>0</v>
      </c>
      <c r="P22" s="20">
        <f t="shared" si="4"/>
        <v>0</v>
      </c>
      <c r="Q22" s="19"/>
      <c r="R22" s="19">
        <v>3</v>
      </c>
      <c r="S22" s="19">
        <v>2</v>
      </c>
      <c r="T22" s="20">
        <f t="shared" si="5"/>
        <v>0.4</v>
      </c>
      <c r="U22" s="19"/>
      <c r="V22" s="14">
        <f t="shared" si="6"/>
        <v>12</v>
      </c>
      <c r="W22" s="14">
        <f t="shared" si="6"/>
        <v>3</v>
      </c>
      <c r="X22" s="20">
        <f t="shared" si="7"/>
        <v>0.2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v>1</v>
      </c>
      <c r="C23" s="19">
        <v>0</v>
      </c>
      <c r="D23" s="20">
        <f t="shared" si="0"/>
        <v>0</v>
      </c>
      <c r="E23" s="19"/>
      <c r="F23" s="19">
        <v>21</v>
      </c>
      <c r="G23" s="19">
        <v>1</v>
      </c>
      <c r="H23" s="20">
        <f t="shared" si="1"/>
        <v>4.5454545454545456E-2</v>
      </c>
      <c r="I23" s="19"/>
      <c r="J23" s="14">
        <f t="shared" si="2"/>
        <v>22</v>
      </c>
      <c r="K23" s="14">
        <f t="shared" si="2"/>
        <v>1</v>
      </c>
      <c r="L23" s="20">
        <f t="shared" si="3"/>
        <v>4.3478260869565216E-2</v>
      </c>
      <c r="M23" s="19"/>
      <c r="N23" s="19">
        <v>1</v>
      </c>
      <c r="O23" s="19">
        <v>1</v>
      </c>
      <c r="P23" s="20">
        <f t="shared" si="4"/>
        <v>0.5</v>
      </c>
      <c r="Q23" s="19"/>
      <c r="R23" s="19">
        <v>0</v>
      </c>
      <c r="S23" s="19">
        <v>6</v>
      </c>
      <c r="T23" s="20">
        <f t="shared" si="5"/>
        <v>1</v>
      </c>
      <c r="U23" s="19"/>
      <c r="V23" s="14">
        <f t="shared" si="6"/>
        <v>23</v>
      </c>
      <c r="W23" s="14">
        <f t="shared" si="6"/>
        <v>8</v>
      </c>
      <c r="X23" s="20">
        <f t="shared" si="7"/>
        <v>0.25806451612903225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v>0</v>
      </c>
      <c r="C24" s="19">
        <v>0</v>
      </c>
      <c r="D24" s="20" t="str">
        <f t="shared" si="0"/>
        <v>-</v>
      </c>
      <c r="E24" s="19"/>
      <c r="F24" s="19">
        <v>47</v>
      </c>
      <c r="G24" s="19">
        <v>3</v>
      </c>
      <c r="H24" s="20">
        <f t="shared" si="1"/>
        <v>0.06</v>
      </c>
      <c r="I24" s="19"/>
      <c r="J24" s="14">
        <f t="shared" si="2"/>
        <v>47</v>
      </c>
      <c r="K24" s="14">
        <f t="shared" si="2"/>
        <v>3</v>
      </c>
      <c r="L24" s="20">
        <f t="shared" si="3"/>
        <v>0.06</v>
      </c>
      <c r="M24" s="19"/>
      <c r="N24" s="19">
        <v>0</v>
      </c>
      <c r="O24" s="19">
        <v>0</v>
      </c>
      <c r="P24" s="20" t="str">
        <f t="shared" si="4"/>
        <v>-</v>
      </c>
      <c r="Q24" s="19"/>
      <c r="R24" s="19">
        <v>17</v>
      </c>
      <c r="S24" s="19">
        <v>20</v>
      </c>
      <c r="T24" s="20">
        <f t="shared" si="5"/>
        <v>0.54054054054054057</v>
      </c>
      <c r="U24" s="19"/>
      <c r="V24" s="14">
        <f t="shared" si="6"/>
        <v>64</v>
      </c>
      <c r="W24" s="14">
        <f t="shared" si="6"/>
        <v>23</v>
      </c>
      <c r="X24" s="20">
        <f t="shared" si="7"/>
        <v>0.26436781609195403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v>0</v>
      </c>
      <c r="C25" s="19">
        <v>0</v>
      </c>
      <c r="D25" s="20" t="str">
        <f t="shared" si="0"/>
        <v>-</v>
      </c>
      <c r="E25" s="19"/>
      <c r="F25" s="19">
        <v>26</v>
      </c>
      <c r="G25" s="19">
        <v>4</v>
      </c>
      <c r="H25" s="20">
        <f t="shared" si="1"/>
        <v>0.13333333333333333</v>
      </c>
      <c r="I25" s="19"/>
      <c r="J25" s="14">
        <f t="shared" si="2"/>
        <v>26</v>
      </c>
      <c r="K25" s="14">
        <f t="shared" si="2"/>
        <v>4</v>
      </c>
      <c r="L25" s="20">
        <f t="shared" si="3"/>
        <v>0.13333333333333333</v>
      </c>
      <c r="M25" s="19"/>
      <c r="N25" s="19">
        <v>0</v>
      </c>
      <c r="O25" s="19">
        <v>0</v>
      </c>
      <c r="P25" s="20" t="str">
        <f t="shared" si="4"/>
        <v>-</v>
      </c>
      <c r="Q25" s="19"/>
      <c r="R25" s="19">
        <v>5</v>
      </c>
      <c r="S25" s="19">
        <v>1</v>
      </c>
      <c r="T25" s="20">
        <f t="shared" si="5"/>
        <v>0.16666666666666666</v>
      </c>
      <c r="U25" s="19"/>
      <c r="V25" s="14">
        <f t="shared" si="6"/>
        <v>31</v>
      </c>
      <c r="W25" s="14">
        <f t="shared" si="6"/>
        <v>5</v>
      </c>
      <c r="X25" s="20">
        <f t="shared" si="7"/>
        <v>0.1388888888888889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v>72</v>
      </c>
      <c r="C26" s="19">
        <v>9</v>
      </c>
      <c r="D26" s="20">
        <f t="shared" si="0"/>
        <v>0.1111111111111111</v>
      </c>
      <c r="E26" s="19"/>
      <c r="F26" s="19">
        <v>54</v>
      </c>
      <c r="G26" s="19">
        <v>2</v>
      </c>
      <c r="H26" s="20">
        <f t="shared" si="1"/>
        <v>3.5714285714285712E-2</v>
      </c>
      <c r="I26" s="19"/>
      <c r="J26" s="14">
        <f t="shared" si="2"/>
        <v>126</v>
      </c>
      <c r="K26" s="14">
        <f t="shared" si="2"/>
        <v>11</v>
      </c>
      <c r="L26" s="20">
        <f t="shared" si="3"/>
        <v>8.0291970802919707E-2</v>
      </c>
      <c r="M26" s="19"/>
      <c r="N26" s="19">
        <v>2</v>
      </c>
      <c r="O26" s="19">
        <v>2</v>
      </c>
      <c r="P26" s="20">
        <f t="shared" si="4"/>
        <v>0.5</v>
      </c>
      <c r="Q26" s="19"/>
      <c r="R26" s="19">
        <v>44</v>
      </c>
      <c r="S26" s="19">
        <v>33</v>
      </c>
      <c r="T26" s="20">
        <f t="shared" si="5"/>
        <v>0.42857142857142855</v>
      </c>
      <c r="U26" s="19"/>
      <c r="V26" s="14">
        <f t="shared" si="6"/>
        <v>172</v>
      </c>
      <c r="W26" s="14">
        <f t="shared" si="6"/>
        <v>46</v>
      </c>
      <c r="X26" s="20">
        <f t="shared" si="7"/>
        <v>0.21100917431192662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v>1</v>
      </c>
      <c r="C27" s="19">
        <v>0</v>
      </c>
      <c r="D27" s="20">
        <f t="shared" si="0"/>
        <v>0</v>
      </c>
      <c r="E27" s="19"/>
      <c r="F27" s="19">
        <v>47</v>
      </c>
      <c r="G27" s="19">
        <v>4</v>
      </c>
      <c r="H27" s="20">
        <f t="shared" si="1"/>
        <v>7.8431372549019607E-2</v>
      </c>
      <c r="I27" s="19"/>
      <c r="J27" s="14">
        <f t="shared" si="2"/>
        <v>48</v>
      </c>
      <c r="K27" s="14">
        <f t="shared" si="2"/>
        <v>4</v>
      </c>
      <c r="L27" s="20">
        <f t="shared" si="3"/>
        <v>7.6923076923076927E-2</v>
      </c>
      <c r="M27" s="19"/>
      <c r="N27" s="19">
        <v>0</v>
      </c>
      <c r="O27" s="19">
        <v>3</v>
      </c>
      <c r="P27" s="20">
        <f t="shared" si="4"/>
        <v>1</v>
      </c>
      <c r="Q27" s="19"/>
      <c r="R27" s="19">
        <v>9</v>
      </c>
      <c r="S27" s="19">
        <v>15</v>
      </c>
      <c r="T27" s="20">
        <f t="shared" si="5"/>
        <v>0.625</v>
      </c>
      <c r="U27" s="19"/>
      <c r="V27" s="14">
        <f t="shared" si="6"/>
        <v>57</v>
      </c>
      <c r="W27" s="14">
        <f t="shared" si="6"/>
        <v>22</v>
      </c>
      <c r="X27" s="20">
        <f t="shared" si="7"/>
        <v>0.27848101265822783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40">
        <v>0</v>
      </c>
      <c r="C28" s="40">
        <v>0</v>
      </c>
      <c r="D28" s="20" t="str">
        <f t="shared" si="0"/>
        <v>-</v>
      </c>
      <c r="E28" s="19"/>
      <c r="F28" s="40">
        <v>0</v>
      </c>
      <c r="G28" s="40">
        <v>0</v>
      </c>
      <c r="H28" s="20" t="str">
        <f t="shared" si="1"/>
        <v>-</v>
      </c>
      <c r="I28" s="19"/>
      <c r="J28" s="14">
        <f t="shared" si="2"/>
        <v>0</v>
      </c>
      <c r="K28" s="14">
        <f t="shared" si="2"/>
        <v>0</v>
      </c>
      <c r="L28" s="20" t="str">
        <f t="shared" si="3"/>
        <v>-</v>
      </c>
      <c r="M28" s="19"/>
      <c r="N28" s="40">
        <v>0</v>
      </c>
      <c r="O28" s="40">
        <v>0</v>
      </c>
      <c r="P28" s="20" t="str">
        <f t="shared" si="4"/>
        <v>-</v>
      </c>
      <c r="Q28" s="19"/>
      <c r="R28" s="40">
        <v>0</v>
      </c>
      <c r="S28" s="40">
        <v>0</v>
      </c>
      <c r="T28" s="20" t="str">
        <f t="shared" si="5"/>
        <v>-</v>
      </c>
      <c r="U28" s="19"/>
      <c r="V28" s="14">
        <f t="shared" si="6"/>
        <v>0</v>
      </c>
      <c r="W28" s="14">
        <f t="shared" si="6"/>
        <v>0</v>
      </c>
      <c r="X28" s="20" t="str">
        <f t="shared" si="7"/>
        <v>-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v>0</v>
      </c>
      <c r="C29" s="19">
        <v>0</v>
      </c>
      <c r="D29" s="20" t="str">
        <f t="shared" si="0"/>
        <v>-</v>
      </c>
      <c r="E29" s="19"/>
      <c r="F29" s="19">
        <v>4</v>
      </c>
      <c r="G29" s="19">
        <v>0</v>
      </c>
      <c r="H29" s="20">
        <f t="shared" si="1"/>
        <v>0</v>
      </c>
      <c r="I29" s="19"/>
      <c r="J29" s="14">
        <f t="shared" si="2"/>
        <v>4</v>
      </c>
      <c r="K29" s="14">
        <f t="shared" si="2"/>
        <v>0</v>
      </c>
      <c r="L29" s="20">
        <f t="shared" si="3"/>
        <v>0</v>
      </c>
      <c r="M29" s="19"/>
      <c r="N29" s="19">
        <v>0</v>
      </c>
      <c r="O29" s="19">
        <v>0</v>
      </c>
      <c r="P29" s="20" t="str">
        <f t="shared" si="4"/>
        <v>-</v>
      </c>
      <c r="Q29" s="19"/>
      <c r="R29" s="19">
        <v>7</v>
      </c>
      <c r="S29" s="19">
        <v>5</v>
      </c>
      <c r="T29" s="20">
        <f t="shared" si="5"/>
        <v>0.41666666666666669</v>
      </c>
      <c r="U29" s="19"/>
      <c r="V29" s="14">
        <f t="shared" si="6"/>
        <v>11</v>
      </c>
      <c r="W29" s="14">
        <f t="shared" si="6"/>
        <v>5</v>
      </c>
      <c r="X29" s="20">
        <f t="shared" si="7"/>
        <v>0.3125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v>0</v>
      </c>
      <c r="C30" s="19">
        <v>0</v>
      </c>
      <c r="D30" s="20" t="str">
        <f t="shared" si="0"/>
        <v>-</v>
      </c>
      <c r="E30" s="19"/>
      <c r="F30" s="19">
        <v>0</v>
      </c>
      <c r="G30" s="19">
        <v>0</v>
      </c>
      <c r="H30" s="20" t="str">
        <f t="shared" si="1"/>
        <v>-</v>
      </c>
      <c r="I30" s="19"/>
      <c r="J30" s="14">
        <f t="shared" si="2"/>
        <v>0</v>
      </c>
      <c r="K30" s="14">
        <f t="shared" si="2"/>
        <v>0</v>
      </c>
      <c r="L30" s="20" t="str">
        <f t="shared" si="3"/>
        <v>-</v>
      </c>
      <c r="M30" s="19"/>
      <c r="N30" s="19">
        <v>0</v>
      </c>
      <c r="O30" s="19">
        <v>0</v>
      </c>
      <c r="P30" s="20" t="str">
        <f t="shared" si="4"/>
        <v>-</v>
      </c>
      <c r="Q30" s="19"/>
      <c r="R30" s="19">
        <v>0</v>
      </c>
      <c r="S30" s="19">
        <v>1</v>
      </c>
      <c r="T30" s="20">
        <f t="shared" si="5"/>
        <v>1</v>
      </c>
      <c r="U30" s="19"/>
      <c r="V30" s="14">
        <f t="shared" si="6"/>
        <v>0</v>
      </c>
      <c r="W30" s="14">
        <f t="shared" si="6"/>
        <v>1</v>
      </c>
      <c r="X30" s="20">
        <f t="shared" si="7"/>
        <v>1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v>9</v>
      </c>
      <c r="C31" s="19">
        <v>0</v>
      </c>
      <c r="D31" s="20">
        <f t="shared" si="0"/>
        <v>0</v>
      </c>
      <c r="E31" s="19"/>
      <c r="F31" s="19">
        <v>16</v>
      </c>
      <c r="G31" s="19">
        <v>0</v>
      </c>
      <c r="H31" s="20">
        <f t="shared" si="1"/>
        <v>0</v>
      </c>
      <c r="I31" s="19"/>
      <c r="J31" s="14">
        <f t="shared" si="2"/>
        <v>25</v>
      </c>
      <c r="K31" s="14">
        <f t="shared" si="2"/>
        <v>0</v>
      </c>
      <c r="L31" s="20">
        <f t="shared" si="3"/>
        <v>0</v>
      </c>
      <c r="M31" s="19"/>
      <c r="N31" s="19">
        <v>1</v>
      </c>
      <c r="O31" s="19">
        <v>2</v>
      </c>
      <c r="P31" s="20">
        <f t="shared" si="4"/>
        <v>0.66666666666666663</v>
      </c>
      <c r="Q31" s="19"/>
      <c r="R31" s="19">
        <v>12</v>
      </c>
      <c r="S31" s="19">
        <v>19</v>
      </c>
      <c r="T31" s="20">
        <f t="shared" si="5"/>
        <v>0.61290322580645162</v>
      </c>
      <c r="U31" s="19"/>
      <c r="V31" s="14">
        <f t="shared" si="6"/>
        <v>38</v>
      </c>
      <c r="W31" s="14">
        <f t="shared" si="6"/>
        <v>21</v>
      </c>
      <c r="X31" s="20">
        <f t="shared" si="7"/>
        <v>0.3559322033898305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v>0</v>
      </c>
      <c r="C32" s="19">
        <v>0</v>
      </c>
      <c r="D32" s="20" t="str">
        <f t="shared" si="0"/>
        <v>-</v>
      </c>
      <c r="E32" s="19"/>
      <c r="F32" s="19">
        <v>50</v>
      </c>
      <c r="G32" s="19">
        <v>8</v>
      </c>
      <c r="H32" s="20">
        <f t="shared" si="1"/>
        <v>0.13793103448275862</v>
      </c>
      <c r="I32" s="19"/>
      <c r="J32" s="14">
        <f t="shared" si="2"/>
        <v>50</v>
      </c>
      <c r="K32" s="14">
        <f t="shared" si="2"/>
        <v>8</v>
      </c>
      <c r="L32" s="20">
        <f t="shared" si="3"/>
        <v>0.13793103448275862</v>
      </c>
      <c r="M32" s="19"/>
      <c r="N32" s="19">
        <v>0</v>
      </c>
      <c r="O32" s="19">
        <v>0</v>
      </c>
      <c r="P32" s="20" t="str">
        <f t="shared" si="4"/>
        <v>-</v>
      </c>
      <c r="Q32" s="19"/>
      <c r="R32" s="19">
        <v>10</v>
      </c>
      <c r="S32" s="19">
        <v>13</v>
      </c>
      <c r="T32" s="20">
        <f t="shared" si="5"/>
        <v>0.56521739130434778</v>
      </c>
      <c r="U32" s="19"/>
      <c r="V32" s="14">
        <f t="shared" si="6"/>
        <v>60</v>
      </c>
      <c r="W32" s="14">
        <f t="shared" si="6"/>
        <v>21</v>
      </c>
      <c r="X32" s="20">
        <f t="shared" si="7"/>
        <v>0.25925925925925924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v>0</v>
      </c>
      <c r="C33" s="19">
        <v>0</v>
      </c>
      <c r="D33" s="20" t="str">
        <f t="shared" si="0"/>
        <v>-</v>
      </c>
      <c r="E33" s="19"/>
      <c r="F33" s="19">
        <v>18</v>
      </c>
      <c r="G33" s="19">
        <v>2</v>
      </c>
      <c r="H33" s="20">
        <f t="shared" si="1"/>
        <v>0.1</v>
      </c>
      <c r="I33" s="19"/>
      <c r="J33" s="14">
        <f t="shared" si="2"/>
        <v>18</v>
      </c>
      <c r="K33" s="14">
        <f t="shared" si="2"/>
        <v>2</v>
      </c>
      <c r="L33" s="20">
        <f t="shared" si="3"/>
        <v>0.1</v>
      </c>
      <c r="M33" s="19"/>
      <c r="N33" s="19">
        <v>0</v>
      </c>
      <c r="O33" s="19">
        <v>4</v>
      </c>
      <c r="P33" s="20">
        <f t="shared" si="4"/>
        <v>1</v>
      </c>
      <c r="Q33" s="19"/>
      <c r="R33" s="19">
        <v>3</v>
      </c>
      <c r="S33" s="19">
        <v>6</v>
      </c>
      <c r="T33" s="20">
        <f t="shared" si="5"/>
        <v>0.66666666666666663</v>
      </c>
      <c r="U33" s="19"/>
      <c r="V33" s="14">
        <f t="shared" si="6"/>
        <v>21</v>
      </c>
      <c r="W33" s="14">
        <f t="shared" si="6"/>
        <v>12</v>
      </c>
      <c r="X33" s="20">
        <f t="shared" si="7"/>
        <v>0.36363636363636365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v>0</v>
      </c>
      <c r="C34" s="19">
        <v>0</v>
      </c>
      <c r="D34" s="20" t="str">
        <f t="shared" si="0"/>
        <v>-</v>
      </c>
      <c r="E34" s="19"/>
      <c r="F34" s="19">
        <v>58</v>
      </c>
      <c r="G34" s="19">
        <v>4</v>
      </c>
      <c r="H34" s="20">
        <f t="shared" si="1"/>
        <v>6.4516129032258063E-2</v>
      </c>
      <c r="I34" s="19"/>
      <c r="J34" s="14">
        <f t="shared" si="2"/>
        <v>58</v>
      </c>
      <c r="K34" s="14">
        <f t="shared" si="2"/>
        <v>4</v>
      </c>
      <c r="L34" s="20">
        <f t="shared" si="3"/>
        <v>6.4516129032258063E-2</v>
      </c>
      <c r="M34" s="19"/>
      <c r="N34" s="19">
        <v>0</v>
      </c>
      <c r="O34" s="19">
        <v>1</v>
      </c>
      <c r="P34" s="20">
        <f t="shared" si="4"/>
        <v>1</v>
      </c>
      <c r="Q34" s="19"/>
      <c r="R34" s="19">
        <v>0</v>
      </c>
      <c r="S34" s="19">
        <v>3</v>
      </c>
      <c r="T34" s="20">
        <f t="shared" si="5"/>
        <v>1</v>
      </c>
      <c r="U34" s="19"/>
      <c r="V34" s="14">
        <f t="shared" si="6"/>
        <v>58</v>
      </c>
      <c r="W34" s="14">
        <f t="shared" si="6"/>
        <v>8</v>
      </c>
      <c r="X34" s="20">
        <f t="shared" si="7"/>
        <v>0.12121212121212122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v>1</v>
      </c>
      <c r="C35" s="19">
        <v>3</v>
      </c>
      <c r="D35" s="20">
        <f t="shared" si="0"/>
        <v>0.75</v>
      </c>
      <c r="E35" s="19"/>
      <c r="F35" s="19">
        <v>36</v>
      </c>
      <c r="G35" s="19">
        <v>3</v>
      </c>
      <c r="H35" s="20">
        <f t="shared" si="1"/>
        <v>7.6923076923076927E-2</v>
      </c>
      <c r="I35" s="19"/>
      <c r="J35" s="14">
        <f t="shared" si="2"/>
        <v>37</v>
      </c>
      <c r="K35" s="14">
        <f t="shared" si="2"/>
        <v>6</v>
      </c>
      <c r="L35" s="20">
        <f t="shared" si="3"/>
        <v>0.13953488372093023</v>
      </c>
      <c r="M35" s="19"/>
      <c r="N35" s="19">
        <v>1</v>
      </c>
      <c r="O35" s="19">
        <v>0</v>
      </c>
      <c r="P35" s="20">
        <f t="shared" si="4"/>
        <v>0</v>
      </c>
      <c r="Q35" s="19"/>
      <c r="R35" s="19">
        <v>6</v>
      </c>
      <c r="S35" s="19">
        <v>6</v>
      </c>
      <c r="T35" s="20">
        <f t="shared" si="5"/>
        <v>0.5</v>
      </c>
      <c r="U35" s="19"/>
      <c r="V35" s="14">
        <f t="shared" si="6"/>
        <v>44</v>
      </c>
      <c r="W35" s="14">
        <f t="shared" si="6"/>
        <v>12</v>
      </c>
      <c r="X35" s="20">
        <f t="shared" si="7"/>
        <v>0.21428571428571427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v>0</v>
      </c>
      <c r="C36" s="19">
        <v>0</v>
      </c>
      <c r="D36" s="20" t="str">
        <f t="shared" si="0"/>
        <v>-</v>
      </c>
      <c r="E36" s="19"/>
      <c r="F36" s="19">
        <v>0</v>
      </c>
      <c r="G36" s="19">
        <v>0</v>
      </c>
      <c r="H36" s="20" t="str">
        <f t="shared" si="1"/>
        <v>-</v>
      </c>
      <c r="I36" s="19"/>
      <c r="J36" s="14">
        <f t="shared" si="2"/>
        <v>0</v>
      </c>
      <c r="K36" s="14">
        <f t="shared" si="2"/>
        <v>0</v>
      </c>
      <c r="L36" s="20" t="str">
        <f t="shared" si="3"/>
        <v>-</v>
      </c>
      <c r="M36" s="19"/>
      <c r="N36" s="19">
        <v>0</v>
      </c>
      <c r="O36" s="19">
        <v>0</v>
      </c>
      <c r="P36" s="20" t="str">
        <f t="shared" si="4"/>
        <v>-</v>
      </c>
      <c r="Q36" s="19"/>
      <c r="R36" s="19">
        <v>0</v>
      </c>
      <c r="S36" s="19">
        <v>0</v>
      </c>
      <c r="T36" s="20" t="str">
        <f t="shared" si="5"/>
        <v>-</v>
      </c>
      <c r="U36" s="19"/>
      <c r="V36" s="14">
        <f t="shared" si="6"/>
        <v>0</v>
      </c>
      <c r="W36" s="14">
        <f t="shared" si="6"/>
        <v>0</v>
      </c>
      <c r="X36" s="20" t="str">
        <f t="shared" si="7"/>
        <v>-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v>0</v>
      </c>
      <c r="C37" s="19">
        <v>0</v>
      </c>
      <c r="D37" s="20" t="str">
        <f t="shared" si="0"/>
        <v>-</v>
      </c>
      <c r="E37" s="19"/>
      <c r="F37" s="19">
        <v>0</v>
      </c>
      <c r="G37" s="19">
        <v>0</v>
      </c>
      <c r="H37" s="20" t="str">
        <f t="shared" si="1"/>
        <v>-</v>
      </c>
      <c r="I37" s="19"/>
      <c r="J37" s="14">
        <f t="shared" si="2"/>
        <v>0</v>
      </c>
      <c r="K37" s="14">
        <f t="shared" si="2"/>
        <v>0</v>
      </c>
      <c r="L37" s="20" t="str">
        <f t="shared" si="3"/>
        <v>-</v>
      </c>
      <c r="M37" s="19"/>
      <c r="N37" s="19">
        <v>0</v>
      </c>
      <c r="O37" s="19">
        <v>0</v>
      </c>
      <c r="P37" s="20" t="str">
        <f t="shared" si="4"/>
        <v>-</v>
      </c>
      <c r="Q37" s="19"/>
      <c r="R37" s="19">
        <v>0</v>
      </c>
      <c r="S37" s="19">
        <v>0</v>
      </c>
      <c r="T37" s="20" t="str">
        <f t="shared" si="5"/>
        <v>-</v>
      </c>
      <c r="U37" s="19"/>
      <c r="V37" s="14">
        <f t="shared" si="6"/>
        <v>0</v>
      </c>
      <c r="W37" s="14">
        <f t="shared" si="6"/>
        <v>0</v>
      </c>
      <c r="X37" s="20" t="str">
        <f t="shared" si="7"/>
        <v>-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v>3</v>
      </c>
      <c r="C38" s="19">
        <v>1</v>
      </c>
      <c r="D38" s="20">
        <f t="shared" si="0"/>
        <v>0.25</v>
      </c>
      <c r="E38" s="19"/>
      <c r="F38" s="19">
        <v>11</v>
      </c>
      <c r="G38" s="19">
        <v>0</v>
      </c>
      <c r="H38" s="20">
        <f t="shared" si="1"/>
        <v>0</v>
      </c>
      <c r="I38" s="19"/>
      <c r="J38" s="14">
        <f t="shared" si="2"/>
        <v>14</v>
      </c>
      <c r="K38" s="14">
        <f t="shared" si="2"/>
        <v>1</v>
      </c>
      <c r="L38" s="20">
        <f t="shared" si="3"/>
        <v>6.6666666666666666E-2</v>
      </c>
      <c r="M38" s="19"/>
      <c r="N38" s="19">
        <v>0</v>
      </c>
      <c r="O38" s="19">
        <v>0</v>
      </c>
      <c r="P38" s="20" t="str">
        <f t="shared" si="4"/>
        <v>-</v>
      </c>
      <c r="Q38" s="19"/>
      <c r="R38" s="19">
        <v>5</v>
      </c>
      <c r="S38" s="19">
        <v>4</v>
      </c>
      <c r="T38" s="20">
        <f t="shared" si="5"/>
        <v>0.44444444444444442</v>
      </c>
      <c r="U38" s="19"/>
      <c r="V38" s="14">
        <f t="shared" si="6"/>
        <v>19</v>
      </c>
      <c r="W38" s="14">
        <f t="shared" si="6"/>
        <v>5</v>
      </c>
      <c r="X38" s="20">
        <f t="shared" si="7"/>
        <v>0.20833333333333334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v>5</v>
      </c>
      <c r="C39" s="19">
        <v>0</v>
      </c>
      <c r="D39" s="20">
        <f t="shared" si="0"/>
        <v>0</v>
      </c>
      <c r="E39" s="19"/>
      <c r="F39" s="19">
        <v>11</v>
      </c>
      <c r="G39" s="19">
        <v>0</v>
      </c>
      <c r="H39" s="20">
        <f t="shared" si="1"/>
        <v>0</v>
      </c>
      <c r="I39" s="19"/>
      <c r="J39" s="14">
        <f t="shared" si="2"/>
        <v>16</v>
      </c>
      <c r="K39" s="14">
        <f t="shared" si="2"/>
        <v>0</v>
      </c>
      <c r="L39" s="20">
        <f t="shared" si="3"/>
        <v>0</v>
      </c>
      <c r="M39" s="19"/>
      <c r="N39" s="19">
        <v>0</v>
      </c>
      <c r="O39" s="19">
        <v>0</v>
      </c>
      <c r="P39" s="20" t="str">
        <f t="shared" si="4"/>
        <v>-</v>
      </c>
      <c r="Q39" s="19"/>
      <c r="R39" s="19">
        <v>0</v>
      </c>
      <c r="S39" s="19">
        <v>1</v>
      </c>
      <c r="T39" s="20">
        <f t="shared" si="5"/>
        <v>1</v>
      </c>
      <c r="U39" s="19"/>
      <c r="V39" s="14">
        <f t="shared" si="6"/>
        <v>16</v>
      </c>
      <c r="W39" s="14">
        <f t="shared" si="6"/>
        <v>1</v>
      </c>
      <c r="X39" s="20">
        <f t="shared" si="7"/>
        <v>5.8823529411764705E-2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v>1</v>
      </c>
      <c r="C40" s="19">
        <v>0</v>
      </c>
      <c r="D40" s="20">
        <f t="shared" si="0"/>
        <v>0</v>
      </c>
      <c r="E40" s="19"/>
      <c r="F40" s="19">
        <v>25</v>
      </c>
      <c r="G40" s="19">
        <v>5</v>
      </c>
      <c r="H40" s="20">
        <f t="shared" si="1"/>
        <v>0.16666666666666666</v>
      </c>
      <c r="I40" s="19"/>
      <c r="J40" s="14">
        <f t="shared" si="2"/>
        <v>26</v>
      </c>
      <c r="K40" s="14">
        <f t="shared" si="2"/>
        <v>5</v>
      </c>
      <c r="L40" s="20">
        <f t="shared" si="3"/>
        <v>0.16129032258064516</v>
      </c>
      <c r="M40" s="19"/>
      <c r="N40" s="19">
        <v>1</v>
      </c>
      <c r="O40" s="19">
        <v>0</v>
      </c>
      <c r="P40" s="20">
        <f t="shared" si="4"/>
        <v>0</v>
      </c>
      <c r="Q40" s="19"/>
      <c r="R40" s="19">
        <v>15</v>
      </c>
      <c r="S40" s="19">
        <v>11</v>
      </c>
      <c r="T40" s="20">
        <f t="shared" si="5"/>
        <v>0.42307692307692307</v>
      </c>
      <c r="U40" s="19"/>
      <c r="V40" s="14">
        <f t="shared" si="6"/>
        <v>42</v>
      </c>
      <c r="W40" s="14">
        <f t="shared" si="6"/>
        <v>16</v>
      </c>
      <c r="X40" s="20">
        <f t="shared" si="7"/>
        <v>0.27586206896551724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v>18</v>
      </c>
      <c r="C41" s="19">
        <v>0</v>
      </c>
      <c r="D41" s="20">
        <f t="shared" si="0"/>
        <v>0</v>
      </c>
      <c r="E41" s="19"/>
      <c r="F41" s="19">
        <v>44</v>
      </c>
      <c r="G41" s="19">
        <v>2</v>
      </c>
      <c r="H41" s="20">
        <f t="shared" si="1"/>
        <v>4.3478260869565216E-2</v>
      </c>
      <c r="I41" s="19"/>
      <c r="J41" s="14">
        <f t="shared" si="2"/>
        <v>62</v>
      </c>
      <c r="K41" s="14">
        <f t="shared" si="2"/>
        <v>2</v>
      </c>
      <c r="L41" s="20">
        <f t="shared" si="3"/>
        <v>3.125E-2</v>
      </c>
      <c r="M41" s="19"/>
      <c r="N41" s="19">
        <v>0</v>
      </c>
      <c r="O41" s="19">
        <v>0</v>
      </c>
      <c r="P41" s="20" t="str">
        <f t="shared" si="4"/>
        <v>-</v>
      </c>
      <c r="Q41" s="19"/>
      <c r="R41" s="19">
        <v>3</v>
      </c>
      <c r="S41" s="19">
        <v>3</v>
      </c>
      <c r="T41" s="20">
        <f t="shared" si="5"/>
        <v>0.5</v>
      </c>
      <c r="U41" s="19"/>
      <c r="V41" s="14">
        <f t="shared" si="6"/>
        <v>65</v>
      </c>
      <c r="W41" s="14">
        <f t="shared" si="6"/>
        <v>5</v>
      </c>
      <c r="X41" s="20">
        <f t="shared" si="7"/>
        <v>7.1428571428571425E-2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v>13</v>
      </c>
      <c r="C42" s="19">
        <v>1</v>
      </c>
      <c r="D42" s="20">
        <f t="shared" si="0"/>
        <v>7.1428571428571425E-2</v>
      </c>
      <c r="E42" s="19"/>
      <c r="F42" s="19">
        <v>29</v>
      </c>
      <c r="G42" s="19">
        <v>3</v>
      </c>
      <c r="H42" s="20">
        <f t="shared" si="1"/>
        <v>9.375E-2</v>
      </c>
      <c r="I42" s="19"/>
      <c r="J42" s="14">
        <f t="shared" si="2"/>
        <v>42</v>
      </c>
      <c r="K42" s="14">
        <f t="shared" si="2"/>
        <v>4</v>
      </c>
      <c r="L42" s="20">
        <f t="shared" si="3"/>
        <v>8.6956521739130432E-2</v>
      </c>
      <c r="M42" s="19"/>
      <c r="N42" s="19">
        <v>0</v>
      </c>
      <c r="O42" s="19">
        <v>2</v>
      </c>
      <c r="P42" s="20">
        <f t="shared" si="4"/>
        <v>1</v>
      </c>
      <c r="Q42" s="19"/>
      <c r="R42" s="19">
        <v>3</v>
      </c>
      <c r="S42" s="19">
        <v>7</v>
      </c>
      <c r="T42" s="20">
        <f t="shared" si="5"/>
        <v>0.7</v>
      </c>
      <c r="U42" s="19"/>
      <c r="V42" s="14">
        <f t="shared" si="6"/>
        <v>45</v>
      </c>
      <c r="W42" s="14">
        <f t="shared" si="6"/>
        <v>13</v>
      </c>
      <c r="X42" s="20">
        <f t="shared" si="7"/>
        <v>0.22413793103448276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v>0</v>
      </c>
      <c r="C43" s="19">
        <v>0</v>
      </c>
      <c r="D43" s="20" t="str">
        <f t="shared" si="0"/>
        <v>-</v>
      </c>
      <c r="E43" s="19"/>
      <c r="F43" s="19">
        <v>33</v>
      </c>
      <c r="G43" s="19">
        <v>1</v>
      </c>
      <c r="H43" s="20">
        <f t="shared" si="1"/>
        <v>2.9411764705882353E-2</v>
      </c>
      <c r="I43" s="19"/>
      <c r="J43" s="14">
        <f t="shared" si="2"/>
        <v>33</v>
      </c>
      <c r="K43" s="14">
        <f t="shared" si="2"/>
        <v>1</v>
      </c>
      <c r="L43" s="20">
        <f t="shared" si="3"/>
        <v>2.9411764705882353E-2</v>
      </c>
      <c r="M43" s="19"/>
      <c r="N43" s="19">
        <v>0</v>
      </c>
      <c r="O43" s="19">
        <v>0</v>
      </c>
      <c r="P43" s="20" t="str">
        <f t="shared" si="4"/>
        <v>-</v>
      </c>
      <c r="Q43" s="19"/>
      <c r="R43" s="19">
        <v>7</v>
      </c>
      <c r="S43" s="19">
        <v>5</v>
      </c>
      <c r="T43" s="20">
        <f t="shared" si="5"/>
        <v>0.41666666666666669</v>
      </c>
      <c r="U43" s="19"/>
      <c r="V43" s="14">
        <f t="shared" si="6"/>
        <v>40</v>
      </c>
      <c r="W43" s="14">
        <f t="shared" si="6"/>
        <v>6</v>
      </c>
      <c r="X43" s="20">
        <f t="shared" si="7"/>
        <v>0.13043478260869565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v>16</v>
      </c>
      <c r="C44" s="19">
        <v>1</v>
      </c>
      <c r="D44" s="20">
        <f t="shared" si="0"/>
        <v>5.8823529411764705E-2</v>
      </c>
      <c r="E44" s="19"/>
      <c r="F44" s="19">
        <v>31</v>
      </c>
      <c r="G44" s="19">
        <v>2</v>
      </c>
      <c r="H44" s="20">
        <f t="shared" si="1"/>
        <v>6.0606060606060608E-2</v>
      </c>
      <c r="I44" s="19"/>
      <c r="J44" s="14">
        <f t="shared" si="2"/>
        <v>47</v>
      </c>
      <c r="K44" s="14">
        <f t="shared" si="2"/>
        <v>3</v>
      </c>
      <c r="L44" s="20">
        <f t="shared" si="3"/>
        <v>0.06</v>
      </c>
      <c r="M44" s="19"/>
      <c r="N44" s="19">
        <v>0</v>
      </c>
      <c r="O44" s="19">
        <v>0</v>
      </c>
      <c r="P44" s="20" t="str">
        <f t="shared" si="4"/>
        <v>-</v>
      </c>
      <c r="Q44" s="19"/>
      <c r="R44" s="19">
        <v>5</v>
      </c>
      <c r="S44" s="19">
        <v>7</v>
      </c>
      <c r="T44" s="20">
        <f t="shared" si="5"/>
        <v>0.58333333333333337</v>
      </c>
      <c r="U44" s="19"/>
      <c r="V44" s="14">
        <f t="shared" si="6"/>
        <v>52</v>
      </c>
      <c r="W44" s="14">
        <f t="shared" si="6"/>
        <v>10</v>
      </c>
      <c r="X44" s="20">
        <f t="shared" si="7"/>
        <v>0.16129032258064516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v>9</v>
      </c>
      <c r="C45" s="19">
        <v>1</v>
      </c>
      <c r="D45" s="20">
        <f t="shared" si="0"/>
        <v>0.1</v>
      </c>
      <c r="E45" s="19"/>
      <c r="F45" s="19">
        <v>10</v>
      </c>
      <c r="G45" s="19">
        <v>1</v>
      </c>
      <c r="H45" s="20">
        <f t="shared" si="1"/>
        <v>9.0909090909090912E-2</v>
      </c>
      <c r="I45" s="19"/>
      <c r="J45" s="14">
        <f t="shared" si="2"/>
        <v>19</v>
      </c>
      <c r="K45" s="14">
        <f t="shared" si="2"/>
        <v>2</v>
      </c>
      <c r="L45" s="20">
        <f t="shared" si="3"/>
        <v>9.5238095238095233E-2</v>
      </c>
      <c r="M45" s="19"/>
      <c r="N45" s="19">
        <v>0</v>
      </c>
      <c r="O45" s="19">
        <v>1</v>
      </c>
      <c r="P45" s="20">
        <f t="shared" si="4"/>
        <v>1</v>
      </c>
      <c r="Q45" s="19"/>
      <c r="R45" s="19">
        <v>0</v>
      </c>
      <c r="S45" s="19">
        <v>0</v>
      </c>
      <c r="T45" s="20" t="str">
        <f t="shared" si="5"/>
        <v>-</v>
      </c>
      <c r="U45" s="19"/>
      <c r="V45" s="14">
        <f t="shared" si="6"/>
        <v>19</v>
      </c>
      <c r="W45" s="14">
        <f t="shared" si="6"/>
        <v>3</v>
      </c>
      <c r="X45" s="20">
        <f t="shared" si="7"/>
        <v>0.13636363636363635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v>7</v>
      </c>
      <c r="C46" s="19">
        <v>0</v>
      </c>
      <c r="D46" s="20">
        <f t="shared" si="0"/>
        <v>0</v>
      </c>
      <c r="E46" s="19"/>
      <c r="F46" s="19">
        <v>25</v>
      </c>
      <c r="G46" s="19">
        <v>0</v>
      </c>
      <c r="H46" s="20">
        <f t="shared" si="1"/>
        <v>0</v>
      </c>
      <c r="I46" s="19"/>
      <c r="J46" s="14">
        <f t="shared" si="2"/>
        <v>32</v>
      </c>
      <c r="K46" s="14">
        <f t="shared" si="2"/>
        <v>0</v>
      </c>
      <c r="L46" s="20">
        <f t="shared" si="3"/>
        <v>0</v>
      </c>
      <c r="M46" s="19"/>
      <c r="N46" s="19">
        <v>3</v>
      </c>
      <c r="O46" s="19">
        <v>2</v>
      </c>
      <c r="P46" s="20">
        <f t="shared" si="4"/>
        <v>0.4</v>
      </c>
      <c r="Q46" s="19"/>
      <c r="R46" s="19">
        <v>12</v>
      </c>
      <c r="S46" s="19">
        <v>4</v>
      </c>
      <c r="T46" s="20">
        <f t="shared" si="5"/>
        <v>0.25</v>
      </c>
      <c r="U46" s="19"/>
      <c r="V46" s="14">
        <f t="shared" si="6"/>
        <v>47</v>
      </c>
      <c r="W46" s="14">
        <f t="shared" si="6"/>
        <v>6</v>
      </c>
      <c r="X46" s="20">
        <f t="shared" si="7"/>
        <v>0.11320754716981132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v>15</v>
      </c>
      <c r="C47" s="19">
        <v>2</v>
      </c>
      <c r="D47" s="20">
        <f t="shared" si="0"/>
        <v>0.11764705882352941</v>
      </c>
      <c r="E47" s="19"/>
      <c r="F47" s="19">
        <v>38</v>
      </c>
      <c r="G47" s="19">
        <v>2</v>
      </c>
      <c r="H47" s="20">
        <f t="shared" si="1"/>
        <v>0.05</v>
      </c>
      <c r="I47" s="19"/>
      <c r="J47" s="14">
        <f t="shared" si="2"/>
        <v>53</v>
      </c>
      <c r="K47" s="14">
        <f t="shared" si="2"/>
        <v>4</v>
      </c>
      <c r="L47" s="20">
        <f t="shared" si="3"/>
        <v>7.0175438596491224E-2</v>
      </c>
      <c r="M47" s="19"/>
      <c r="N47" s="19">
        <v>0</v>
      </c>
      <c r="O47" s="19">
        <v>0</v>
      </c>
      <c r="P47" s="20" t="str">
        <f t="shared" si="4"/>
        <v>-</v>
      </c>
      <c r="Q47" s="19"/>
      <c r="R47" s="19">
        <v>8</v>
      </c>
      <c r="S47" s="19">
        <v>8</v>
      </c>
      <c r="T47" s="20">
        <f t="shared" si="5"/>
        <v>0.5</v>
      </c>
      <c r="U47" s="19"/>
      <c r="V47" s="14">
        <f t="shared" si="6"/>
        <v>61</v>
      </c>
      <c r="W47" s="14">
        <f t="shared" si="6"/>
        <v>12</v>
      </c>
      <c r="X47" s="20">
        <f t="shared" si="7"/>
        <v>0.16438356164383561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v>0</v>
      </c>
      <c r="C48" s="19">
        <v>0</v>
      </c>
      <c r="D48" s="20" t="str">
        <f t="shared" si="0"/>
        <v>-</v>
      </c>
      <c r="E48" s="19"/>
      <c r="F48" s="19">
        <v>0</v>
      </c>
      <c r="G48" s="19">
        <v>0</v>
      </c>
      <c r="H48" s="20" t="str">
        <f t="shared" si="1"/>
        <v>-</v>
      </c>
      <c r="I48" s="19"/>
      <c r="J48" s="14">
        <f t="shared" si="2"/>
        <v>0</v>
      </c>
      <c r="K48" s="14">
        <f t="shared" si="2"/>
        <v>0</v>
      </c>
      <c r="L48" s="20" t="str">
        <f t="shared" si="3"/>
        <v>-</v>
      </c>
      <c r="M48" s="19"/>
      <c r="N48" s="19">
        <v>0</v>
      </c>
      <c r="O48" s="19">
        <v>0</v>
      </c>
      <c r="P48" s="20" t="str">
        <f t="shared" si="4"/>
        <v>-</v>
      </c>
      <c r="Q48" s="19"/>
      <c r="R48" s="19">
        <v>0</v>
      </c>
      <c r="S48" s="19">
        <v>0</v>
      </c>
      <c r="T48" s="20" t="str">
        <f t="shared" si="5"/>
        <v>-</v>
      </c>
      <c r="U48" s="19"/>
      <c r="V48" s="14">
        <f t="shared" si="6"/>
        <v>0</v>
      </c>
      <c r="W48" s="14">
        <f t="shared" si="6"/>
        <v>0</v>
      </c>
      <c r="X48" s="20" t="str">
        <f t="shared" si="7"/>
        <v>-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>SUM(B50:B56)</f>
        <v>138</v>
      </c>
      <c r="C49" s="14">
        <f>SUM(C50:C56)</f>
        <v>21</v>
      </c>
      <c r="D49" s="15">
        <f t="shared" si="0"/>
        <v>0.13207547169811321</v>
      </c>
      <c r="E49" s="14"/>
      <c r="F49" s="14">
        <f>SUM(F50:F56)</f>
        <v>13</v>
      </c>
      <c r="G49" s="14">
        <f>SUM(G50:G56)</f>
        <v>3</v>
      </c>
      <c r="H49" s="15">
        <f t="shared" si="1"/>
        <v>0.1875</v>
      </c>
      <c r="I49" s="14"/>
      <c r="J49" s="14">
        <f t="shared" si="2"/>
        <v>151</v>
      </c>
      <c r="K49" s="14">
        <f t="shared" si="2"/>
        <v>24</v>
      </c>
      <c r="L49" s="15">
        <f t="shared" si="3"/>
        <v>0.13714285714285715</v>
      </c>
      <c r="M49" s="14"/>
      <c r="N49" s="14">
        <f>SUM(N50:N56)</f>
        <v>8</v>
      </c>
      <c r="O49" s="14">
        <f>SUM(O50:O56)</f>
        <v>17</v>
      </c>
      <c r="P49" s="15">
        <f t="shared" si="4"/>
        <v>0.68</v>
      </c>
      <c r="Q49" s="14"/>
      <c r="R49" s="14">
        <f>SUM(R50:R56)</f>
        <v>88</v>
      </c>
      <c r="S49" s="14">
        <f>SUM(S50:S56)</f>
        <v>109</v>
      </c>
      <c r="T49" s="15">
        <f t="shared" si="5"/>
        <v>0.5532994923857868</v>
      </c>
      <c r="U49" s="14"/>
      <c r="V49" s="14">
        <f t="shared" si="6"/>
        <v>247</v>
      </c>
      <c r="W49" s="14">
        <f t="shared" si="6"/>
        <v>150</v>
      </c>
      <c r="X49" s="15">
        <f t="shared" si="7"/>
        <v>0.37783375314861462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v>12</v>
      </c>
      <c r="C50" s="19">
        <v>5</v>
      </c>
      <c r="D50" s="20">
        <f t="shared" si="0"/>
        <v>0.29411764705882354</v>
      </c>
      <c r="E50" s="19"/>
      <c r="F50" s="19">
        <v>1</v>
      </c>
      <c r="G50" s="19">
        <v>0</v>
      </c>
      <c r="H50" s="20">
        <f t="shared" si="1"/>
        <v>0</v>
      </c>
      <c r="I50" s="19"/>
      <c r="J50" s="14">
        <f t="shared" si="2"/>
        <v>13</v>
      </c>
      <c r="K50" s="14">
        <f t="shared" si="2"/>
        <v>5</v>
      </c>
      <c r="L50" s="20">
        <f t="shared" si="3"/>
        <v>0.27777777777777779</v>
      </c>
      <c r="M50" s="19"/>
      <c r="N50" s="19">
        <v>0</v>
      </c>
      <c r="O50" s="19">
        <v>0</v>
      </c>
      <c r="P50" s="20" t="str">
        <f t="shared" si="4"/>
        <v>-</v>
      </c>
      <c r="Q50" s="19"/>
      <c r="R50" s="19">
        <v>26</v>
      </c>
      <c r="S50" s="19">
        <v>36</v>
      </c>
      <c r="T50" s="20">
        <f t="shared" si="5"/>
        <v>0.58064516129032262</v>
      </c>
      <c r="U50" s="19"/>
      <c r="V50" s="14">
        <f t="shared" si="6"/>
        <v>39</v>
      </c>
      <c r="W50" s="14">
        <f t="shared" si="6"/>
        <v>41</v>
      </c>
      <c r="X50" s="20">
        <f t="shared" si="7"/>
        <v>0.51249999999999996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v>12</v>
      </c>
      <c r="C51" s="19">
        <v>5</v>
      </c>
      <c r="D51" s="20">
        <f t="shared" si="0"/>
        <v>0.29411764705882354</v>
      </c>
      <c r="E51" s="19"/>
      <c r="F51" s="19">
        <v>0</v>
      </c>
      <c r="G51" s="19">
        <v>0</v>
      </c>
      <c r="H51" s="20" t="str">
        <f t="shared" si="1"/>
        <v>-</v>
      </c>
      <c r="I51" s="19"/>
      <c r="J51" s="14">
        <f t="shared" si="2"/>
        <v>12</v>
      </c>
      <c r="K51" s="14">
        <f t="shared" si="2"/>
        <v>5</v>
      </c>
      <c r="L51" s="20">
        <f t="shared" si="3"/>
        <v>0.29411764705882354</v>
      </c>
      <c r="M51" s="19"/>
      <c r="N51" s="19">
        <v>0</v>
      </c>
      <c r="O51" s="19">
        <v>0</v>
      </c>
      <c r="P51" s="20" t="str">
        <f t="shared" si="4"/>
        <v>-</v>
      </c>
      <c r="Q51" s="19"/>
      <c r="R51" s="19">
        <v>13</v>
      </c>
      <c r="S51" s="19">
        <v>14</v>
      </c>
      <c r="T51" s="20">
        <f t="shared" si="5"/>
        <v>0.51851851851851849</v>
      </c>
      <c r="U51" s="19"/>
      <c r="V51" s="14">
        <f t="shared" si="6"/>
        <v>25</v>
      </c>
      <c r="W51" s="14">
        <f t="shared" si="6"/>
        <v>19</v>
      </c>
      <c r="X51" s="20">
        <f t="shared" si="7"/>
        <v>0.43181818181818182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v>0</v>
      </c>
      <c r="C52" s="19">
        <v>0</v>
      </c>
      <c r="D52" s="20" t="str">
        <f t="shared" si="0"/>
        <v>-</v>
      </c>
      <c r="E52" s="19"/>
      <c r="F52" s="19">
        <v>0</v>
      </c>
      <c r="G52" s="19">
        <v>0</v>
      </c>
      <c r="H52" s="20" t="str">
        <f t="shared" si="1"/>
        <v>-</v>
      </c>
      <c r="I52" s="19"/>
      <c r="J52" s="14">
        <f t="shared" si="2"/>
        <v>0</v>
      </c>
      <c r="K52" s="14">
        <f t="shared" si="2"/>
        <v>0</v>
      </c>
      <c r="L52" s="20" t="str">
        <f t="shared" si="3"/>
        <v>-</v>
      </c>
      <c r="M52" s="19"/>
      <c r="N52" s="19">
        <v>0</v>
      </c>
      <c r="O52" s="19">
        <v>0</v>
      </c>
      <c r="P52" s="20" t="str">
        <f t="shared" si="4"/>
        <v>-</v>
      </c>
      <c r="Q52" s="19"/>
      <c r="R52" s="19">
        <v>0</v>
      </c>
      <c r="S52" s="19">
        <v>0</v>
      </c>
      <c r="T52" s="20" t="str">
        <f t="shared" si="5"/>
        <v>-</v>
      </c>
      <c r="U52" s="19"/>
      <c r="V52" s="14">
        <f t="shared" si="6"/>
        <v>0</v>
      </c>
      <c r="W52" s="14">
        <f t="shared" si="6"/>
        <v>0</v>
      </c>
      <c r="X52" s="20" t="str">
        <f t="shared" si="7"/>
        <v>-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v>1</v>
      </c>
      <c r="C53" s="19">
        <v>0</v>
      </c>
      <c r="D53" s="20">
        <f t="shared" si="0"/>
        <v>0</v>
      </c>
      <c r="E53" s="19"/>
      <c r="F53" s="19">
        <v>0</v>
      </c>
      <c r="G53" s="19">
        <v>0</v>
      </c>
      <c r="H53" s="20" t="str">
        <f t="shared" si="1"/>
        <v>-</v>
      </c>
      <c r="I53" s="19"/>
      <c r="J53" s="14">
        <f t="shared" si="2"/>
        <v>1</v>
      </c>
      <c r="K53" s="14">
        <f t="shared" si="2"/>
        <v>0</v>
      </c>
      <c r="L53" s="20">
        <f t="shared" si="3"/>
        <v>0</v>
      </c>
      <c r="M53" s="19"/>
      <c r="N53" s="19">
        <v>1</v>
      </c>
      <c r="O53" s="19">
        <v>1</v>
      </c>
      <c r="P53" s="20">
        <f t="shared" si="4"/>
        <v>0.5</v>
      </c>
      <c r="Q53" s="19"/>
      <c r="R53" s="19">
        <v>5</v>
      </c>
      <c r="S53" s="19">
        <v>7</v>
      </c>
      <c r="T53" s="20">
        <f t="shared" si="5"/>
        <v>0.58333333333333337</v>
      </c>
      <c r="U53" s="19"/>
      <c r="V53" s="14">
        <f t="shared" si="6"/>
        <v>7</v>
      </c>
      <c r="W53" s="14">
        <f t="shared" si="6"/>
        <v>8</v>
      </c>
      <c r="X53" s="20">
        <f t="shared" si="7"/>
        <v>0.53333333333333333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v>3</v>
      </c>
      <c r="C54" s="19">
        <v>0</v>
      </c>
      <c r="D54" s="20">
        <f t="shared" si="0"/>
        <v>0</v>
      </c>
      <c r="E54" s="19"/>
      <c r="F54" s="19">
        <v>0</v>
      </c>
      <c r="G54" s="19">
        <v>0</v>
      </c>
      <c r="H54" s="20" t="str">
        <f t="shared" si="1"/>
        <v>-</v>
      </c>
      <c r="I54" s="19"/>
      <c r="J54" s="14">
        <f t="shared" si="2"/>
        <v>3</v>
      </c>
      <c r="K54" s="14">
        <f t="shared" si="2"/>
        <v>0</v>
      </c>
      <c r="L54" s="20">
        <f t="shared" si="3"/>
        <v>0</v>
      </c>
      <c r="M54" s="19"/>
      <c r="N54" s="19">
        <v>4</v>
      </c>
      <c r="O54" s="19">
        <v>7</v>
      </c>
      <c r="P54" s="20">
        <f t="shared" si="4"/>
        <v>0.63636363636363635</v>
      </c>
      <c r="Q54" s="19"/>
      <c r="R54" s="19">
        <v>8</v>
      </c>
      <c r="S54" s="19">
        <v>3</v>
      </c>
      <c r="T54" s="20">
        <f t="shared" si="5"/>
        <v>0.27272727272727271</v>
      </c>
      <c r="U54" s="19"/>
      <c r="V54" s="14">
        <f t="shared" si="6"/>
        <v>15</v>
      </c>
      <c r="W54" s="14">
        <f t="shared" si="6"/>
        <v>10</v>
      </c>
      <c r="X54" s="20">
        <f t="shared" si="7"/>
        <v>0.4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v>1</v>
      </c>
      <c r="C55" s="19">
        <v>0</v>
      </c>
      <c r="D55" s="20">
        <f t="shared" si="0"/>
        <v>0</v>
      </c>
      <c r="E55" s="19"/>
      <c r="F55" s="19">
        <v>12</v>
      </c>
      <c r="G55" s="19">
        <v>3</v>
      </c>
      <c r="H55" s="20">
        <f t="shared" si="1"/>
        <v>0.2</v>
      </c>
      <c r="I55" s="19"/>
      <c r="J55" s="14">
        <f t="shared" si="2"/>
        <v>13</v>
      </c>
      <c r="K55" s="14">
        <f t="shared" si="2"/>
        <v>3</v>
      </c>
      <c r="L55" s="20">
        <f t="shared" si="3"/>
        <v>0.1875</v>
      </c>
      <c r="M55" s="19"/>
      <c r="N55" s="19">
        <v>0</v>
      </c>
      <c r="O55" s="19">
        <v>0</v>
      </c>
      <c r="P55" s="20" t="str">
        <f t="shared" si="4"/>
        <v>-</v>
      </c>
      <c r="Q55" s="19"/>
      <c r="R55" s="19">
        <v>11</v>
      </c>
      <c r="S55" s="19">
        <v>18</v>
      </c>
      <c r="T55" s="20">
        <f t="shared" si="5"/>
        <v>0.62068965517241381</v>
      </c>
      <c r="U55" s="19"/>
      <c r="V55" s="14">
        <f t="shared" si="6"/>
        <v>24</v>
      </c>
      <c r="W55" s="14">
        <f t="shared" si="6"/>
        <v>21</v>
      </c>
      <c r="X55" s="20">
        <f t="shared" si="7"/>
        <v>0.46666666666666667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v>109</v>
      </c>
      <c r="C56" s="19">
        <v>11</v>
      </c>
      <c r="D56" s="20">
        <f t="shared" si="0"/>
        <v>9.166666666666666E-2</v>
      </c>
      <c r="E56" s="24"/>
      <c r="F56" s="19">
        <v>0</v>
      </c>
      <c r="G56" s="19">
        <v>0</v>
      </c>
      <c r="H56" s="20" t="str">
        <f t="shared" si="1"/>
        <v>-</v>
      </c>
      <c r="I56" s="24"/>
      <c r="J56" s="14">
        <f t="shared" si="2"/>
        <v>109</v>
      </c>
      <c r="K56" s="14">
        <f t="shared" si="2"/>
        <v>11</v>
      </c>
      <c r="L56" s="20">
        <f t="shared" si="3"/>
        <v>9.166666666666666E-2</v>
      </c>
      <c r="M56" s="24"/>
      <c r="N56" s="19">
        <v>3</v>
      </c>
      <c r="O56" s="19">
        <v>9</v>
      </c>
      <c r="P56" s="20">
        <f t="shared" si="4"/>
        <v>0.75</v>
      </c>
      <c r="Q56" s="24"/>
      <c r="R56" s="19">
        <v>25</v>
      </c>
      <c r="S56" s="19">
        <v>31</v>
      </c>
      <c r="T56" s="20">
        <f t="shared" si="5"/>
        <v>0.5535714285714286</v>
      </c>
      <c r="U56" s="24"/>
      <c r="V56" s="14">
        <f t="shared" si="6"/>
        <v>137</v>
      </c>
      <c r="W56" s="14">
        <f t="shared" si="6"/>
        <v>51</v>
      </c>
      <c r="X56" s="20">
        <f t="shared" si="7"/>
        <v>0.27127659574468083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8" t="s">
        <v>59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33" x14ac:dyDescent="0.35">
      <c r="A59" s="27" t="s">
        <v>69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33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33" x14ac:dyDescent="0.35">
      <c r="A61" s="28" t="s">
        <v>60</v>
      </c>
    </row>
    <row r="62" spans="1:33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7" spans="1:24" x14ac:dyDescent="0.35">
      <c r="A67" s="48" t="s">
        <v>64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35">
      <c r="A68" s="30"/>
      <c r="X68" s="6"/>
    </row>
    <row r="69" spans="1:24" x14ac:dyDescent="0.35">
      <c r="A69" s="5" t="s">
        <v>65</v>
      </c>
      <c r="X69" s="37" t="s">
        <v>66</v>
      </c>
    </row>
    <row r="70" spans="1:24" x14ac:dyDescent="0.35">
      <c r="A70" s="30" t="s">
        <v>67</v>
      </c>
      <c r="X70" s="31" t="s">
        <v>68</v>
      </c>
    </row>
  </sheetData>
  <mergeCells count="11">
    <mergeCell ref="A58:X58"/>
    <mergeCell ref="A60:X60"/>
    <mergeCell ref="A62:X62"/>
    <mergeCell ref="A67:X67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000-000000000000}"/>
    <hyperlink ref="A70" r:id="rId2" xr:uid="{00000000-0004-0000-0000-000001000000}"/>
    <hyperlink ref="X69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70"/>
  <sheetViews>
    <sheetView topLeftCell="I7" workbookViewId="0">
      <selection activeCell="A62" sqref="A62:X62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7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>B9+B49</f>
        <v>953</v>
      </c>
      <c r="C8" s="14">
        <f>C9+C49</f>
        <v>153</v>
      </c>
      <c r="D8" s="15">
        <f>IF(B8+C8=0,"-",(C8/(B8+C8)))</f>
        <v>0.13833634719710669</v>
      </c>
      <c r="E8" s="14"/>
      <c r="F8" s="14">
        <f>F9+F49</f>
        <v>1387</v>
      </c>
      <c r="G8" s="14">
        <f>G9+G49</f>
        <v>121</v>
      </c>
      <c r="H8" s="15">
        <f>IF(F8+G8=0,"-",(G8/(F8+G8)))</f>
        <v>8.0238726790450923E-2</v>
      </c>
      <c r="I8" s="14"/>
      <c r="J8" s="14">
        <f>J9+J49</f>
        <v>2340</v>
      </c>
      <c r="K8" s="14">
        <f>K9+K49</f>
        <v>274</v>
      </c>
      <c r="L8" s="15">
        <f>IF(J8+K8=0,"-",(K8/(J8+K8)))</f>
        <v>0.10482019892884469</v>
      </c>
      <c r="M8" s="14"/>
      <c r="N8" s="14">
        <f>N9+N49</f>
        <v>45</v>
      </c>
      <c r="O8" s="14">
        <f>O9+O49</f>
        <v>79</v>
      </c>
      <c r="P8" s="15">
        <f>IF(N8+O8=0,"-",(O8/(N8+O8)))</f>
        <v>0.63709677419354838</v>
      </c>
      <c r="Q8" s="14"/>
      <c r="R8" s="14">
        <f>R9+R49</f>
        <v>476</v>
      </c>
      <c r="S8" s="14">
        <f>S9+S49</f>
        <v>553</v>
      </c>
      <c r="T8" s="15">
        <f>IF(R8+S8=0,"-",(S8/(R8+S8)))</f>
        <v>0.5374149659863946</v>
      </c>
      <c r="U8" s="14"/>
      <c r="V8" s="14">
        <f>V9+V49</f>
        <v>2861</v>
      </c>
      <c r="W8" s="14">
        <f>W9+W49</f>
        <v>906</v>
      </c>
      <c r="X8" s="15">
        <f>IF(V8+W8=0,"-",(W8/(V8+W8)))</f>
        <v>0.24050968940801698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>SUM(B10:B48)</f>
        <v>579</v>
      </c>
      <c r="C9" s="14">
        <f>SUM(C10:C48)</f>
        <v>87</v>
      </c>
      <c r="D9" s="15">
        <f>IF(B9+C9=0,"-",(C9/(B9+C9)))</f>
        <v>0.13063063063063063</v>
      </c>
      <c r="E9" s="14"/>
      <c r="F9" s="14">
        <f>SUM(F10:F48)</f>
        <v>1338</v>
      </c>
      <c r="G9" s="14">
        <f>SUM(G10:G48)</f>
        <v>115</v>
      </c>
      <c r="H9" s="15">
        <f>IF(F9+G9=0,"-",(G9/(F9+G9)))</f>
        <v>7.9146593255333797E-2</v>
      </c>
      <c r="I9" s="14"/>
      <c r="J9" s="14">
        <f>SUM(J10:J48)</f>
        <v>1917</v>
      </c>
      <c r="K9" s="14">
        <f>SUM(K10:K48)</f>
        <v>202</v>
      </c>
      <c r="L9" s="15">
        <f>IF(J9+K9=0,"-",(K9/(J9+K9)))</f>
        <v>9.5327984898537041E-2</v>
      </c>
      <c r="M9" s="14"/>
      <c r="N9" s="14">
        <f>SUM(N10:N48)</f>
        <v>36</v>
      </c>
      <c r="O9" s="14">
        <f>SUM(O10:O48)</f>
        <v>55</v>
      </c>
      <c r="P9" s="15">
        <f>IF(N9+O9=0,"-",(O9/(N9+O9)))</f>
        <v>0.60439560439560436</v>
      </c>
      <c r="Q9" s="14"/>
      <c r="R9" s="14">
        <f>SUM(R10:R48)</f>
        <v>329</v>
      </c>
      <c r="S9" s="14">
        <f>SUM(S10:S48)</f>
        <v>398</v>
      </c>
      <c r="T9" s="15">
        <f>IF(R9+S9=0,"-",(S9/(R9+S9)))</f>
        <v>0.54745529573590102</v>
      </c>
      <c r="U9" s="14"/>
      <c r="V9" s="14">
        <f>SUM(V10:V48)</f>
        <v>2282</v>
      </c>
      <c r="W9" s="14">
        <f>SUM(W10:W48)</f>
        <v>655</v>
      </c>
      <c r="X9" s="15">
        <f>IF(V9+W9=0,"-",(W9/(V9+W9)))</f>
        <v>0.22301668369084099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v>23</v>
      </c>
      <c r="C10" s="19">
        <v>2</v>
      </c>
      <c r="D10" s="20">
        <f>IF(B10+C10=0,"-",(C10/(B10+C10)))</f>
        <v>0.08</v>
      </c>
      <c r="E10" s="19"/>
      <c r="F10" s="19">
        <v>26</v>
      </c>
      <c r="G10" s="19">
        <v>4</v>
      </c>
      <c r="H10" s="20">
        <f>IF(F10+G10=0,"-",(G10/(F10+G10)))</f>
        <v>0.13333333333333333</v>
      </c>
      <c r="I10" s="19"/>
      <c r="J10" s="14">
        <f>B10+F10</f>
        <v>49</v>
      </c>
      <c r="K10" s="14">
        <f>C10+G10</f>
        <v>6</v>
      </c>
      <c r="L10" s="20">
        <f>IF(J10+K10=0,"-",(K10/(J10+K10)))</f>
        <v>0.10909090909090909</v>
      </c>
      <c r="M10" s="19"/>
      <c r="N10" s="19">
        <v>2</v>
      </c>
      <c r="O10" s="19">
        <v>0</v>
      </c>
      <c r="P10" s="20">
        <f>IF(N10+O10=0,"-",(O10/(N10+O10)))</f>
        <v>0</v>
      </c>
      <c r="Q10" s="19"/>
      <c r="R10" s="19">
        <v>11</v>
      </c>
      <c r="S10" s="19">
        <v>13</v>
      </c>
      <c r="T10" s="20">
        <f>IF(R10+S10=0,"-",(S10/(R10+S10)))</f>
        <v>0.54166666666666663</v>
      </c>
      <c r="U10" s="19"/>
      <c r="V10" s="14">
        <f>J10+N10+R10</f>
        <v>62</v>
      </c>
      <c r="W10" s="14">
        <f>K10+O10+S10</f>
        <v>19</v>
      </c>
      <c r="X10" s="20">
        <f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v>23</v>
      </c>
      <c r="C11" s="19">
        <v>2</v>
      </c>
      <c r="D11" s="20">
        <f t="shared" ref="D11:D56" si="0">IF(B11+C11=0,"-",(C11/(B11+C11)))</f>
        <v>0.08</v>
      </c>
      <c r="E11" s="19"/>
      <c r="F11" s="19">
        <v>29</v>
      </c>
      <c r="G11" s="19">
        <v>4</v>
      </c>
      <c r="H11" s="20">
        <f t="shared" ref="H11:H56" si="1">IF(F11+G11=0,"-",(G11/(F11+G11)))</f>
        <v>0.12121212121212122</v>
      </c>
      <c r="I11" s="19"/>
      <c r="J11" s="14">
        <f t="shared" ref="J11:J56" si="2">B11+F11</f>
        <v>52</v>
      </c>
      <c r="K11" s="14">
        <f t="shared" ref="K11:K56" si="3">C11+G11</f>
        <v>6</v>
      </c>
      <c r="L11" s="20">
        <f t="shared" ref="L11:L56" si="4">IF(J11+K11=0,"-",(K11/(J11+K11)))</f>
        <v>0.10344827586206896</v>
      </c>
      <c r="M11" s="19"/>
      <c r="N11" s="19">
        <v>0</v>
      </c>
      <c r="O11" s="19">
        <v>0</v>
      </c>
      <c r="P11" s="20" t="str">
        <f t="shared" ref="P11:P56" si="5">IF(N11+O11=0,"-",(O11/(N11+O11)))</f>
        <v>-</v>
      </c>
      <c r="Q11" s="19"/>
      <c r="R11" s="19">
        <v>7</v>
      </c>
      <c r="S11" s="19">
        <v>19</v>
      </c>
      <c r="T11" s="20">
        <f t="shared" ref="T11:T56" si="6">IF(R11+S11=0,"-",(S11/(R11+S11)))</f>
        <v>0.73076923076923073</v>
      </c>
      <c r="U11" s="19"/>
      <c r="V11" s="14">
        <f t="shared" ref="V11:V56" si="7">J11+N11+R11</f>
        <v>59</v>
      </c>
      <c r="W11" s="14">
        <f t="shared" ref="W11:W56" si="8">K11+O11+S11</f>
        <v>25</v>
      </c>
      <c r="X11" s="20">
        <f t="shared" ref="X11:X56" si="9">IF(V11+W11=0,"-",(W11/(V11+W11)))</f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v>18</v>
      </c>
      <c r="C12" s="19">
        <v>3</v>
      </c>
      <c r="D12" s="20">
        <f t="shared" si="0"/>
        <v>0.14285714285714285</v>
      </c>
      <c r="E12" s="19"/>
      <c r="F12" s="19">
        <v>20</v>
      </c>
      <c r="G12" s="19">
        <v>0</v>
      </c>
      <c r="H12" s="20">
        <f t="shared" si="1"/>
        <v>0</v>
      </c>
      <c r="I12" s="19"/>
      <c r="J12" s="14">
        <f t="shared" si="2"/>
        <v>38</v>
      </c>
      <c r="K12" s="14">
        <f t="shared" si="3"/>
        <v>3</v>
      </c>
      <c r="L12" s="20">
        <f t="shared" si="4"/>
        <v>7.3170731707317069E-2</v>
      </c>
      <c r="M12" s="19"/>
      <c r="N12" s="19">
        <v>2</v>
      </c>
      <c r="O12" s="19">
        <v>7</v>
      </c>
      <c r="P12" s="20">
        <f t="shared" si="5"/>
        <v>0.77777777777777779</v>
      </c>
      <c r="Q12" s="19"/>
      <c r="R12" s="19">
        <v>19</v>
      </c>
      <c r="S12" s="19">
        <v>23</v>
      </c>
      <c r="T12" s="20">
        <f t="shared" si="6"/>
        <v>0.54761904761904767</v>
      </c>
      <c r="U12" s="19"/>
      <c r="V12" s="14">
        <f t="shared" si="7"/>
        <v>59</v>
      </c>
      <c r="W12" s="14">
        <f t="shared" si="8"/>
        <v>33</v>
      </c>
      <c r="X12" s="20">
        <f t="shared" si="9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v>10</v>
      </c>
      <c r="C13" s="19">
        <v>1</v>
      </c>
      <c r="D13" s="20">
        <f t="shared" si="0"/>
        <v>9.0909090909090912E-2</v>
      </c>
      <c r="E13" s="19"/>
      <c r="F13" s="19">
        <v>18</v>
      </c>
      <c r="G13" s="19">
        <v>2</v>
      </c>
      <c r="H13" s="20">
        <f t="shared" si="1"/>
        <v>0.1</v>
      </c>
      <c r="I13" s="19"/>
      <c r="J13" s="14">
        <f t="shared" si="2"/>
        <v>28</v>
      </c>
      <c r="K13" s="14">
        <f t="shared" si="3"/>
        <v>3</v>
      </c>
      <c r="L13" s="20">
        <f t="shared" si="4"/>
        <v>9.6774193548387094E-2</v>
      </c>
      <c r="M13" s="19"/>
      <c r="N13" s="19">
        <v>0</v>
      </c>
      <c r="O13" s="19">
        <v>0</v>
      </c>
      <c r="P13" s="20" t="str">
        <f t="shared" si="5"/>
        <v>-</v>
      </c>
      <c r="Q13" s="19"/>
      <c r="R13" s="19">
        <v>4</v>
      </c>
      <c r="S13" s="19">
        <v>9</v>
      </c>
      <c r="T13" s="20">
        <f t="shared" si="6"/>
        <v>0.69230769230769229</v>
      </c>
      <c r="U13" s="19"/>
      <c r="V13" s="14">
        <f t="shared" si="7"/>
        <v>32</v>
      </c>
      <c r="W13" s="14">
        <f t="shared" si="8"/>
        <v>12</v>
      </c>
      <c r="X13" s="20">
        <f t="shared" si="9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v>7</v>
      </c>
      <c r="C14" s="19">
        <v>0</v>
      </c>
      <c r="D14" s="20">
        <f t="shared" si="0"/>
        <v>0</v>
      </c>
      <c r="E14" s="19"/>
      <c r="F14" s="19">
        <v>27</v>
      </c>
      <c r="G14" s="19">
        <v>3</v>
      </c>
      <c r="H14" s="20">
        <f t="shared" si="1"/>
        <v>0.1</v>
      </c>
      <c r="I14" s="19"/>
      <c r="J14" s="14">
        <f t="shared" si="2"/>
        <v>34</v>
      </c>
      <c r="K14" s="14">
        <f t="shared" si="3"/>
        <v>3</v>
      </c>
      <c r="L14" s="20">
        <f t="shared" si="4"/>
        <v>8.1081081081081086E-2</v>
      </c>
      <c r="M14" s="19"/>
      <c r="N14" s="19">
        <v>5</v>
      </c>
      <c r="O14" s="19">
        <v>4</v>
      </c>
      <c r="P14" s="20">
        <f t="shared" si="5"/>
        <v>0.44444444444444442</v>
      </c>
      <c r="Q14" s="19"/>
      <c r="R14" s="19">
        <v>12</v>
      </c>
      <c r="S14" s="19">
        <v>12</v>
      </c>
      <c r="T14" s="20">
        <f t="shared" si="6"/>
        <v>0.5</v>
      </c>
      <c r="U14" s="19"/>
      <c r="V14" s="14">
        <f t="shared" si="7"/>
        <v>51</v>
      </c>
      <c r="W14" s="14">
        <f t="shared" si="8"/>
        <v>19</v>
      </c>
      <c r="X14" s="20">
        <f t="shared" si="9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v>18</v>
      </c>
      <c r="C15" s="19">
        <v>1</v>
      </c>
      <c r="D15" s="20">
        <f t="shared" si="0"/>
        <v>5.2631578947368418E-2</v>
      </c>
      <c r="E15" s="19"/>
      <c r="F15" s="19">
        <v>19</v>
      </c>
      <c r="G15" s="19">
        <v>2</v>
      </c>
      <c r="H15" s="20">
        <f t="shared" si="1"/>
        <v>9.5238095238095233E-2</v>
      </c>
      <c r="I15" s="19"/>
      <c r="J15" s="14">
        <f t="shared" si="2"/>
        <v>37</v>
      </c>
      <c r="K15" s="14">
        <f t="shared" si="3"/>
        <v>3</v>
      </c>
      <c r="L15" s="20">
        <f t="shared" si="4"/>
        <v>7.4999999999999997E-2</v>
      </c>
      <c r="M15" s="19"/>
      <c r="N15" s="19">
        <v>0</v>
      </c>
      <c r="O15" s="19">
        <v>0</v>
      </c>
      <c r="P15" s="20" t="str">
        <f t="shared" si="5"/>
        <v>-</v>
      </c>
      <c r="Q15" s="19"/>
      <c r="R15" s="19">
        <v>19</v>
      </c>
      <c r="S15" s="19">
        <v>19</v>
      </c>
      <c r="T15" s="20">
        <f t="shared" si="6"/>
        <v>0.5</v>
      </c>
      <c r="U15" s="19"/>
      <c r="V15" s="14">
        <f t="shared" si="7"/>
        <v>56</v>
      </c>
      <c r="W15" s="14">
        <f t="shared" si="8"/>
        <v>22</v>
      </c>
      <c r="X15" s="20">
        <f t="shared" si="9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v>21</v>
      </c>
      <c r="C16" s="19">
        <v>1</v>
      </c>
      <c r="D16" s="20">
        <f t="shared" si="0"/>
        <v>4.5454545454545456E-2</v>
      </c>
      <c r="E16" s="19"/>
      <c r="F16" s="19">
        <v>10</v>
      </c>
      <c r="G16" s="19">
        <v>1</v>
      </c>
      <c r="H16" s="20">
        <f t="shared" si="1"/>
        <v>9.0909090909090912E-2</v>
      </c>
      <c r="I16" s="19"/>
      <c r="J16" s="14">
        <f t="shared" si="2"/>
        <v>31</v>
      </c>
      <c r="K16" s="14">
        <f t="shared" si="3"/>
        <v>2</v>
      </c>
      <c r="L16" s="20">
        <f t="shared" si="4"/>
        <v>6.0606060606060608E-2</v>
      </c>
      <c r="M16" s="19"/>
      <c r="N16" s="19">
        <v>0</v>
      </c>
      <c r="O16" s="19">
        <v>1</v>
      </c>
      <c r="P16" s="20">
        <f t="shared" si="5"/>
        <v>1</v>
      </c>
      <c r="Q16" s="19"/>
      <c r="R16" s="19">
        <v>8</v>
      </c>
      <c r="S16" s="19">
        <v>5</v>
      </c>
      <c r="T16" s="20">
        <f t="shared" si="6"/>
        <v>0.38461538461538464</v>
      </c>
      <c r="U16" s="19"/>
      <c r="V16" s="14">
        <f t="shared" si="7"/>
        <v>39</v>
      </c>
      <c r="W16" s="14">
        <f t="shared" si="8"/>
        <v>8</v>
      </c>
      <c r="X16" s="20">
        <f t="shared" si="9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v>3</v>
      </c>
      <c r="C17" s="19">
        <v>2</v>
      </c>
      <c r="D17" s="20">
        <f t="shared" si="0"/>
        <v>0.4</v>
      </c>
      <c r="E17" s="19"/>
      <c r="F17" s="19">
        <v>23</v>
      </c>
      <c r="G17" s="19">
        <v>0</v>
      </c>
      <c r="H17" s="20">
        <f t="shared" si="1"/>
        <v>0</v>
      </c>
      <c r="I17" s="19"/>
      <c r="J17" s="14">
        <f t="shared" si="2"/>
        <v>26</v>
      </c>
      <c r="K17" s="14">
        <f t="shared" si="3"/>
        <v>2</v>
      </c>
      <c r="L17" s="20">
        <f t="shared" si="4"/>
        <v>7.1428571428571425E-2</v>
      </c>
      <c r="M17" s="19"/>
      <c r="N17" s="19">
        <v>2</v>
      </c>
      <c r="O17" s="19">
        <v>1</v>
      </c>
      <c r="P17" s="20">
        <f t="shared" si="5"/>
        <v>0.33333333333333331</v>
      </c>
      <c r="Q17" s="19"/>
      <c r="R17" s="19">
        <v>3</v>
      </c>
      <c r="S17" s="19">
        <v>4</v>
      </c>
      <c r="T17" s="20">
        <f t="shared" si="6"/>
        <v>0.5714285714285714</v>
      </c>
      <c r="U17" s="19"/>
      <c r="V17" s="14">
        <f t="shared" si="7"/>
        <v>31</v>
      </c>
      <c r="W17" s="14">
        <f t="shared" si="8"/>
        <v>7</v>
      </c>
      <c r="X17" s="20">
        <f t="shared" si="9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v>1</v>
      </c>
      <c r="C18" s="19">
        <v>0</v>
      </c>
      <c r="D18" s="20">
        <f t="shared" si="0"/>
        <v>0</v>
      </c>
      <c r="E18" s="19"/>
      <c r="F18" s="19">
        <v>31</v>
      </c>
      <c r="G18" s="19">
        <v>3</v>
      </c>
      <c r="H18" s="20">
        <f t="shared" si="1"/>
        <v>8.8235294117647065E-2</v>
      </c>
      <c r="I18" s="19"/>
      <c r="J18" s="14">
        <f t="shared" si="2"/>
        <v>32</v>
      </c>
      <c r="K18" s="14">
        <f t="shared" si="3"/>
        <v>3</v>
      </c>
      <c r="L18" s="20">
        <f t="shared" si="4"/>
        <v>8.5714285714285715E-2</v>
      </c>
      <c r="M18" s="19"/>
      <c r="N18" s="19">
        <v>0</v>
      </c>
      <c r="O18" s="19">
        <v>0</v>
      </c>
      <c r="P18" s="20" t="str">
        <f t="shared" si="5"/>
        <v>-</v>
      </c>
      <c r="Q18" s="19"/>
      <c r="R18" s="19">
        <v>0</v>
      </c>
      <c r="S18" s="19">
        <v>1</v>
      </c>
      <c r="T18" s="20">
        <f t="shared" si="6"/>
        <v>1</v>
      </c>
      <c r="U18" s="19"/>
      <c r="V18" s="14">
        <f t="shared" si="7"/>
        <v>32</v>
      </c>
      <c r="W18" s="14">
        <f t="shared" si="8"/>
        <v>4</v>
      </c>
      <c r="X18" s="20">
        <f t="shared" si="9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v>3</v>
      </c>
      <c r="C19" s="19">
        <v>0</v>
      </c>
      <c r="D19" s="20">
        <f t="shared" si="0"/>
        <v>0</v>
      </c>
      <c r="E19" s="19"/>
      <c r="F19" s="19">
        <v>26</v>
      </c>
      <c r="G19" s="19">
        <v>2</v>
      </c>
      <c r="H19" s="20">
        <f t="shared" si="1"/>
        <v>7.1428571428571425E-2</v>
      </c>
      <c r="I19" s="19"/>
      <c r="J19" s="14">
        <f t="shared" si="2"/>
        <v>29</v>
      </c>
      <c r="K19" s="14">
        <f t="shared" si="3"/>
        <v>2</v>
      </c>
      <c r="L19" s="20">
        <f t="shared" si="4"/>
        <v>6.4516129032258063E-2</v>
      </c>
      <c r="M19" s="19"/>
      <c r="N19" s="19">
        <v>0</v>
      </c>
      <c r="O19" s="19">
        <v>4</v>
      </c>
      <c r="P19" s="20">
        <f t="shared" si="5"/>
        <v>1</v>
      </c>
      <c r="Q19" s="19"/>
      <c r="R19" s="19">
        <v>4</v>
      </c>
      <c r="S19" s="19">
        <v>10</v>
      </c>
      <c r="T19" s="20">
        <f t="shared" si="6"/>
        <v>0.7142857142857143</v>
      </c>
      <c r="U19" s="19"/>
      <c r="V19" s="14">
        <f t="shared" si="7"/>
        <v>33</v>
      </c>
      <c r="W19" s="14">
        <f t="shared" si="8"/>
        <v>16</v>
      </c>
      <c r="X19" s="20">
        <f t="shared" si="9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v>27</v>
      </c>
      <c r="C20" s="19">
        <v>8</v>
      </c>
      <c r="D20" s="20">
        <f t="shared" si="0"/>
        <v>0.22857142857142856</v>
      </c>
      <c r="E20" s="19"/>
      <c r="F20" s="19">
        <v>97</v>
      </c>
      <c r="G20" s="19">
        <v>11</v>
      </c>
      <c r="H20" s="20">
        <f t="shared" si="1"/>
        <v>0.10185185185185185</v>
      </c>
      <c r="I20" s="19"/>
      <c r="J20" s="14">
        <f t="shared" si="2"/>
        <v>124</v>
      </c>
      <c r="K20" s="14">
        <f t="shared" si="3"/>
        <v>19</v>
      </c>
      <c r="L20" s="20">
        <f t="shared" si="4"/>
        <v>0.13286713286713286</v>
      </c>
      <c r="M20" s="19"/>
      <c r="N20" s="19">
        <v>1</v>
      </c>
      <c r="O20" s="19">
        <v>1</v>
      </c>
      <c r="P20" s="20">
        <f t="shared" si="5"/>
        <v>0.5</v>
      </c>
      <c r="Q20" s="19"/>
      <c r="R20" s="19">
        <v>19</v>
      </c>
      <c r="S20" s="19">
        <v>7</v>
      </c>
      <c r="T20" s="20">
        <f t="shared" si="6"/>
        <v>0.26923076923076922</v>
      </c>
      <c r="U20" s="19"/>
      <c r="V20" s="14">
        <f t="shared" si="7"/>
        <v>144</v>
      </c>
      <c r="W20" s="14">
        <f t="shared" si="8"/>
        <v>27</v>
      </c>
      <c r="X20" s="20">
        <f t="shared" si="9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v>20</v>
      </c>
      <c r="C21" s="19">
        <v>1</v>
      </c>
      <c r="D21" s="20">
        <f t="shared" si="0"/>
        <v>4.7619047619047616E-2</v>
      </c>
      <c r="E21" s="19"/>
      <c r="F21" s="19">
        <v>72</v>
      </c>
      <c r="G21" s="19">
        <v>6</v>
      </c>
      <c r="H21" s="20">
        <f t="shared" si="1"/>
        <v>7.6923076923076927E-2</v>
      </c>
      <c r="I21" s="19"/>
      <c r="J21" s="14">
        <f t="shared" si="2"/>
        <v>92</v>
      </c>
      <c r="K21" s="14">
        <f t="shared" si="3"/>
        <v>7</v>
      </c>
      <c r="L21" s="20">
        <f t="shared" si="4"/>
        <v>7.0707070707070704E-2</v>
      </c>
      <c r="M21" s="19"/>
      <c r="N21" s="19">
        <v>4</v>
      </c>
      <c r="O21" s="19">
        <v>0</v>
      </c>
      <c r="P21" s="20">
        <f t="shared" si="5"/>
        <v>0</v>
      </c>
      <c r="Q21" s="19"/>
      <c r="R21" s="19">
        <v>10</v>
      </c>
      <c r="S21" s="19">
        <v>15</v>
      </c>
      <c r="T21" s="20">
        <f t="shared" si="6"/>
        <v>0.6</v>
      </c>
      <c r="U21" s="19"/>
      <c r="V21" s="14">
        <f t="shared" si="7"/>
        <v>106</v>
      </c>
      <c r="W21" s="14">
        <f t="shared" si="8"/>
        <v>22</v>
      </c>
      <c r="X21" s="20">
        <f t="shared" si="9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v>15</v>
      </c>
      <c r="C22" s="19">
        <v>7</v>
      </c>
      <c r="D22" s="20">
        <f t="shared" si="0"/>
        <v>0.31818181818181818</v>
      </c>
      <c r="E22" s="19"/>
      <c r="F22" s="19">
        <v>25</v>
      </c>
      <c r="G22" s="19">
        <v>2</v>
      </c>
      <c r="H22" s="20">
        <f t="shared" si="1"/>
        <v>7.407407407407407E-2</v>
      </c>
      <c r="I22" s="19"/>
      <c r="J22" s="14">
        <f t="shared" si="2"/>
        <v>40</v>
      </c>
      <c r="K22" s="14">
        <f t="shared" si="3"/>
        <v>9</v>
      </c>
      <c r="L22" s="20">
        <f t="shared" si="4"/>
        <v>0.18367346938775511</v>
      </c>
      <c r="M22" s="19"/>
      <c r="N22" s="19">
        <v>0</v>
      </c>
      <c r="O22" s="19">
        <v>0</v>
      </c>
      <c r="P22" s="20" t="str">
        <f t="shared" si="5"/>
        <v>-</v>
      </c>
      <c r="Q22" s="19"/>
      <c r="R22" s="19">
        <v>10</v>
      </c>
      <c r="S22" s="19">
        <v>8</v>
      </c>
      <c r="T22" s="20">
        <f t="shared" si="6"/>
        <v>0.44444444444444442</v>
      </c>
      <c r="U22" s="19"/>
      <c r="V22" s="14">
        <f t="shared" si="7"/>
        <v>50</v>
      </c>
      <c r="W22" s="14">
        <f t="shared" si="8"/>
        <v>17</v>
      </c>
      <c r="X22" s="20">
        <f t="shared" si="9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v>6</v>
      </c>
      <c r="C23" s="19">
        <v>2</v>
      </c>
      <c r="D23" s="20">
        <f t="shared" si="0"/>
        <v>0.25</v>
      </c>
      <c r="E23" s="19"/>
      <c r="F23" s="19">
        <v>21</v>
      </c>
      <c r="G23" s="19">
        <v>1</v>
      </c>
      <c r="H23" s="20">
        <f t="shared" si="1"/>
        <v>4.5454545454545456E-2</v>
      </c>
      <c r="I23" s="19"/>
      <c r="J23" s="14">
        <f t="shared" si="2"/>
        <v>27</v>
      </c>
      <c r="K23" s="14">
        <f t="shared" si="3"/>
        <v>3</v>
      </c>
      <c r="L23" s="20">
        <f t="shared" si="4"/>
        <v>0.1</v>
      </c>
      <c r="M23" s="19"/>
      <c r="N23" s="19">
        <v>3</v>
      </c>
      <c r="O23" s="19">
        <v>1</v>
      </c>
      <c r="P23" s="20">
        <f t="shared" si="5"/>
        <v>0.25</v>
      </c>
      <c r="Q23" s="19"/>
      <c r="R23" s="19">
        <v>4</v>
      </c>
      <c r="S23" s="19">
        <v>19</v>
      </c>
      <c r="T23" s="20">
        <f t="shared" si="6"/>
        <v>0.82608695652173914</v>
      </c>
      <c r="U23" s="19"/>
      <c r="V23" s="14">
        <f t="shared" si="7"/>
        <v>34</v>
      </c>
      <c r="W23" s="14">
        <f t="shared" si="8"/>
        <v>23</v>
      </c>
      <c r="X23" s="20">
        <f t="shared" si="9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v>22</v>
      </c>
      <c r="C24" s="19">
        <v>0</v>
      </c>
      <c r="D24" s="20">
        <f t="shared" si="0"/>
        <v>0</v>
      </c>
      <c r="E24" s="19"/>
      <c r="F24" s="19">
        <v>88</v>
      </c>
      <c r="G24" s="19">
        <v>0</v>
      </c>
      <c r="H24" s="20">
        <f t="shared" si="1"/>
        <v>0</v>
      </c>
      <c r="I24" s="19"/>
      <c r="J24" s="14">
        <f t="shared" si="2"/>
        <v>110</v>
      </c>
      <c r="K24" s="14">
        <f t="shared" si="3"/>
        <v>0</v>
      </c>
      <c r="L24" s="20">
        <f t="shared" si="4"/>
        <v>0</v>
      </c>
      <c r="M24" s="19"/>
      <c r="N24" s="19">
        <v>1</v>
      </c>
      <c r="O24" s="19">
        <v>2</v>
      </c>
      <c r="P24" s="20">
        <f t="shared" si="5"/>
        <v>0.66666666666666663</v>
      </c>
      <c r="Q24" s="19"/>
      <c r="R24" s="19">
        <v>22</v>
      </c>
      <c r="S24" s="19">
        <v>39</v>
      </c>
      <c r="T24" s="20">
        <f t="shared" si="6"/>
        <v>0.63934426229508201</v>
      </c>
      <c r="U24" s="19"/>
      <c r="V24" s="14">
        <f t="shared" si="7"/>
        <v>133</v>
      </c>
      <c r="W24" s="14">
        <f t="shared" si="8"/>
        <v>41</v>
      </c>
      <c r="X24" s="20">
        <f t="shared" si="9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v>16</v>
      </c>
      <c r="C25" s="19">
        <v>19</v>
      </c>
      <c r="D25" s="20">
        <f t="shared" si="0"/>
        <v>0.54285714285714282</v>
      </c>
      <c r="E25" s="19"/>
      <c r="F25" s="19">
        <v>32</v>
      </c>
      <c r="G25" s="19">
        <v>6</v>
      </c>
      <c r="H25" s="20">
        <f t="shared" si="1"/>
        <v>0.15789473684210525</v>
      </c>
      <c r="I25" s="19"/>
      <c r="J25" s="14">
        <f t="shared" si="2"/>
        <v>48</v>
      </c>
      <c r="K25" s="14">
        <f t="shared" si="3"/>
        <v>25</v>
      </c>
      <c r="L25" s="20">
        <f t="shared" si="4"/>
        <v>0.34246575342465752</v>
      </c>
      <c r="M25" s="19"/>
      <c r="N25" s="19">
        <v>2</v>
      </c>
      <c r="O25" s="19">
        <v>4</v>
      </c>
      <c r="P25" s="20">
        <f t="shared" si="5"/>
        <v>0.66666666666666663</v>
      </c>
      <c r="Q25" s="19"/>
      <c r="R25" s="19">
        <v>6</v>
      </c>
      <c r="S25" s="19">
        <v>3</v>
      </c>
      <c r="T25" s="20">
        <f t="shared" si="6"/>
        <v>0.33333333333333331</v>
      </c>
      <c r="U25" s="19"/>
      <c r="V25" s="14">
        <f t="shared" si="7"/>
        <v>56</v>
      </c>
      <c r="W25" s="14">
        <f t="shared" si="8"/>
        <v>32</v>
      </c>
      <c r="X25" s="20">
        <f t="shared" si="9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v>53</v>
      </c>
      <c r="C26" s="19">
        <v>3</v>
      </c>
      <c r="D26" s="20">
        <f t="shared" si="0"/>
        <v>5.3571428571428568E-2</v>
      </c>
      <c r="E26" s="19"/>
      <c r="F26" s="19">
        <v>90</v>
      </c>
      <c r="G26" s="19">
        <v>9</v>
      </c>
      <c r="H26" s="20">
        <f t="shared" si="1"/>
        <v>9.0909090909090912E-2</v>
      </c>
      <c r="I26" s="19"/>
      <c r="J26" s="14">
        <f t="shared" si="2"/>
        <v>143</v>
      </c>
      <c r="K26" s="14">
        <f t="shared" si="3"/>
        <v>12</v>
      </c>
      <c r="L26" s="20">
        <f t="shared" si="4"/>
        <v>7.7419354838709681E-2</v>
      </c>
      <c r="M26" s="19"/>
      <c r="N26" s="19">
        <v>0</v>
      </c>
      <c r="O26" s="19">
        <v>2</v>
      </c>
      <c r="P26" s="20">
        <f t="shared" si="5"/>
        <v>1</v>
      </c>
      <c r="Q26" s="19"/>
      <c r="R26" s="19">
        <v>22</v>
      </c>
      <c r="S26" s="19">
        <v>30</v>
      </c>
      <c r="T26" s="20">
        <f t="shared" si="6"/>
        <v>0.57692307692307687</v>
      </c>
      <c r="U26" s="19"/>
      <c r="V26" s="14">
        <f t="shared" si="7"/>
        <v>165</v>
      </c>
      <c r="W26" s="14">
        <f t="shared" si="8"/>
        <v>44</v>
      </c>
      <c r="X26" s="20">
        <f t="shared" si="9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v>18</v>
      </c>
      <c r="C27" s="19">
        <v>3</v>
      </c>
      <c r="D27" s="20">
        <f t="shared" si="0"/>
        <v>0.14285714285714285</v>
      </c>
      <c r="E27" s="19"/>
      <c r="F27" s="19">
        <v>34</v>
      </c>
      <c r="G27" s="19">
        <v>3</v>
      </c>
      <c r="H27" s="20">
        <f t="shared" si="1"/>
        <v>8.1081081081081086E-2</v>
      </c>
      <c r="I27" s="19"/>
      <c r="J27" s="14">
        <f t="shared" si="2"/>
        <v>52</v>
      </c>
      <c r="K27" s="14">
        <f t="shared" si="3"/>
        <v>6</v>
      </c>
      <c r="L27" s="20">
        <f t="shared" si="4"/>
        <v>0.10344827586206896</v>
      </c>
      <c r="M27" s="19"/>
      <c r="N27" s="19">
        <v>1</v>
      </c>
      <c r="O27" s="19">
        <v>1</v>
      </c>
      <c r="P27" s="20">
        <f t="shared" si="5"/>
        <v>0.5</v>
      </c>
      <c r="Q27" s="19"/>
      <c r="R27" s="19">
        <v>12</v>
      </c>
      <c r="S27" s="19">
        <v>2</v>
      </c>
      <c r="T27" s="20">
        <f t="shared" si="6"/>
        <v>0.14285714285714285</v>
      </c>
      <c r="U27" s="19"/>
      <c r="V27" s="14">
        <f t="shared" si="7"/>
        <v>65</v>
      </c>
      <c r="W27" s="14">
        <f t="shared" si="8"/>
        <v>9</v>
      </c>
      <c r="X27" s="20">
        <f t="shared" si="9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v>36</v>
      </c>
      <c r="C28" s="19">
        <v>1</v>
      </c>
      <c r="D28" s="20">
        <f t="shared" si="0"/>
        <v>2.7027027027027029E-2</v>
      </c>
      <c r="E28" s="19"/>
      <c r="F28" s="19">
        <v>31</v>
      </c>
      <c r="G28" s="19">
        <v>4</v>
      </c>
      <c r="H28" s="20">
        <f t="shared" si="1"/>
        <v>0.11428571428571428</v>
      </c>
      <c r="I28" s="19"/>
      <c r="J28" s="14">
        <f t="shared" si="2"/>
        <v>67</v>
      </c>
      <c r="K28" s="14">
        <f t="shared" si="3"/>
        <v>5</v>
      </c>
      <c r="L28" s="20">
        <f t="shared" si="4"/>
        <v>6.9444444444444448E-2</v>
      </c>
      <c r="M28" s="19"/>
      <c r="N28" s="19">
        <v>0</v>
      </c>
      <c r="O28" s="19">
        <v>0</v>
      </c>
      <c r="P28" s="20" t="str">
        <f t="shared" si="5"/>
        <v>-</v>
      </c>
      <c r="Q28" s="19"/>
      <c r="R28" s="19">
        <v>9</v>
      </c>
      <c r="S28" s="19">
        <v>11</v>
      </c>
      <c r="T28" s="20">
        <f t="shared" si="6"/>
        <v>0.55000000000000004</v>
      </c>
      <c r="U28" s="19"/>
      <c r="V28" s="14">
        <f t="shared" si="7"/>
        <v>76</v>
      </c>
      <c r="W28" s="14">
        <f t="shared" si="8"/>
        <v>16</v>
      </c>
      <c r="X28" s="20">
        <f t="shared" si="9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v>22</v>
      </c>
      <c r="C29" s="19">
        <v>0</v>
      </c>
      <c r="D29" s="20">
        <f t="shared" si="0"/>
        <v>0</v>
      </c>
      <c r="E29" s="19"/>
      <c r="F29" s="19">
        <v>43</v>
      </c>
      <c r="G29" s="19">
        <v>3</v>
      </c>
      <c r="H29" s="20">
        <f t="shared" si="1"/>
        <v>6.5217391304347824E-2</v>
      </c>
      <c r="I29" s="19"/>
      <c r="J29" s="14">
        <f t="shared" si="2"/>
        <v>65</v>
      </c>
      <c r="K29" s="14">
        <f t="shared" si="3"/>
        <v>3</v>
      </c>
      <c r="L29" s="20">
        <f t="shared" si="4"/>
        <v>4.4117647058823532E-2</v>
      </c>
      <c r="M29" s="19"/>
      <c r="N29" s="19">
        <v>0</v>
      </c>
      <c r="O29" s="19">
        <v>2</v>
      </c>
      <c r="P29" s="20">
        <f t="shared" si="5"/>
        <v>1</v>
      </c>
      <c r="Q29" s="19"/>
      <c r="R29" s="19">
        <v>13</v>
      </c>
      <c r="S29" s="19">
        <v>21</v>
      </c>
      <c r="T29" s="20">
        <f t="shared" si="6"/>
        <v>0.61764705882352944</v>
      </c>
      <c r="U29" s="19"/>
      <c r="V29" s="14">
        <f t="shared" si="7"/>
        <v>78</v>
      </c>
      <c r="W29" s="14">
        <f t="shared" si="8"/>
        <v>26</v>
      </c>
      <c r="X29" s="20">
        <f t="shared" si="9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v>0</v>
      </c>
      <c r="C30" s="19">
        <v>0</v>
      </c>
      <c r="D30" s="20" t="str">
        <f t="shared" si="0"/>
        <v>-</v>
      </c>
      <c r="E30" s="19"/>
      <c r="F30" s="19">
        <v>0</v>
      </c>
      <c r="G30" s="19">
        <v>0</v>
      </c>
      <c r="H30" s="20" t="str">
        <f t="shared" si="1"/>
        <v>-</v>
      </c>
      <c r="I30" s="19"/>
      <c r="J30" s="14">
        <f t="shared" si="2"/>
        <v>0</v>
      </c>
      <c r="K30" s="14">
        <f t="shared" si="3"/>
        <v>0</v>
      </c>
      <c r="L30" s="20" t="str">
        <f t="shared" si="4"/>
        <v>-</v>
      </c>
      <c r="M30" s="19"/>
      <c r="N30" s="19">
        <v>0</v>
      </c>
      <c r="O30" s="19">
        <v>0</v>
      </c>
      <c r="P30" s="20" t="str">
        <f t="shared" si="5"/>
        <v>-</v>
      </c>
      <c r="Q30" s="19"/>
      <c r="R30" s="19">
        <v>2</v>
      </c>
      <c r="S30" s="19">
        <v>0</v>
      </c>
      <c r="T30" s="20">
        <f t="shared" si="6"/>
        <v>0</v>
      </c>
      <c r="U30" s="19"/>
      <c r="V30" s="14">
        <f t="shared" si="7"/>
        <v>2</v>
      </c>
      <c r="W30" s="14">
        <f t="shared" si="8"/>
        <v>0</v>
      </c>
      <c r="X30" s="20">
        <f t="shared" si="9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v>25</v>
      </c>
      <c r="C31" s="19">
        <v>4</v>
      </c>
      <c r="D31" s="20">
        <f t="shared" si="0"/>
        <v>0.13793103448275862</v>
      </c>
      <c r="E31" s="19"/>
      <c r="F31" s="19">
        <v>53</v>
      </c>
      <c r="G31" s="19">
        <v>3</v>
      </c>
      <c r="H31" s="20">
        <f t="shared" si="1"/>
        <v>5.3571428571428568E-2</v>
      </c>
      <c r="I31" s="19"/>
      <c r="J31" s="14">
        <f t="shared" si="2"/>
        <v>78</v>
      </c>
      <c r="K31" s="14">
        <f t="shared" si="3"/>
        <v>7</v>
      </c>
      <c r="L31" s="20">
        <f t="shared" si="4"/>
        <v>8.2352941176470587E-2</v>
      </c>
      <c r="M31" s="19"/>
      <c r="N31" s="19">
        <v>3</v>
      </c>
      <c r="O31" s="19">
        <v>5</v>
      </c>
      <c r="P31" s="20">
        <f t="shared" si="5"/>
        <v>0.625</v>
      </c>
      <c r="Q31" s="19"/>
      <c r="R31" s="19">
        <v>25</v>
      </c>
      <c r="S31" s="19">
        <v>27</v>
      </c>
      <c r="T31" s="20">
        <f t="shared" si="6"/>
        <v>0.51923076923076927</v>
      </c>
      <c r="U31" s="19"/>
      <c r="V31" s="14">
        <f t="shared" si="7"/>
        <v>106</v>
      </c>
      <c r="W31" s="14">
        <f t="shared" si="8"/>
        <v>39</v>
      </c>
      <c r="X31" s="20">
        <f t="shared" si="9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v>51</v>
      </c>
      <c r="C32" s="19">
        <v>5</v>
      </c>
      <c r="D32" s="20">
        <f t="shared" si="0"/>
        <v>8.9285714285714288E-2</v>
      </c>
      <c r="E32" s="19"/>
      <c r="F32" s="19">
        <v>53</v>
      </c>
      <c r="G32" s="19">
        <v>4</v>
      </c>
      <c r="H32" s="20">
        <f t="shared" si="1"/>
        <v>7.0175438596491224E-2</v>
      </c>
      <c r="I32" s="19"/>
      <c r="J32" s="14">
        <f t="shared" si="2"/>
        <v>104</v>
      </c>
      <c r="K32" s="14">
        <f t="shared" si="3"/>
        <v>9</v>
      </c>
      <c r="L32" s="20">
        <f t="shared" si="4"/>
        <v>7.9646017699115043E-2</v>
      </c>
      <c r="M32" s="19"/>
      <c r="N32" s="19">
        <v>0</v>
      </c>
      <c r="O32" s="19">
        <v>0</v>
      </c>
      <c r="P32" s="20" t="str">
        <f t="shared" si="5"/>
        <v>-</v>
      </c>
      <c r="Q32" s="19"/>
      <c r="R32" s="19">
        <v>24</v>
      </c>
      <c r="S32" s="19">
        <v>21</v>
      </c>
      <c r="T32" s="20">
        <f t="shared" si="6"/>
        <v>0.46666666666666667</v>
      </c>
      <c r="U32" s="19"/>
      <c r="V32" s="14">
        <f t="shared" si="7"/>
        <v>128</v>
      </c>
      <c r="W32" s="14">
        <f t="shared" si="8"/>
        <v>30</v>
      </c>
      <c r="X32" s="20">
        <f t="shared" si="9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v>21</v>
      </c>
      <c r="C33" s="19">
        <v>4</v>
      </c>
      <c r="D33" s="20">
        <f t="shared" si="0"/>
        <v>0.16</v>
      </c>
      <c r="E33" s="19"/>
      <c r="F33" s="19">
        <v>25</v>
      </c>
      <c r="G33" s="19">
        <v>2</v>
      </c>
      <c r="H33" s="20">
        <f t="shared" si="1"/>
        <v>7.407407407407407E-2</v>
      </c>
      <c r="I33" s="19"/>
      <c r="J33" s="14">
        <f t="shared" si="2"/>
        <v>46</v>
      </c>
      <c r="K33" s="14">
        <f t="shared" si="3"/>
        <v>6</v>
      </c>
      <c r="L33" s="20">
        <f t="shared" si="4"/>
        <v>0.11538461538461539</v>
      </c>
      <c r="M33" s="19"/>
      <c r="N33" s="19">
        <v>2</v>
      </c>
      <c r="O33" s="19">
        <v>0</v>
      </c>
      <c r="P33" s="20">
        <f t="shared" si="5"/>
        <v>0</v>
      </c>
      <c r="Q33" s="19"/>
      <c r="R33" s="19">
        <v>2</v>
      </c>
      <c r="S33" s="19">
        <v>10</v>
      </c>
      <c r="T33" s="20">
        <f t="shared" si="6"/>
        <v>0.83333333333333337</v>
      </c>
      <c r="U33" s="19"/>
      <c r="V33" s="14">
        <f t="shared" si="7"/>
        <v>50</v>
      </c>
      <c r="W33" s="14">
        <f t="shared" si="8"/>
        <v>16</v>
      </c>
      <c r="X33" s="20">
        <f t="shared" si="9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v>9</v>
      </c>
      <c r="C34" s="19">
        <v>1</v>
      </c>
      <c r="D34" s="20">
        <f t="shared" si="0"/>
        <v>0.1</v>
      </c>
      <c r="E34" s="19"/>
      <c r="F34" s="19">
        <v>41</v>
      </c>
      <c r="G34" s="19">
        <v>4</v>
      </c>
      <c r="H34" s="20">
        <f t="shared" si="1"/>
        <v>8.8888888888888892E-2</v>
      </c>
      <c r="I34" s="19"/>
      <c r="J34" s="14">
        <f t="shared" si="2"/>
        <v>50</v>
      </c>
      <c r="K34" s="14">
        <f t="shared" si="3"/>
        <v>5</v>
      </c>
      <c r="L34" s="20">
        <f t="shared" si="4"/>
        <v>9.0909090909090912E-2</v>
      </c>
      <c r="M34" s="19"/>
      <c r="N34" s="19">
        <v>0</v>
      </c>
      <c r="O34" s="19">
        <v>2</v>
      </c>
      <c r="P34" s="20">
        <f t="shared" si="5"/>
        <v>1</v>
      </c>
      <c r="Q34" s="19"/>
      <c r="R34" s="19">
        <v>2</v>
      </c>
      <c r="S34" s="19">
        <v>1</v>
      </c>
      <c r="T34" s="20">
        <f t="shared" si="6"/>
        <v>0.33333333333333331</v>
      </c>
      <c r="U34" s="19"/>
      <c r="V34" s="14">
        <f t="shared" si="7"/>
        <v>52</v>
      </c>
      <c r="W34" s="14">
        <f t="shared" si="8"/>
        <v>8</v>
      </c>
      <c r="X34" s="20">
        <f t="shared" si="9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v>19</v>
      </c>
      <c r="C35" s="19">
        <v>0</v>
      </c>
      <c r="D35" s="20">
        <f t="shared" si="0"/>
        <v>0</v>
      </c>
      <c r="E35" s="19"/>
      <c r="F35" s="19">
        <v>48</v>
      </c>
      <c r="G35" s="19">
        <v>8</v>
      </c>
      <c r="H35" s="20">
        <f t="shared" si="1"/>
        <v>0.14285714285714285</v>
      </c>
      <c r="I35" s="19"/>
      <c r="J35" s="14">
        <f t="shared" si="2"/>
        <v>67</v>
      </c>
      <c r="K35" s="14">
        <f t="shared" si="3"/>
        <v>8</v>
      </c>
      <c r="L35" s="20">
        <f t="shared" si="4"/>
        <v>0.10666666666666667</v>
      </c>
      <c r="M35" s="19"/>
      <c r="N35" s="19">
        <v>2</v>
      </c>
      <c r="O35" s="19">
        <v>2</v>
      </c>
      <c r="P35" s="20">
        <f t="shared" si="5"/>
        <v>0.5</v>
      </c>
      <c r="Q35" s="19"/>
      <c r="R35" s="19">
        <v>6</v>
      </c>
      <c r="S35" s="19">
        <v>10</v>
      </c>
      <c r="T35" s="20">
        <f t="shared" si="6"/>
        <v>0.625</v>
      </c>
      <c r="U35" s="19"/>
      <c r="V35" s="14">
        <f t="shared" si="7"/>
        <v>75</v>
      </c>
      <c r="W35" s="14">
        <f t="shared" si="8"/>
        <v>20</v>
      </c>
      <c r="X35" s="20">
        <f t="shared" si="9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v>0</v>
      </c>
      <c r="C36" s="19">
        <v>0</v>
      </c>
      <c r="D36" s="20" t="str">
        <f t="shared" si="0"/>
        <v>-</v>
      </c>
      <c r="E36" s="19"/>
      <c r="F36" s="19">
        <v>0</v>
      </c>
      <c r="G36" s="19">
        <v>0</v>
      </c>
      <c r="H36" s="20" t="str">
        <f t="shared" si="1"/>
        <v>-</v>
      </c>
      <c r="I36" s="19"/>
      <c r="J36" s="14">
        <f t="shared" si="2"/>
        <v>0</v>
      </c>
      <c r="K36" s="14">
        <f t="shared" si="3"/>
        <v>0</v>
      </c>
      <c r="L36" s="20" t="str">
        <f t="shared" si="4"/>
        <v>-</v>
      </c>
      <c r="M36" s="19"/>
      <c r="N36" s="19">
        <v>4</v>
      </c>
      <c r="O36" s="19">
        <v>6</v>
      </c>
      <c r="P36" s="20">
        <f t="shared" si="5"/>
        <v>0.6</v>
      </c>
      <c r="Q36" s="19"/>
      <c r="R36" s="19">
        <v>0</v>
      </c>
      <c r="S36" s="19">
        <v>0</v>
      </c>
      <c r="T36" s="20" t="str">
        <f t="shared" si="6"/>
        <v>-</v>
      </c>
      <c r="U36" s="19"/>
      <c r="V36" s="14">
        <f t="shared" si="7"/>
        <v>4</v>
      </c>
      <c r="W36" s="14">
        <f t="shared" si="8"/>
        <v>6</v>
      </c>
      <c r="X36" s="20">
        <f t="shared" si="9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v>4</v>
      </c>
      <c r="C37" s="19">
        <v>0</v>
      </c>
      <c r="D37" s="20">
        <f t="shared" si="0"/>
        <v>0</v>
      </c>
      <c r="E37" s="19"/>
      <c r="F37" s="19">
        <v>50</v>
      </c>
      <c r="G37" s="19">
        <v>3</v>
      </c>
      <c r="H37" s="20">
        <f t="shared" si="1"/>
        <v>5.6603773584905662E-2</v>
      </c>
      <c r="I37" s="19"/>
      <c r="J37" s="14">
        <f t="shared" si="2"/>
        <v>54</v>
      </c>
      <c r="K37" s="14">
        <f t="shared" si="3"/>
        <v>3</v>
      </c>
      <c r="L37" s="20">
        <f t="shared" si="4"/>
        <v>5.2631578947368418E-2</v>
      </c>
      <c r="M37" s="19"/>
      <c r="N37" s="19">
        <v>1</v>
      </c>
      <c r="O37" s="19">
        <v>2</v>
      </c>
      <c r="P37" s="20">
        <f t="shared" si="5"/>
        <v>0.66666666666666663</v>
      </c>
      <c r="Q37" s="19"/>
      <c r="R37" s="19">
        <v>8</v>
      </c>
      <c r="S37" s="19">
        <v>12</v>
      </c>
      <c r="T37" s="20">
        <f t="shared" si="6"/>
        <v>0.6</v>
      </c>
      <c r="U37" s="19"/>
      <c r="V37" s="14">
        <f t="shared" si="7"/>
        <v>63</v>
      </c>
      <c r="W37" s="14">
        <f t="shared" si="8"/>
        <v>17</v>
      </c>
      <c r="X37" s="20">
        <f t="shared" si="9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v>10</v>
      </c>
      <c r="C38" s="19">
        <v>3</v>
      </c>
      <c r="D38" s="20">
        <f t="shared" si="0"/>
        <v>0.23076923076923078</v>
      </c>
      <c r="E38" s="19"/>
      <c r="F38" s="19">
        <v>31</v>
      </c>
      <c r="G38" s="19">
        <v>3</v>
      </c>
      <c r="H38" s="20">
        <f t="shared" si="1"/>
        <v>8.8235294117647065E-2</v>
      </c>
      <c r="I38" s="19"/>
      <c r="J38" s="14">
        <f t="shared" si="2"/>
        <v>41</v>
      </c>
      <c r="K38" s="14">
        <f t="shared" si="3"/>
        <v>6</v>
      </c>
      <c r="L38" s="20">
        <f t="shared" si="4"/>
        <v>0.1276595744680851</v>
      </c>
      <c r="M38" s="19"/>
      <c r="N38" s="19">
        <v>0</v>
      </c>
      <c r="O38" s="19">
        <v>0</v>
      </c>
      <c r="P38" s="20" t="str">
        <f t="shared" si="5"/>
        <v>-</v>
      </c>
      <c r="Q38" s="19"/>
      <c r="R38" s="19">
        <v>6</v>
      </c>
      <c r="S38" s="19">
        <v>4</v>
      </c>
      <c r="T38" s="20">
        <f t="shared" si="6"/>
        <v>0.4</v>
      </c>
      <c r="U38" s="19"/>
      <c r="V38" s="14">
        <f t="shared" si="7"/>
        <v>47</v>
      </c>
      <c r="W38" s="14">
        <f t="shared" si="8"/>
        <v>10</v>
      </c>
      <c r="X38" s="20">
        <f t="shared" si="9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v>1</v>
      </c>
      <c r="C39" s="19">
        <v>0</v>
      </c>
      <c r="D39" s="20">
        <f t="shared" si="0"/>
        <v>0</v>
      </c>
      <c r="E39" s="19"/>
      <c r="F39" s="19">
        <v>18</v>
      </c>
      <c r="G39" s="19">
        <v>0</v>
      </c>
      <c r="H39" s="20">
        <f t="shared" si="1"/>
        <v>0</v>
      </c>
      <c r="I39" s="19"/>
      <c r="J39" s="14">
        <f t="shared" si="2"/>
        <v>19</v>
      </c>
      <c r="K39" s="14">
        <f t="shared" si="3"/>
        <v>0</v>
      </c>
      <c r="L39" s="20">
        <f t="shared" si="4"/>
        <v>0</v>
      </c>
      <c r="M39" s="19"/>
      <c r="N39" s="19">
        <v>0</v>
      </c>
      <c r="O39" s="19">
        <v>1</v>
      </c>
      <c r="P39" s="20">
        <f t="shared" si="5"/>
        <v>1</v>
      </c>
      <c r="Q39" s="19"/>
      <c r="R39" s="19">
        <v>1</v>
      </c>
      <c r="S39" s="19">
        <v>3</v>
      </c>
      <c r="T39" s="20">
        <f t="shared" si="6"/>
        <v>0.75</v>
      </c>
      <c r="U39" s="19"/>
      <c r="V39" s="14">
        <f t="shared" si="7"/>
        <v>20</v>
      </c>
      <c r="W39" s="14">
        <f t="shared" si="8"/>
        <v>4</v>
      </c>
      <c r="X39" s="20">
        <f t="shared" si="9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v>13</v>
      </c>
      <c r="C40" s="19">
        <v>0</v>
      </c>
      <c r="D40" s="20">
        <f t="shared" si="0"/>
        <v>0</v>
      </c>
      <c r="E40" s="19"/>
      <c r="F40" s="19">
        <v>32</v>
      </c>
      <c r="G40" s="19">
        <v>4</v>
      </c>
      <c r="H40" s="20">
        <f t="shared" si="1"/>
        <v>0.1111111111111111</v>
      </c>
      <c r="I40" s="19"/>
      <c r="J40" s="14">
        <f t="shared" si="2"/>
        <v>45</v>
      </c>
      <c r="K40" s="14">
        <f t="shared" si="3"/>
        <v>4</v>
      </c>
      <c r="L40" s="20">
        <f t="shared" si="4"/>
        <v>8.1632653061224483E-2</v>
      </c>
      <c r="M40" s="19"/>
      <c r="N40" s="19">
        <v>1</v>
      </c>
      <c r="O40" s="19">
        <v>0</v>
      </c>
      <c r="P40" s="20">
        <f t="shared" si="5"/>
        <v>0</v>
      </c>
      <c r="Q40" s="19"/>
      <c r="R40" s="19">
        <v>8</v>
      </c>
      <c r="S40" s="19">
        <v>11</v>
      </c>
      <c r="T40" s="20">
        <f t="shared" si="6"/>
        <v>0.57894736842105265</v>
      </c>
      <c r="U40" s="19"/>
      <c r="V40" s="14">
        <f t="shared" si="7"/>
        <v>54</v>
      </c>
      <c r="W40" s="14">
        <f t="shared" si="8"/>
        <v>15</v>
      </c>
      <c r="X40" s="20">
        <f t="shared" si="9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v>0</v>
      </c>
      <c r="C41" s="19">
        <v>0</v>
      </c>
      <c r="D41" s="20" t="str">
        <f t="shared" si="0"/>
        <v>-</v>
      </c>
      <c r="E41" s="19"/>
      <c r="F41" s="19">
        <v>70</v>
      </c>
      <c r="G41" s="19">
        <v>4</v>
      </c>
      <c r="H41" s="20">
        <f t="shared" si="1"/>
        <v>5.4054054054054057E-2</v>
      </c>
      <c r="I41" s="19"/>
      <c r="J41" s="14">
        <f t="shared" si="2"/>
        <v>70</v>
      </c>
      <c r="K41" s="14">
        <f t="shared" si="3"/>
        <v>4</v>
      </c>
      <c r="L41" s="20">
        <f t="shared" si="4"/>
        <v>5.4054054054054057E-2</v>
      </c>
      <c r="M41" s="19"/>
      <c r="N41" s="19">
        <v>0</v>
      </c>
      <c r="O41" s="19">
        <v>0</v>
      </c>
      <c r="P41" s="20" t="str">
        <f t="shared" si="5"/>
        <v>-</v>
      </c>
      <c r="Q41" s="19"/>
      <c r="R41" s="19">
        <v>2</v>
      </c>
      <c r="S41" s="19">
        <v>2</v>
      </c>
      <c r="T41" s="20">
        <f t="shared" si="6"/>
        <v>0.5</v>
      </c>
      <c r="U41" s="19"/>
      <c r="V41" s="14">
        <f t="shared" si="7"/>
        <v>72</v>
      </c>
      <c r="W41" s="14">
        <f t="shared" si="8"/>
        <v>6</v>
      </c>
      <c r="X41" s="20">
        <f t="shared" si="9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v>4</v>
      </c>
      <c r="C42" s="19">
        <v>1</v>
      </c>
      <c r="D42" s="20">
        <f t="shared" si="0"/>
        <v>0.2</v>
      </c>
      <c r="E42" s="19"/>
      <c r="F42" s="19">
        <v>22</v>
      </c>
      <c r="G42" s="19">
        <v>4</v>
      </c>
      <c r="H42" s="20">
        <f t="shared" si="1"/>
        <v>0.15384615384615385</v>
      </c>
      <c r="I42" s="19"/>
      <c r="J42" s="14">
        <f t="shared" si="2"/>
        <v>26</v>
      </c>
      <c r="K42" s="14">
        <f t="shared" si="3"/>
        <v>5</v>
      </c>
      <c r="L42" s="20">
        <f t="shared" si="4"/>
        <v>0.16129032258064516</v>
      </c>
      <c r="M42" s="19"/>
      <c r="N42" s="19">
        <v>0</v>
      </c>
      <c r="O42" s="19">
        <v>1</v>
      </c>
      <c r="P42" s="20">
        <f t="shared" si="5"/>
        <v>1</v>
      </c>
      <c r="Q42" s="19"/>
      <c r="R42" s="19">
        <v>3</v>
      </c>
      <c r="S42" s="19">
        <v>6</v>
      </c>
      <c r="T42" s="20">
        <f t="shared" si="6"/>
        <v>0.66666666666666663</v>
      </c>
      <c r="U42" s="19"/>
      <c r="V42" s="14">
        <f t="shared" si="7"/>
        <v>29</v>
      </c>
      <c r="W42" s="14">
        <f t="shared" si="8"/>
        <v>12</v>
      </c>
      <c r="X42" s="20">
        <f t="shared" si="9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v>6</v>
      </c>
      <c r="C43" s="19">
        <v>2</v>
      </c>
      <c r="D43" s="20">
        <f t="shared" si="0"/>
        <v>0.25</v>
      </c>
      <c r="E43" s="19"/>
      <c r="F43" s="19">
        <v>14</v>
      </c>
      <c r="G43" s="19">
        <v>2</v>
      </c>
      <c r="H43" s="20">
        <f t="shared" si="1"/>
        <v>0.125</v>
      </c>
      <c r="I43" s="19"/>
      <c r="J43" s="14">
        <f t="shared" si="2"/>
        <v>20</v>
      </c>
      <c r="K43" s="14">
        <f t="shared" si="3"/>
        <v>4</v>
      </c>
      <c r="L43" s="20">
        <f t="shared" si="4"/>
        <v>0.16666666666666666</v>
      </c>
      <c r="M43" s="19"/>
      <c r="N43" s="19">
        <v>0</v>
      </c>
      <c r="O43" s="19">
        <v>0</v>
      </c>
      <c r="P43" s="20" t="str">
        <f t="shared" si="5"/>
        <v>-</v>
      </c>
      <c r="Q43" s="19"/>
      <c r="R43" s="19">
        <v>7</v>
      </c>
      <c r="S43" s="19">
        <v>3</v>
      </c>
      <c r="T43" s="20">
        <f t="shared" si="6"/>
        <v>0.3</v>
      </c>
      <c r="U43" s="19"/>
      <c r="V43" s="14">
        <f t="shared" si="7"/>
        <v>27</v>
      </c>
      <c r="W43" s="14">
        <f t="shared" si="8"/>
        <v>7</v>
      </c>
      <c r="X43" s="20">
        <f t="shared" si="9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v>2</v>
      </c>
      <c r="C44" s="19">
        <v>0</v>
      </c>
      <c r="D44" s="20">
        <f t="shared" si="0"/>
        <v>0</v>
      </c>
      <c r="E44" s="19"/>
      <c r="F44" s="19">
        <v>45</v>
      </c>
      <c r="G44" s="19">
        <v>4</v>
      </c>
      <c r="H44" s="20">
        <f t="shared" si="1"/>
        <v>8.1632653061224483E-2</v>
      </c>
      <c r="I44" s="19"/>
      <c r="J44" s="14">
        <f t="shared" si="2"/>
        <v>47</v>
      </c>
      <c r="K44" s="14">
        <f t="shared" si="3"/>
        <v>4</v>
      </c>
      <c r="L44" s="20">
        <f t="shared" si="4"/>
        <v>7.8431372549019607E-2</v>
      </c>
      <c r="M44" s="19"/>
      <c r="N44" s="19">
        <v>0</v>
      </c>
      <c r="O44" s="19">
        <v>0</v>
      </c>
      <c r="P44" s="20" t="str">
        <f t="shared" si="5"/>
        <v>-</v>
      </c>
      <c r="Q44" s="19"/>
      <c r="R44" s="19">
        <v>4</v>
      </c>
      <c r="S44" s="19">
        <v>2</v>
      </c>
      <c r="T44" s="20">
        <f t="shared" si="6"/>
        <v>0.33333333333333331</v>
      </c>
      <c r="U44" s="19"/>
      <c r="V44" s="14">
        <f t="shared" si="7"/>
        <v>51</v>
      </c>
      <c r="W44" s="14">
        <f t="shared" si="8"/>
        <v>6</v>
      </c>
      <c r="X44" s="20">
        <f t="shared" si="9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v>8</v>
      </c>
      <c r="C45" s="19">
        <v>0</v>
      </c>
      <c r="D45" s="20">
        <f t="shared" si="0"/>
        <v>0</v>
      </c>
      <c r="E45" s="19"/>
      <c r="F45" s="19">
        <v>9</v>
      </c>
      <c r="G45" s="19">
        <v>0</v>
      </c>
      <c r="H45" s="20">
        <f t="shared" si="1"/>
        <v>0</v>
      </c>
      <c r="I45" s="19"/>
      <c r="J45" s="14">
        <f t="shared" si="2"/>
        <v>17</v>
      </c>
      <c r="K45" s="14">
        <f t="shared" si="3"/>
        <v>0</v>
      </c>
      <c r="L45" s="20">
        <f t="shared" si="4"/>
        <v>0</v>
      </c>
      <c r="M45" s="19"/>
      <c r="N45" s="19">
        <v>0</v>
      </c>
      <c r="O45" s="19">
        <v>3</v>
      </c>
      <c r="P45" s="20">
        <f t="shared" si="5"/>
        <v>1</v>
      </c>
      <c r="Q45" s="19"/>
      <c r="R45" s="19">
        <v>1</v>
      </c>
      <c r="S45" s="19">
        <v>0</v>
      </c>
      <c r="T45" s="20">
        <f t="shared" si="6"/>
        <v>0</v>
      </c>
      <c r="U45" s="19"/>
      <c r="V45" s="14">
        <f t="shared" si="7"/>
        <v>18</v>
      </c>
      <c r="W45" s="14">
        <f t="shared" si="8"/>
        <v>3</v>
      </c>
      <c r="X45" s="20">
        <f t="shared" si="9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v>26</v>
      </c>
      <c r="C46" s="19">
        <v>5</v>
      </c>
      <c r="D46" s="20">
        <f t="shared" si="0"/>
        <v>0.16129032258064516</v>
      </c>
      <c r="E46" s="19"/>
      <c r="F46" s="19">
        <v>18</v>
      </c>
      <c r="G46" s="19">
        <v>2</v>
      </c>
      <c r="H46" s="20">
        <f t="shared" si="1"/>
        <v>0.1</v>
      </c>
      <c r="I46" s="19"/>
      <c r="J46" s="14">
        <f t="shared" si="2"/>
        <v>44</v>
      </c>
      <c r="K46" s="14">
        <f t="shared" si="3"/>
        <v>7</v>
      </c>
      <c r="L46" s="20">
        <f t="shared" si="4"/>
        <v>0.13725490196078433</v>
      </c>
      <c r="M46" s="19"/>
      <c r="N46" s="19">
        <v>0</v>
      </c>
      <c r="O46" s="19">
        <v>3</v>
      </c>
      <c r="P46" s="20">
        <f t="shared" si="5"/>
        <v>1</v>
      </c>
      <c r="Q46" s="19"/>
      <c r="R46" s="19">
        <v>9</v>
      </c>
      <c r="S46" s="19">
        <v>11</v>
      </c>
      <c r="T46" s="20">
        <f t="shared" si="6"/>
        <v>0.55000000000000004</v>
      </c>
      <c r="U46" s="19"/>
      <c r="V46" s="14">
        <f t="shared" si="7"/>
        <v>53</v>
      </c>
      <c r="W46" s="14">
        <f t="shared" si="8"/>
        <v>21</v>
      </c>
      <c r="X46" s="20">
        <f t="shared" si="9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v>18</v>
      </c>
      <c r="C47" s="19">
        <v>6</v>
      </c>
      <c r="D47" s="20">
        <f t="shared" si="0"/>
        <v>0.25</v>
      </c>
      <c r="E47" s="19"/>
      <c r="F47" s="19">
        <v>45</v>
      </c>
      <c r="G47" s="19">
        <v>2</v>
      </c>
      <c r="H47" s="20">
        <f t="shared" si="1"/>
        <v>4.2553191489361701E-2</v>
      </c>
      <c r="I47" s="19"/>
      <c r="J47" s="14">
        <f t="shared" si="2"/>
        <v>63</v>
      </c>
      <c r="K47" s="14">
        <f t="shared" si="3"/>
        <v>8</v>
      </c>
      <c r="L47" s="20">
        <f t="shared" si="4"/>
        <v>0.11267605633802817</v>
      </c>
      <c r="M47" s="19"/>
      <c r="N47" s="19">
        <v>0</v>
      </c>
      <c r="O47" s="19">
        <v>0</v>
      </c>
      <c r="P47" s="20" t="str">
        <f t="shared" si="5"/>
        <v>-</v>
      </c>
      <c r="Q47" s="19"/>
      <c r="R47" s="19">
        <v>5</v>
      </c>
      <c r="S47" s="19">
        <v>5</v>
      </c>
      <c r="T47" s="20">
        <f t="shared" si="6"/>
        <v>0.5</v>
      </c>
      <c r="U47" s="19"/>
      <c r="V47" s="14">
        <f t="shared" si="7"/>
        <v>68</v>
      </c>
      <c r="W47" s="14">
        <f t="shared" si="8"/>
        <v>13</v>
      </c>
      <c r="X47" s="20">
        <f t="shared" si="9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v>0</v>
      </c>
      <c r="C48" s="19">
        <v>0</v>
      </c>
      <c r="D48" s="20" t="str">
        <f t="shared" si="0"/>
        <v>-</v>
      </c>
      <c r="E48" s="19"/>
      <c r="F48" s="19">
        <v>2</v>
      </c>
      <c r="G48" s="19">
        <v>0</v>
      </c>
      <c r="H48" s="20">
        <f t="shared" si="1"/>
        <v>0</v>
      </c>
      <c r="I48" s="19"/>
      <c r="J48" s="14">
        <f t="shared" si="2"/>
        <v>2</v>
      </c>
      <c r="K48" s="14">
        <f t="shared" si="3"/>
        <v>0</v>
      </c>
      <c r="L48" s="20">
        <f t="shared" si="4"/>
        <v>0</v>
      </c>
      <c r="M48" s="19"/>
      <c r="N48" s="19">
        <v>0</v>
      </c>
      <c r="O48" s="19">
        <v>0</v>
      </c>
      <c r="P48" s="20" t="str">
        <f t="shared" si="5"/>
        <v>-</v>
      </c>
      <c r="Q48" s="19"/>
      <c r="R48" s="19">
        <v>0</v>
      </c>
      <c r="S48" s="19">
        <v>0</v>
      </c>
      <c r="T48" s="20" t="str">
        <f t="shared" si="6"/>
        <v>-</v>
      </c>
      <c r="U48" s="19"/>
      <c r="V48" s="14">
        <f t="shared" si="7"/>
        <v>2</v>
      </c>
      <c r="W48" s="14">
        <f t="shared" si="8"/>
        <v>0</v>
      </c>
      <c r="X48" s="20">
        <f t="shared" si="9"/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>SUM(B50:B56)</f>
        <v>374</v>
      </c>
      <c r="C49" s="14">
        <f>SUM(C50:C56)</f>
        <v>66</v>
      </c>
      <c r="D49" s="15">
        <f t="shared" si="0"/>
        <v>0.15</v>
      </c>
      <c r="E49" s="14"/>
      <c r="F49" s="14">
        <f>SUM(F50:F56)</f>
        <v>49</v>
      </c>
      <c r="G49" s="14">
        <f>SUM(G50:G56)</f>
        <v>6</v>
      </c>
      <c r="H49" s="15">
        <f t="shared" si="1"/>
        <v>0.10909090909090909</v>
      </c>
      <c r="I49" s="14"/>
      <c r="J49" s="14">
        <f t="shared" si="2"/>
        <v>423</v>
      </c>
      <c r="K49" s="14">
        <f t="shared" si="3"/>
        <v>72</v>
      </c>
      <c r="L49" s="15">
        <f t="shared" si="4"/>
        <v>0.14545454545454545</v>
      </c>
      <c r="M49" s="14"/>
      <c r="N49" s="14">
        <f>SUM(N50:N56)</f>
        <v>9</v>
      </c>
      <c r="O49" s="14">
        <f>SUM(O50:O56)</f>
        <v>24</v>
      </c>
      <c r="P49" s="15">
        <f t="shared" si="5"/>
        <v>0.72727272727272729</v>
      </c>
      <c r="Q49" s="14"/>
      <c r="R49" s="14">
        <f>SUM(R50:R56)</f>
        <v>147</v>
      </c>
      <c r="S49" s="14">
        <f>SUM(S50:S56)</f>
        <v>155</v>
      </c>
      <c r="T49" s="15">
        <f t="shared" si="6"/>
        <v>0.51324503311258274</v>
      </c>
      <c r="U49" s="14"/>
      <c r="V49" s="14">
        <f t="shared" si="7"/>
        <v>579</v>
      </c>
      <c r="W49" s="14">
        <f t="shared" si="8"/>
        <v>251</v>
      </c>
      <c r="X49" s="15">
        <f t="shared" si="9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v>38</v>
      </c>
      <c r="C50" s="19">
        <v>17</v>
      </c>
      <c r="D50" s="20">
        <f t="shared" si="0"/>
        <v>0.30909090909090908</v>
      </c>
      <c r="E50" s="19"/>
      <c r="F50" s="19">
        <v>0</v>
      </c>
      <c r="G50" s="19">
        <v>0</v>
      </c>
      <c r="H50" s="20" t="str">
        <f t="shared" si="1"/>
        <v>-</v>
      </c>
      <c r="I50" s="19"/>
      <c r="J50" s="14">
        <f t="shared" si="2"/>
        <v>38</v>
      </c>
      <c r="K50" s="14">
        <f t="shared" si="3"/>
        <v>17</v>
      </c>
      <c r="L50" s="20">
        <f t="shared" si="4"/>
        <v>0.30909090909090908</v>
      </c>
      <c r="M50" s="19"/>
      <c r="N50" s="19">
        <v>0</v>
      </c>
      <c r="O50" s="19">
        <v>0</v>
      </c>
      <c r="P50" s="20" t="str">
        <f t="shared" si="5"/>
        <v>-</v>
      </c>
      <c r="Q50" s="19"/>
      <c r="R50" s="19">
        <v>43</v>
      </c>
      <c r="S50" s="19">
        <v>37</v>
      </c>
      <c r="T50" s="20">
        <f t="shared" si="6"/>
        <v>0.46250000000000002</v>
      </c>
      <c r="U50" s="19"/>
      <c r="V50" s="14">
        <f t="shared" si="7"/>
        <v>81</v>
      </c>
      <c r="W50" s="14">
        <f t="shared" si="8"/>
        <v>54</v>
      </c>
      <c r="X50" s="20">
        <f t="shared" si="9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v>26</v>
      </c>
      <c r="C51" s="19">
        <v>6</v>
      </c>
      <c r="D51" s="20">
        <f t="shared" si="0"/>
        <v>0.1875</v>
      </c>
      <c r="E51" s="19"/>
      <c r="F51" s="19">
        <v>13</v>
      </c>
      <c r="G51" s="19">
        <v>3</v>
      </c>
      <c r="H51" s="20">
        <f t="shared" si="1"/>
        <v>0.1875</v>
      </c>
      <c r="I51" s="19"/>
      <c r="J51" s="14">
        <f t="shared" si="2"/>
        <v>39</v>
      </c>
      <c r="K51" s="14">
        <f t="shared" si="3"/>
        <v>9</v>
      </c>
      <c r="L51" s="20">
        <f t="shared" si="4"/>
        <v>0.1875</v>
      </c>
      <c r="M51" s="19"/>
      <c r="N51" s="19">
        <v>1</v>
      </c>
      <c r="O51" s="19">
        <v>6</v>
      </c>
      <c r="P51" s="20">
        <f t="shared" si="5"/>
        <v>0.8571428571428571</v>
      </c>
      <c r="Q51" s="19"/>
      <c r="R51" s="19">
        <v>13</v>
      </c>
      <c r="S51" s="19">
        <v>4</v>
      </c>
      <c r="T51" s="20">
        <f t="shared" si="6"/>
        <v>0.23529411764705882</v>
      </c>
      <c r="U51" s="19"/>
      <c r="V51" s="14">
        <f t="shared" si="7"/>
        <v>53</v>
      </c>
      <c r="W51" s="14">
        <f t="shared" si="8"/>
        <v>19</v>
      </c>
      <c r="X51" s="20">
        <f t="shared" si="9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v>30</v>
      </c>
      <c r="C52" s="19">
        <v>2</v>
      </c>
      <c r="D52" s="20">
        <f t="shared" si="0"/>
        <v>6.25E-2</v>
      </c>
      <c r="E52" s="19"/>
      <c r="F52" s="19">
        <v>24</v>
      </c>
      <c r="G52" s="19">
        <v>2</v>
      </c>
      <c r="H52" s="20">
        <f t="shared" si="1"/>
        <v>7.6923076923076927E-2</v>
      </c>
      <c r="I52" s="19"/>
      <c r="J52" s="14">
        <f t="shared" si="2"/>
        <v>54</v>
      </c>
      <c r="K52" s="14">
        <f t="shared" si="3"/>
        <v>4</v>
      </c>
      <c r="L52" s="20">
        <f t="shared" si="4"/>
        <v>6.8965517241379309E-2</v>
      </c>
      <c r="M52" s="19"/>
      <c r="N52" s="19">
        <v>1</v>
      </c>
      <c r="O52" s="19">
        <v>2</v>
      </c>
      <c r="P52" s="20">
        <f t="shared" si="5"/>
        <v>0.66666666666666663</v>
      </c>
      <c r="Q52" s="19"/>
      <c r="R52" s="19">
        <v>16</v>
      </c>
      <c r="S52" s="19">
        <v>21</v>
      </c>
      <c r="T52" s="20">
        <f t="shared" si="6"/>
        <v>0.56756756756756754</v>
      </c>
      <c r="U52" s="19"/>
      <c r="V52" s="14">
        <f t="shared" si="7"/>
        <v>71</v>
      </c>
      <c r="W52" s="14">
        <f t="shared" si="8"/>
        <v>27</v>
      </c>
      <c r="X52" s="20">
        <f t="shared" si="9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v>4</v>
      </c>
      <c r="C53" s="19">
        <v>2</v>
      </c>
      <c r="D53" s="20">
        <f t="shared" si="0"/>
        <v>0.33333333333333331</v>
      </c>
      <c r="E53" s="19"/>
      <c r="F53" s="19">
        <v>5</v>
      </c>
      <c r="G53" s="19">
        <v>1</v>
      </c>
      <c r="H53" s="20">
        <f t="shared" si="1"/>
        <v>0.16666666666666666</v>
      </c>
      <c r="I53" s="19"/>
      <c r="J53" s="14">
        <f t="shared" si="2"/>
        <v>9</v>
      </c>
      <c r="K53" s="14">
        <f t="shared" si="3"/>
        <v>3</v>
      </c>
      <c r="L53" s="20">
        <f t="shared" si="4"/>
        <v>0.25</v>
      </c>
      <c r="M53" s="19"/>
      <c r="N53" s="19">
        <v>0</v>
      </c>
      <c r="O53" s="19">
        <v>1</v>
      </c>
      <c r="P53" s="20">
        <f t="shared" si="5"/>
        <v>1</v>
      </c>
      <c r="Q53" s="19"/>
      <c r="R53" s="19">
        <v>12</v>
      </c>
      <c r="S53" s="19">
        <v>13</v>
      </c>
      <c r="T53" s="20">
        <f t="shared" si="6"/>
        <v>0.52</v>
      </c>
      <c r="U53" s="19"/>
      <c r="V53" s="14">
        <f t="shared" si="7"/>
        <v>21</v>
      </c>
      <c r="W53" s="14">
        <f t="shared" si="8"/>
        <v>17</v>
      </c>
      <c r="X53" s="20">
        <f t="shared" si="9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v>57</v>
      </c>
      <c r="C54" s="19">
        <v>16</v>
      </c>
      <c r="D54" s="20">
        <f t="shared" si="0"/>
        <v>0.21917808219178081</v>
      </c>
      <c r="E54" s="19"/>
      <c r="F54" s="19">
        <v>0</v>
      </c>
      <c r="G54" s="19">
        <v>0</v>
      </c>
      <c r="H54" s="20" t="str">
        <f t="shared" si="1"/>
        <v>-</v>
      </c>
      <c r="I54" s="19"/>
      <c r="J54" s="14">
        <f t="shared" si="2"/>
        <v>57</v>
      </c>
      <c r="K54" s="14">
        <f t="shared" si="3"/>
        <v>16</v>
      </c>
      <c r="L54" s="20">
        <f t="shared" si="4"/>
        <v>0.21917808219178081</v>
      </c>
      <c r="M54" s="19"/>
      <c r="N54" s="19">
        <v>0</v>
      </c>
      <c r="O54" s="19">
        <v>2</v>
      </c>
      <c r="P54" s="20">
        <f t="shared" si="5"/>
        <v>1</v>
      </c>
      <c r="Q54" s="19"/>
      <c r="R54" s="19">
        <v>5</v>
      </c>
      <c r="S54" s="19">
        <v>14</v>
      </c>
      <c r="T54" s="20">
        <f t="shared" si="6"/>
        <v>0.73684210526315785</v>
      </c>
      <c r="U54" s="19"/>
      <c r="V54" s="14">
        <f t="shared" si="7"/>
        <v>62</v>
      </c>
      <c r="W54" s="14">
        <f t="shared" si="8"/>
        <v>32</v>
      </c>
      <c r="X54" s="20">
        <f t="shared" si="9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v>35</v>
      </c>
      <c r="C55" s="19">
        <v>1</v>
      </c>
      <c r="D55" s="20">
        <f t="shared" si="0"/>
        <v>2.7777777777777776E-2</v>
      </c>
      <c r="E55" s="19"/>
      <c r="F55" s="19">
        <v>7</v>
      </c>
      <c r="G55" s="19">
        <v>0</v>
      </c>
      <c r="H55" s="20">
        <f t="shared" si="1"/>
        <v>0</v>
      </c>
      <c r="I55" s="19"/>
      <c r="J55" s="14">
        <f t="shared" si="2"/>
        <v>42</v>
      </c>
      <c r="K55" s="14">
        <f t="shared" si="3"/>
        <v>1</v>
      </c>
      <c r="L55" s="20">
        <f t="shared" si="4"/>
        <v>2.3255813953488372E-2</v>
      </c>
      <c r="M55" s="19"/>
      <c r="N55" s="19">
        <v>0</v>
      </c>
      <c r="O55" s="19">
        <v>0</v>
      </c>
      <c r="P55" s="20" t="str">
        <f t="shared" si="5"/>
        <v>-</v>
      </c>
      <c r="Q55" s="19"/>
      <c r="R55" s="19">
        <v>25</v>
      </c>
      <c r="S55" s="19">
        <v>25</v>
      </c>
      <c r="T55" s="20">
        <f t="shared" si="6"/>
        <v>0.5</v>
      </c>
      <c r="U55" s="19"/>
      <c r="V55" s="14">
        <f t="shared" si="7"/>
        <v>67</v>
      </c>
      <c r="W55" s="14">
        <f t="shared" si="8"/>
        <v>26</v>
      </c>
      <c r="X55" s="20">
        <f t="shared" si="9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v>184</v>
      </c>
      <c r="C56" s="19">
        <v>22</v>
      </c>
      <c r="D56" s="20">
        <f t="shared" si="0"/>
        <v>0.10679611650485436</v>
      </c>
      <c r="E56" s="24"/>
      <c r="F56" s="19">
        <v>0</v>
      </c>
      <c r="G56" s="19">
        <v>0</v>
      </c>
      <c r="H56" s="20" t="str">
        <f t="shared" si="1"/>
        <v>-</v>
      </c>
      <c r="I56" s="24"/>
      <c r="J56" s="14">
        <f t="shared" si="2"/>
        <v>184</v>
      </c>
      <c r="K56" s="14">
        <f t="shared" si="3"/>
        <v>22</v>
      </c>
      <c r="L56" s="20">
        <f t="shared" si="4"/>
        <v>0.10679611650485436</v>
      </c>
      <c r="M56" s="24"/>
      <c r="N56" s="19">
        <v>7</v>
      </c>
      <c r="O56" s="19">
        <v>13</v>
      </c>
      <c r="P56" s="20">
        <f t="shared" si="5"/>
        <v>0.65</v>
      </c>
      <c r="Q56" s="24"/>
      <c r="R56" s="19">
        <v>33</v>
      </c>
      <c r="S56" s="19">
        <v>41</v>
      </c>
      <c r="T56" s="20">
        <f t="shared" si="6"/>
        <v>0.55405405405405406</v>
      </c>
      <c r="U56" s="24"/>
      <c r="V56" s="14">
        <f t="shared" si="7"/>
        <v>224</v>
      </c>
      <c r="W56" s="14">
        <f t="shared" si="8"/>
        <v>76</v>
      </c>
      <c r="X56" s="20">
        <f t="shared" si="9"/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8" t="s">
        <v>59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33" x14ac:dyDescent="0.35">
      <c r="A59" s="32" t="s">
        <v>69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33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33" x14ac:dyDescent="0.35">
      <c r="A61" s="28" t="s">
        <v>60</v>
      </c>
    </row>
    <row r="62" spans="1:33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7" spans="1:24" x14ac:dyDescent="0.35">
      <c r="A67" s="48" t="s">
        <v>64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35">
      <c r="A68" s="30"/>
      <c r="X68" s="6"/>
    </row>
    <row r="69" spans="1:24" x14ac:dyDescent="0.35">
      <c r="A69" s="5" t="s">
        <v>65</v>
      </c>
      <c r="X69" s="37" t="s">
        <v>66</v>
      </c>
    </row>
    <row r="70" spans="1:24" x14ac:dyDescent="0.35">
      <c r="A70" s="30" t="s">
        <v>67</v>
      </c>
      <c r="X70" s="31" t="s">
        <v>68</v>
      </c>
    </row>
  </sheetData>
  <mergeCells count="11">
    <mergeCell ref="A58:X58"/>
    <mergeCell ref="A60:X60"/>
    <mergeCell ref="A62:X62"/>
    <mergeCell ref="A67:X67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100-000000000000}"/>
    <hyperlink ref="A70" r:id="rId2" xr:uid="{00000000-0004-0000-0100-000001000000}"/>
    <hyperlink ref="X69" r:id="rId3" xr:uid="{00000000-0004-0000-0100-000002000000}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0"/>
  <sheetViews>
    <sheetView zoomScale="90" zoomScaleNormal="90" workbookViewId="0">
      <selection activeCell="C9" sqref="C9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3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16384" width="9.1796875" style="5"/>
  </cols>
  <sheetData>
    <row r="1" spans="1:34" s="1" customFormat="1" ht="23.25" customHeight="1" x14ac:dyDescent="0.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1" customFormat="1" ht="17.25" customHeight="1" x14ac:dyDescent="0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4" s="4" customForma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54" t="str">
        <f>FIRE1120!A4</f>
        <v>2017-18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1</v>
      </c>
      <c r="C6" s="52"/>
      <c r="D6" s="52"/>
      <c r="E6" s="3"/>
      <c r="F6" s="52" t="s">
        <v>70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 ca="1">B9+B49</f>
        <v>953</v>
      </c>
      <c r="C8" s="14">
        <f ca="1">C9+C49</f>
        <v>153</v>
      </c>
      <c r="D8" s="15">
        <f ca="1">IF(B8+C8=0,"-",(C8/(B8+C8)))</f>
        <v>0.13833634719710669</v>
      </c>
      <c r="E8" s="14"/>
      <c r="F8" s="14">
        <f ca="1">F9+F49</f>
        <v>1387</v>
      </c>
      <c r="G8" s="14">
        <f ca="1">G9+G49</f>
        <v>121</v>
      </c>
      <c r="H8" s="15">
        <f ca="1">IF(F8+G8=0,"-",(G8/(F8+G8)))</f>
        <v>8.0238726790450923E-2</v>
      </c>
      <c r="I8" s="14"/>
      <c r="J8" s="14">
        <f ca="1">J9+J49</f>
        <v>2340</v>
      </c>
      <c r="K8" s="14">
        <f ca="1">K9+K49</f>
        <v>274</v>
      </c>
      <c r="L8" s="15">
        <f ca="1">IF(J8+K8=0,"-",(K8/(J8+K8)))</f>
        <v>0.10482019892884469</v>
      </c>
      <c r="M8" s="14"/>
      <c r="N8" s="14">
        <f ca="1">N9+N49</f>
        <v>45</v>
      </c>
      <c r="O8" s="14">
        <f ca="1">O9+O49</f>
        <v>79</v>
      </c>
      <c r="P8" s="15">
        <f ca="1">IF(N8+O8=0,"-",(O8/(N8+O8)))</f>
        <v>0.63709677419354838</v>
      </c>
      <c r="Q8" s="14"/>
      <c r="R8" s="14">
        <f ca="1">R9+R49</f>
        <v>476</v>
      </c>
      <c r="S8" s="14">
        <f ca="1">S9+S49</f>
        <v>553</v>
      </c>
      <c r="T8" s="15">
        <f ca="1">IF(R8+S8=0,"-",(S8/(R8+S8)))</f>
        <v>0.5374149659863946</v>
      </c>
      <c r="U8" s="14"/>
      <c r="V8" s="14">
        <f ca="1">V9+V49</f>
        <v>2861</v>
      </c>
      <c r="W8" s="14">
        <f ca="1">W9+W49</f>
        <v>906</v>
      </c>
      <c r="X8" s="15">
        <f ca="1">IF(V8+W8=0,"-",(W8/(V8+W8)))</f>
        <v>0.24050968940801698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 ca="1">SUM(B10:B48)</f>
        <v>579</v>
      </c>
      <c r="C9" s="14">
        <f ca="1">SUM(C10:C48)</f>
        <v>87</v>
      </c>
      <c r="D9" s="15">
        <f ca="1">IF(B9+C9=0,"-",(C9/(B9+C9)))</f>
        <v>0.13063063063063063</v>
      </c>
      <c r="E9" s="14"/>
      <c r="F9" s="14">
        <f ca="1">SUM(F10:F48)</f>
        <v>1338</v>
      </c>
      <c r="G9" s="14">
        <f ca="1">SUM(G10:G48)</f>
        <v>115</v>
      </c>
      <c r="H9" s="15">
        <f ca="1">IF(F9+G9=0,"-",(G9/(F9+G9)))</f>
        <v>7.9146593255333797E-2</v>
      </c>
      <c r="I9" s="14"/>
      <c r="J9" s="14">
        <f ca="1">SUM(J10:J48)</f>
        <v>1917</v>
      </c>
      <c r="K9" s="14">
        <f ca="1">SUM(K10:K48)</f>
        <v>202</v>
      </c>
      <c r="L9" s="15">
        <f ca="1">IF(J9+K9=0,"-",(K9/(J9+K9)))</f>
        <v>9.5327984898537041E-2</v>
      </c>
      <c r="M9" s="14"/>
      <c r="N9" s="14">
        <f ca="1">SUM(N10:N48)</f>
        <v>36</v>
      </c>
      <c r="O9" s="14">
        <f ca="1">SUM(O10:O48)</f>
        <v>55</v>
      </c>
      <c r="P9" s="15">
        <f ca="1">IF(N9+O9=0,"-",(O9/(N9+O9)))</f>
        <v>0.60439560439560436</v>
      </c>
      <c r="Q9" s="14"/>
      <c r="R9" s="14">
        <f ca="1">SUM(R10:R48)</f>
        <v>329</v>
      </c>
      <c r="S9" s="14">
        <f ca="1">SUM(S10:S48)</f>
        <v>398</v>
      </c>
      <c r="T9" s="15">
        <f ca="1">IF(R9+S9=0,"-",(S9/(R9+S9)))</f>
        <v>0.54745529573590102</v>
      </c>
      <c r="U9" s="14"/>
      <c r="V9" s="14">
        <f ca="1">SUM(V10:V48)</f>
        <v>2282</v>
      </c>
      <c r="W9" s="14">
        <f ca="1">SUM(W10:W48)</f>
        <v>655</v>
      </c>
      <c r="X9" s="15">
        <f ca="1">IF(V9+W9=0,"-",(W9/(V9+W9)))</f>
        <v>0.22301668369084099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f ca="1">INDIRECT("'("&amp;$A$4&amp;")'!b10")</f>
        <v>23</v>
      </c>
      <c r="C10" s="19">
        <f ca="1">INDIRECT("'("&amp;$A$4&amp;")'!c10")</f>
        <v>2</v>
      </c>
      <c r="D10" s="20">
        <f t="shared" ref="D10:D55" ca="1" si="0">IF(B10+C10=0,"-",(C10/(B10+C10)))</f>
        <v>0.08</v>
      </c>
      <c r="E10" s="19"/>
      <c r="F10" s="19">
        <f ca="1">INDIRECT("'("&amp;$A$4&amp;")'!f10")</f>
        <v>26</v>
      </c>
      <c r="G10" s="19">
        <f ca="1">INDIRECT("'("&amp;$A$4&amp;")'!g10")</f>
        <v>4</v>
      </c>
      <c r="H10" s="20">
        <f t="shared" ref="H10:H55" ca="1" si="1">IF(F10+G10=0,"-",(G10/(F10+G10)))</f>
        <v>0.13333333333333333</v>
      </c>
      <c r="I10" s="19"/>
      <c r="J10" s="14">
        <f t="shared" ref="J10:K55" ca="1" si="2">B10+F10</f>
        <v>49</v>
      </c>
      <c r="K10" s="14">
        <f t="shared" ca="1" si="2"/>
        <v>6</v>
      </c>
      <c r="L10" s="15">
        <f t="shared" ref="L10:L55" ca="1" si="3">IF(J10+K10=0,"-",(K10/(J10+K10)))</f>
        <v>0.10909090909090909</v>
      </c>
      <c r="M10" s="19"/>
      <c r="N10" s="19">
        <f ca="1">INDIRECT("'("&amp;$A$4&amp;")'!n10")</f>
        <v>2</v>
      </c>
      <c r="O10" s="19">
        <f ca="1">INDIRECT("'("&amp;$A$4&amp;")'!o10")</f>
        <v>0</v>
      </c>
      <c r="P10" s="20">
        <f t="shared" ref="P10:P55" ca="1" si="4">IF(N10+O10=0,"-",(O10/(N10+O10)))</f>
        <v>0</v>
      </c>
      <c r="Q10" s="19"/>
      <c r="R10" s="19">
        <f ca="1">INDIRECT("'("&amp;$A$4&amp;")'!r10")</f>
        <v>11</v>
      </c>
      <c r="S10" s="19">
        <f ca="1">INDIRECT("'("&amp;$A$4&amp;")'!s10")</f>
        <v>13</v>
      </c>
      <c r="T10" s="20">
        <f t="shared" ref="T10:T55" ca="1" si="5">IF(R10+S10=0,"-",(S10/(R10+S10)))</f>
        <v>0.54166666666666663</v>
      </c>
      <c r="U10" s="19"/>
      <c r="V10" s="14">
        <f t="shared" ref="V10:V47" ca="1" si="6">J10+N10+R10</f>
        <v>62</v>
      </c>
      <c r="W10" s="14">
        <f t="shared" ref="W10:W47" ca="1" si="7">K10+O10+S10</f>
        <v>19</v>
      </c>
      <c r="X10" s="20">
        <f t="shared" ref="X10:X55" ca="1" si="8"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f ca="1">INDIRECT("'("&amp;$A$4&amp;")'!b11")</f>
        <v>23</v>
      </c>
      <c r="C11" s="19">
        <f ca="1">INDIRECT("'("&amp;$A$4&amp;")'!c11")</f>
        <v>2</v>
      </c>
      <c r="D11" s="20">
        <f t="shared" ca="1" si="0"/>
        <v>0.08</v>
      </c>
      <c r="E11" s="19"/>
      <c r="F11" s="19">
        <f ca="1">INDIRECT("'("&amp;$A$4&amp;")'!f11")</f>
        <v>29</v>
      </c>
      <c r="G11" s="19">
        <f ca="1">INDIRECT("'("&amp;$A$4&amp;")'!g11")</f>
        <v>4</v>
      </c>
      <c r="H11" s="20">
        <f t="shared" ca="1" si="1"/>
        <v>0.12121212121212122</v>
      </c>
      <c r="I11" s="19"/>
      <c r="J11" s="14">
        <f t="shared" ca="1" si="2"/>
        <v>52</v>
      </c>
      <c r="K11" s="14">
        <f t="shared" ca="1" si="2"/>
        <v>6</v>
      </c>
      <c r="L11" s="15">
        <f t="shared" ca="1" si="3"/>
        <v>0.10344827586206896</v>
      </c>
      <c r="M11" s="19"/>
      <c r="N11" s="19">
        <f ca="1">INDIRECT("'("&amp;$A$4&amp;")'!n11")</f>
        <v>0</v>
      </c>
      <c r="O11" s="19">
        <f ca="1">INDIRECT("'("&amp;$A$4&amp;")'!o11")</f>
        <v>0</v>
      </c>
      <c r="P11" s="20" t="str">
        <f t="shared" ca="1" si="4"/>
        <v>-</v>
      </c>
      <c r="Q11" s="19"/>
      <c r="R11" s="19">
        <f ca="1">INDIRECT("'("&amp;$A$4&amp;")'!r11")</f>
        <v>7</v>
      </c>
      <c r="S11" s="19">
        <f ca="1">INDIRECT("'("&amp;$A$4&amp;")'!s11")</f>
        <v>19</v>
      </c>
      <c r="T11" s="20">
        <f t="shared" ca="1" si="5"/>
        <v>0.73076923076923073</v>
      </c>
      <c r="U11" s="19"/>
      <c r="V11" s="14">
        <f t="shared" ca="1" si="6"/>
        <v>59</v>
      </c>
      <c r="W11" s="14">
        <f t="shared" ca="1" si="7"/>
        <v>25</v>
      </c>
      <c r="X11" s="20">
        <f t="shared" ca="1" si="8"/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f ca="1">INDIRECT("'("&amp;$A$4&amp;")'!b12")</f>
        <v>18</v>
      </c>
      <c r="C12" s="19">
        <f ca="1">INDIRECT("'("&amp;$A$4&amp;")'!c12")</f>
        <v>3</v>
      </c>
      <c r="D12" s="20">
        <f t="shared" ca="1" si="0"/>
        <v>0.14285714285714285</v>
      </c>
      <c r="E12" s="19"/>
      <c r="F12" s="19">
        <f ca="1">INDIRECT("'("&amp;$A$4&amp;")'!f12")</f>
        <v>20</v>
      </c>
      <c r="G12" s="19">
        <f ca="1">INDIRECT("'("&amp;$A$4&amp;")'!g12")</f>
        <v>0</v>
      </c>
      <c r="H12" s="20">
        <f t="shared" ca="1" si="1"/>
        <v>0</v>
      </c>
      <c r="I12" s="19"/>
      <c r="J12" s="14">
        <f t="shared" ca="1" si="2"/>
        <v>38</v>
      </c>
      <c r="K12" s="14">
        <f t="shared" ca="1" si="2"/>
        <v>3</v>
      </c>
      <c r="L12" s="15">
        <f t="shared" ca="1" si="3"/>
        <v>7.3170731707317069E-2</v>
      </c>
      <c r="M12" s="19"/>
      <c r="N12" s="19">
        <f ca="1">INDIRECT("'("&amp;$A$4&amp;")'!n12")</f>
        <v>2</v>
      </c>
      <c r="O12" s="19">
        <f ca="1">INDIRECT("'("&amp;$A$4&amp;")'!o12")</f>
        <v>7</v>
      </c>
      <c r="P12" s="20">
        <f t="shared" ca="1" si="4"/>
        <v>0.77777777777777779</v>
      </c>
      <c r="Q12" s="19"/>
      <c r="R12" s="19">
        <f ca="1">INDIRECT("'("&amp;$A$4&amp;")'!r12")</f>
        <v>19</v>
      </c>
      <c r="S12" s="19">
        <f ca="1">INDIRECT("'("&amp;$A$4&amp;")'!s12")</f>
        <v>23</v>
      </c>
      <c r="T12" s="20">
        <f t="shared" ca="1" si="5"/>
        <v>0.54761904761904767</v>
      </c>
      <c r="U12" s="19"/>
      <c r="V12" s="14">
        <f t="shared" ca="1" si="6"/>
        <v>59</v>
      </c>
      <c r="W12" s="14">
        <f t="shared" ca="1" si="7"/>
        <v>33</v>
      </c>
      <c r="X12" s="20">
        <f t="shared" ca="1" si="8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f ca="1">INDIRECT("'("&amp;$A$4&amp;")'!b13")</f>
        <v>10</v>
      </c>
      <c r="C13" s="19">
        <f ca="1">INDIRECT("'("&amp;$A$4&amp;")'!c13")</f>
        <v>1</v>
      </c>
      <c r="D13" s="20">
        <f t="shared" ca="1" si="0"/>
        <v>9.0909090909090912E-2</v>
      </c>
      <c r="E13" s="19"/>
      <c r="F13" s="19">
        <f ca="1">INDIRECT("'("&amp;$A$4&amp;")'!f13")</f>
        <v>18</v>
      </c>
      <c r="G13" s="19">
        <f ca="1">INDIRECT("'("&amp;$A$4&amp;")'!g13")</f>
        <v>2</v>
      </c>
      <c r="H13" s="20">
        <f t="shared" ca="1" si="1"/>
        <v>0.1</v>
      </c>
      <c r="I13" s="19"/>
      <c r="J13" s="14">
        <f t="shared" ca="1" si="2"/>
        <v>28</v>
      </c>
      <c r="K13" s="14">
        <f t="shared" ca="1" si="2"/>
        <v>3</v>
      </c>
      <c r="L13" s="15">
        <f t="shared" ca="1" si="3"/>
        <v>9.6774193548387094E-2</v>
      </c>
      <c r="M13" s="19"/>
      <c r="N13" s="19">
        <f ca="1">INDIRECT("'("&amp;$A$4&amp;")'!n13")</f>
        <v>0</v>
      </c>
      <c r="O13" s="19">
        <f ca="1">INDIRECT("'("&amp;$A$4&amp;")'!o13")</f>
        <v>0</v>
      </c>
      <c r="P13" s="20" t="str">
        <f t="shared" ca="1" si="4"/>
        <v>-</v>
      </c>
      <c r="Q13" s="19"/>
      <c r="R13" s="19">
        <f ca="1">INDIRECT("'("&amp;$A$4&amp;")'!r13")</f>
        <v>4</v>
      </c>
      <c r="S13" s="19">
        <f ca="1">INDIRECT("'("&amp;$A$4&amp;")'!s13")</f>
        <v>9</v>
      </c>
      <c r="T13" s="20">
        <f t="shared" ca="1" si="5"/>
        <v>0.69230769230769229</v>
      </c>
      <c r="U13" s="19"/>
      <c r="V13" s="14">
        <f t="shared" ca="1" si="6"/>
        <v>32</v>
      </c>
      <c r="W13" s="14">
        <f t="shared" ca="1" si="7"/>
        <v>12</v>
      </c>
      <c r="X13" s="20">
        <f t="shared" ca="1" si="8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f ca="1">INDIRECT("'("&amp;$A$4&amp;")'!b14")</f>
        <v>7</v>
      </c>
      <c r="C14" s="19">
        <f ca="1">INDIRECT("'("&amp;$A$4&amp;")'!c14")</f>
        <v>0</v>
      </c>
      <c r="D14" s="20">
        <f t="shared" ca="1" si="0"/>
        <v>0</v>
      </c>
      <c r="E14" s="19"/>
      <c r="F14" s="19">
        <f ca="1">INDIRECT("'("&amp;$A$4&amp;")'!f14")</f>
        <v>27</v>
      </c>
      <c r="G14" s="19">
        <f ca="1">INDIRECT("'("&amp;$A$4&amp;")'!g14")</f>
        <v>3</v>
      </c>
      <c r="H14" s="20">
        <f t="shared" ca="1" si="1"/>
        <v>0.1</v>
      </c>
      <c r="I14" s="19"/>
      <c r="J14" s="14">
        <f t="shared" ca="1" si="2"/>
        <v>34</v>
      </c>
      <c r="K14" s="14">
        <f t="shared" ca="1" si="2"/>
        <v>3</v>
      </c>
      <c r="L14" s="15">
        <f t="shared" ca="1" si="3"/>
        <v>8.1081081081081086E-2</v>
      </c>
      <c r="M14" s="19"/>
      <c r="N14" s="19">
        <f ca="1">INDIRECT("'("&amp;$A$4&amp;")'!n14")</f>
        <v>5</v>
      </c>
      <c r="O14" s="19">
        <f ca="1">INDIRECT("'("&amp;$A$4&amp;")'!o14")</f>
        <v>4</v>
      </c>
      <c r="P14" s="20">
        <f t="shared" ca="1" si="4"/>
        <v>0.44444444444444442</v>
      </c>
      <c r="Q14" s="19"/>
      <c r="R14" s="19">
        <f ca="1">INDIRECT("'("&amp;$A$4&amp;")'!r14")</f>
        <v>12</v>
      </c>
      <c r="S14" s="19">
        <f ca="1">INDIRECT("'("&amp;$A$4&amp;")'!s14")</f>
        <v>12</v>
      </c>
      <c r="T14" s="20">
        <f t="shared" ca="1" si="5"/>
        <v>0.5</v>
      </c>
      <c r="U14" s="19"/>
      <c r="V14" s="14">
        <f t="shared" ca="1" si="6"/>
        <v>51</v>
      </c>
      <c r="W14" s="14">
        <f t="shared" ca="1" si="7"/>
        <v>19</v>
      </c>
      <c r="X14" s="20">
        <f t="shared" ca="1" si="8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f ca="1">INDIRECT("'("&amp;$A$4&amp;")'!b15")</f>
        <v>18</v>
      </c>
      <c r="C15" s="19">
        <f ca="1">INDIRECT("'("&amp;$A$4&amp;")'!c15")</f>
        <v>1</v>
      </c>
      <c r="D15" s="20">
        <f t="shared" ca="1" si="0"/>
        <v>5.2631578947368418E-2</v>
      </c>
      <c r="E15" s="19"/>
      <c r="F15" s="19">
        <f ca="1">INDIRECT("'("&amp;$A$4&amp;")'!f15")</f>
        <v>19</v>
      </c>
      <c r="G15" s="19">
        <f ca="1">INDIRECT("'("&amp;$A$4&amp;")'!g15")</f>
        <v>2</v>
      </c>
      <c r="H15" s="20">
        <f t="shared" ca="1" si="1"/>
        <v>9.5238095238095233E-2</v>
      </c>
      <c r="I15" s="19"/>
      <c r="J15" s="14">
        <f t="shared" ca="1" si="2"/>
        <v>37</v>
      </c>
      <c r="K15" s="14">
        <f t="shared" ca="1" si="2"/>
        <v>3</v>
      </c>
      <c r="L15" s="15">
        <f t="shared" ca="1" si="3"/>
        <v>7.4999999999999997E-2</v>
      </c>
      <c r="M15" s="19"/>
      <c r="N15" s="19">
        <f ca="1">INDIRECT("'("&amp;$A$4&amp;")'!n15")</f>
        <v>0</v>
      </c>
      <c r="O15" s="19">
        <f ca="1">INDIRECT("'("&amp;$A$4&amp;")'!o15")</f>
        <v>0</v>
      </c>
      <c r="P15" s="20" t="str">
        <f t="shared" ca="1" si="4"/>
        <v>-</v>
      </c>
      <c r="Q15" s="19"/>
      <c r="R15" s="19">
        <f ca="1">INDIRECT("'("&amp;$A$4&amp;")'!r15")</f>
        <v>19</v>
      </c>
      <c r="S15" s="19">
        <f ca="1">INDIRECT("'("&amp;$A$4&amp;")'!s15")</f>
        <v>19</v>
      </c>
      <c r="T15" s="20">
        <f t="shared" ca="1" si="5"/>
        <v>0.5</v>
      </c>
      <c r="U15" s="19"/>
      <c r="V15" s="14">
        <f t="shared" ca="1" si="6"/>
        <v>56</v>
      </c>
      <c r="W15" s="14">
        <f t="shared" ca="1" si="7"/>
        <v>22</v>
      </c>
      <c r="X15" s="20">
        <f t="shared" ca="1" si="8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f ca="1">INDIRECT("'("&amp;$A$4&amp;")'!b16")</f>
        <v>21</v>
      </c>
      <c r="C16" s="19">
        <f ca="1">INDIRECT("'("&amp;$A$4&amp;")'!c16")</f>
        <v>1</v>
      </c>
      <c r="D16" s="20">
        <f t="shared" ca="1" si="0"/>
        <v>4.5454545454545456E-2</v>
      </c>
      <c r="E16" s="19"/>
      <c r="F16" s="19">
        <f ca="1">INDIRECT("'("&amp;$A$4&amp;")'!f16")</f>
        <v>10</v>
      </c>
      <c r="G16" s="19">
        <f ca="1">INDIRECT("'("&amp;$A$4&amp;")'!g16")</f>
        <v>1</v>
      </c>
      <c r="H16" s="20">
        <f t="shared" ca="1" si="1"/>
        <v>9.0909090909090912E-2</v>
      </c>
      <c r="I16" s="19"/>
      <c r="J16" s="14">
        <f t="shared" ca="1" si="2"/>
        <v>31</v>
      </c>
      <c r="K16" s="14">
        <f t="shared" ca="1" si="2"/>
        <v>2</v>
      </c>
      <c r="L16" s="15">
        <f t="shared" ca="1" si="3"/>
        <v>6.0606060606060608E-2</v>
      </c>
      <c r="M16" s="19"/>
      <c r="N16" s="19">
        <f ca="1">INDIRECT("'("&amp;$A$4&amp;")'!n16")</f>
        <v>0</v>
      </c>
      <c r="O16" s="19">
        <f ca="1">INDIRECT("'("&amp;$A$4&amp;")'!o16")</f>
        <v>1</v>
      </c>
      <c r="P16" s="20">
        <f t="shared" ca="1" si="4"/>
        <v>1</v>
      </c>
      <c r="Q16" s="19"/>
      <c r="R16" s="19">
        <f ca="1">INDIRECT("'("&amp;$A$4&amp;")'!r16")</f>
        <v>8</v>
      </c>
      <c r="S16" s="19">
        <f ca="1">INDIRECT("'("&amp;$A$4&amp;")'!s16")</f>
        <v>5</v>
      </c>
      <c r="T16" s="20">
        <f t="shared" ca="1" si="5"/>
        <v>0.38461538461538464</v>
      </c>
      <c r="U16" s="19"/>
      <c r="V16" s="14">
        <f t="shared" ca="1" si="6"/>
        <v>39</v>
      </c>
      <c r="W16" s="14">
        <f t="shared" ca="1" si="7"/>
        <v>8</v>
      </c>
      <c r="X16" s="20">
        <f t="shared" ca="1" si="8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f ca="1">INDIRECT("'("&amp;$A$4&amp;")'!b17")</f>
        <v>3</v>
      </c>
      <c r="C17" s="19">
        <f ca="1">INDIRECT("'("&amp;$A$4&amp;")'!c17")</f>
        <v>2</v>
      </c>
      <c r="D17" s="20">
        <f t="shared" ca="1" si="0"/>
        <v>0.4</v>
      </c>
      <c r="E17" s="19"/>
      <c r="F17" s="19">
        <f ca="1">INDIRECT("'("&amp;$A$4&amp;")'!f17")</f>
        <v>23</v>
      </c>
      <c r="G17" s="19">
        <f ca="1">INDIRECT("'("&amp;$A$4&amp;")'!g17")</f>
        <v>0</v>
      </c>
      <c r="H17" s="20">
        <f t="shared" ca="1" si="1"/>
        <v>0</v>
      </c>
      <c r="I17" s="19"/>
      <c r="J17" s="14">
        <f t="shared" ca="1" si="2"/>
        <v>26</v>
      </c>
      <c r="K17" s="14">
        <f t="shared" ca="1" si="2"/>
        <v>2</v>
      </c>
      <c r="L17" s="15">
        <f t="shared" ca="1" si="3"/>
        <v>7.1428571428571425E-2</v>
      </c>
      <c r="M17" s="19"/>
      <c r="N17" s="19">
        <f ca="1">INDIRECT("'("&amp;$A$4&amp;")'!n17")</f>
        <v>2</v>
      </c>
      <c r="O17" s="19">
        <f ca="1">INDIRECT("'("&amp;$A$4&amp;")'!o17")</f>
        <v>1</v>
      </c>
      <c r="P17" s="20">
        <f t="shared" ca="1" si="4"/>
        <v>0.33333333333333331</v>
      </c>
      <c r="Q17" s="19"/>
      <c r="R17" s="19">
        <f ca="1">INDIRECT("'("&amp;$A$4&amp;")'!r17")</f>
        <v>3</v>
      </c>
      <c r="S17" s="19">
        <f ca="1">INDIRECT("'("&amp;$A$4&amp;")'!s17")</f>
        <v>4</v>
      </c>
      <c r="T17" s="20">
        <f t="shared" ca="1" si="5"/>
        <v>0.5714285714285714</v>
      </c>
      <c r="U17" s="19"/>
      <c r="V17" s="14">
        <f t="shared" ca="1" si="6"/>
        <v>31</v>
      </c>
      <c r="W17" s="14">
        <f t="shared" ca="1" si="7"/>
        <v>7</v>
      </c>
      <c r="X17" s="20">
        <f t="shared" ca="1" si="8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f ca="1">INDIRECT("'("&amp;$A$4&amp;")'!b18")</f>
        <v>1</v>
      </c>
      <c r="C18" s="19">
        <f ca="1">INDIRECT("'("&amp;$A$4&amp;")'!c18")</f>
        <v>0</v>
      </c>
      <c r="D18" s="20">
        <f t="shared" ca="1" si="0"/>
        <v>0</v>
      </c>
      <c r="E18" s="19"/>
      <c r="F18" s="19">
        <f ca="1">INDIRECT("'("&amp;$A$4&amp;")'!f18")</f>
        <v>31</v>
      </c>
      <c r="G18" s="19">
        <f ca="1">INDIRECT("'("&amp;$A$4&amp;")'!g18")</f>
        <v>3</v>
      </c>
      <c r="H18" s="20">
        <f t="shared" ca="1" si="1"/>
        <v>8.8235294117647065E-2</v>
      </c>
      <c r="I18" s="19"/>
      <c r="J18" s="14">
        <f t="shared" ca="1" si="2"/>
        <v>32</v>
      </c>
      <c r="K18" s="14">
        <f t="shared" ca="1" si="2"/>
        <v>3</v>
      </c>
      <c r="L18" s="15">
        <f t="shared" ca="1" si="3"/>
        <v>8.5714285714285715E-2</v>
      </c>
      <c r="M18" s="19"/>
      <c r="N18" s="19">
        <f ca="1">INDIRECT("'("&amp;$A$4&amp;")'!n18")</f>
        <v>0</v>
      </c>
      <c r="O18" s="19">
        <f ca="1">INDIRECT("'("&amp;$A$4&amp;")'!o18")</f>
        <v>0</v>
      </c>
      <c r="P18" s="20" t="str">
        <f t="shared" ca="1" si="4"/>
        <v>-</v>
      </c>
      <c r="Q18" s="19"/>
      <c r="R18" s="19">
        <f ca="1">INDIRECT("'("&amp;$A$4&amp;")'!r18")</f>
        <v>0</v>
      </c>
      <c r="S18" s="19">
        <f ca="1">INDIRECT("'("&amp;$A$4&amp;")'!s18")</f>
        <v>1</v>
      </c>
      <c r="T18" s="20">
        <f t="shared" ca="1" si="5"/>
        <v>1</v>
      </c>
      <c r="U18" s="19"/>
      <c r="V18" s="14">
        <f t="shared" ca="1" si="6"/>
        <v>32</v>
      </c>
      <c r="W18" s="14">
        <f t="shared" ca="1" si="7"/>
        <v>4</v>
      </c>
      <c r="X18" s="20">
        <f t="shared" ca="1" si="8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f ca="1">INDIRECT("'("&amp;$A$4&amp;")'!b19")</f>
        <v>3</v>
      </c>
      <c r="C19" s="19">
        <f ca="1">INDIRECT("'("&amp;$A$4&amp;")'!c19")</f>
        <v>0</v>
      </c>
      <c r="D19" s="20">
        <f t="shared" ca="1" si="0"/>
        <v>0</v>
      </c>
      <c r="E19" s="19"/>
      <c r="F19" s="19">
        <f ca="1">INDIRECT("'("&amp;$A$4&amp;")'!f19")</f>
        <v>26</v>
      </c>
      <c r="G19" s="19">
        <f ca="1">INDIRECT("'("&amp;$A$4&amp;")'!g19")</f>
        <v>2</v>
      </c>
      <c r="H19" s="20">
        <f t="shared" ca="1" si="1"/>
        <v>7.1428571428571425E-2</v>
      </c>
      <c r="I19" s="19"/>
      <c r="J19" s="14">
        <f t="shared" ca="1" si="2"/>
        <v>29</v>
      </c>
      <c r="K19" s="14">
        <f t="shared" ca="1" si="2"/>
        <v>2</v>
      </c>
      <c r="L19" s="15">
        <f t="shared" ca="1" si="3"/>
        <v>6.4516129032258063E-2</v>
      </c>
      <c r="M19" s="19"/>
      <c r="N19" s="19">
        <f ca="1">INDIRECT("'("&amp;$A$4&amp;")'!n19")</f>
        <v>0</v>
      </c>
      <c r="O19" s="19">
        <f ca="1">INDIRECT("'("&amp;$A$4&amp;")'!o19")</f>
        <v>4</v>
      </c>
      <c r="P19" s="20">
        <f t="shared" ca="1" si="4"/>
        <v>1</v>
      </c>
      <c r="Q19" s="19"/>
      <c r="R19" s="19">
        <f ca="1">INDIRECT("'("&amp;$A$4&amp;")'!r19")</f>
        <v>4</v>
      </c>
      <c r="S19" s="19">
        <f ca="1">INDIRECT("'("&amp;$A$4&amp;")'!s19")</f>
        <v>10</v>
      </c>
      <c r="T19" s="20">
        <f t="shared" ca="1" si="5"/>
        <v>0.7142857142857143</v>
      </c>
      <c r="U19" s="19"/>
      <c r="V19" s="14">
        <f t="shared" ca="1" si="6"/>
        <v>33</v>
      </c>
      <c r="W19" s="14">
        <f t="shared" ca="1" si="7"/>
        <v>16</v>
      </c>
      <c r="X19" s="20">
        <f t="shared" ca="1" si="8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f ca="1">INDIRECT("'("&amp;$A$4&amp;")'!b20")</f>
        <v>27</v>
      </c>
      <c r="C20" s="19">
        <f ca="1">INDIRECT("'("&amp;$A$4&amp;")'!c20")</f>
        <v>8</v>
      </c>
      <c r="D20" s="20">
        <f t="shared" ca="1" si="0"/>
        <v>0.22857142857142856</v>
      </c>
      <c r="E20" s="19"/>
      <c r="F20" s="19">
        <f ca="1">INDIRECT("'("&amp;$A$4&amp;")'!f20")</f>
        <v>97</v>
      </c>
      <c r="G20" s="19">
        <f ca="1">INDIRECT("'("&amp;$A$4&amp;")'!g20")</f>
        <v>11</v>
      </c>
      <c r="H20" s="20">
        <f t="shared" ca="1" si="1"/>
        <v>0.10185185185185185</v>
      </c>
      <c r="I20" s="19"/>
      <c r="J20" s="14">
        <f t="shared" ca="1" si="2"/>
        <v>124</v>
      </c>
      <c r="K20" s="14">
        <f t="shared" ca="1" si="2"/>
        <v>19</v>
      </c>
      <c r="L20" s="15">
        <f t="shared" ca="1" si="3"/>
        <v>0.13286713286713286</v>
      </c>
      <c r="M20" s="19"/>
      <c r="N20" s="19">
        <f ca="1">INDIRECT("'("&amp;$A$4&amp;")'!n20")</f>
        <v>1</v>
      </c>
      <c r="O20" s="19">
        <f ca="1">INDIRECT("'("&amp;$A$4&amp;")'!o20")</f>
        <v>1</v>
      </c>
      <c r="P20" s="20">
        <f t="shared" ca="1" si="4"/>
        <v>0.5</v>
      </c>
      <c r="Q20" s="19"/>
      <c r="R20" s="19">
        <f ca="1">INDIRECT("'("&amp;$A$4&amp;")'!r20")</f>
        <v>19</v>
      </c>
      <c r="S20" s="19">
        <f ca="1">INDIRECT("'("&amp;$A$4&amp;")'!s20")</f>
        <v>7</v>
      </c>
      <c r="T20" s="20">
        <f t="shared" ca="1" si="5"/>
        <v>0.26923076923076922</v>
      </c>
      <c r="U20" s="19"/>
      <c r="V20" s="14">
        <f t="shared" ca="1" si="6"/>
        <v>144</v>
      </c>
      <c r="W20" s="14">
        <f t="shared" ca="1" si="7"/>
        <v>27</v>
      </c>
      <c r="X20" s="20">
        <f t="shared" ca="1" si="8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f ca="1">INDIRECT("'("&amp;$A$4&amp;")'!b21")</f>
        <v>20</v>
      </c>
      <c r="C21" s="19">
        <f ca="1">INDIRECT("'("&amp;$A$4&amp;")'!c21")</f>
        <v>1</v>
      </c>
      <c r="D21" s="20">
        <f t="shared" ca="1" si="0"/>
        <v>4.7619047619047616E-2</v>
      </c>
      <c r="E21" s="19"/>
      <c r="F21" s="19">
        <f ca="1">INDIRECT("'("&amp;$A$4&amp;")'!f21")</f>
        <v>72</v>
      </c>
      <c r="G21" s="19">
        <f ca="1">INDIRECT("'("&amp;$A$4&amp;")'!g21")</f>
        <v>6</v>
      </c>
      <c r="H21" s="20">
        <f t="shared" ca="1" si="1"/>
        <v>7.6923076923076927E-2</v>
      </c>
      <c r="I21" s="19"/>
      <c r="J21" s="14">
        <f t="shared" ca="1" si="2"/>
        <v>92</v>
      </c>
      <c r="K21" s="14">
        <f t="shared" ca="1" si="2"/>
        <v>7</v>
      </c>
      <c r="L21" s="15">
        <f t="shared" ca="1" si="3"/>
        <v>7.0707070707070704E-2</v>
      </c>
      <c r="M21" s="19"/>
      <c r="N21" s="19">
        <f ca="1">INDIRECT("'("&amp;$A$4&amp;")'!n21")</f>
        <v>4</v>
      </c>
      <c r="O21" s="19">
        <f ca="1">INDIRECT("'("&amp;$A$4&amp;")'!o21")</f>
        <v>0</v>
      </c>
      <c r="P21" s="20">
        <f t="shared" ca="1" si="4"/>
        <v>0</v>
      </c>
      <c r="Q21" s="19"/>
      <c r="R21" s="19">
        <f ca="1">INDIRECT("'("&amp;$A$4&amp;")'!r21")</f>
        <v>10</v>
      </c>
      <c r="S21" s="19">
        <f ca="1">INDIRECT("'("&amp;$A$4&amp;")'!s21")</f>
        <v>15</v>
      </c>
      <c r="T21" s="20">
        <f t="shared" ca="1" si="5"/>
        <v>0.6</v>
      </c>
      <c r="U21" s="19"/>
      <c r="V21" s="14">
        <f t="shared" ca="1" si="6"/>
        <v>106</v>
      </c>
      <c r="W21" s="14">
        <f t="shared" ca="1" si="7"/>
        <v>22</v>
      </c>
      <c r="X21" s="20">
        <f t="shared" ca="1" si="8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f ca="1">INDIRECT("'("&amp;$A$4&amp;")'!b22")</f>
        <v>15</v>
      </c>
      <c r="C22" s="19">
        <f ca="1">INDIRECT("'("&amp;$A$4&amp;")'!c22")</f>
        <v>7</v>
      </c>
      <c r="D22" s="20">
        <f t="shared" ca="1" si="0"/>
        <v>0.31818181818181818</v>
      </c>
      <c r="E22" s="19"/>
      <c r="F22" s="19">
        <f ca="1">INDIRECT("'("&amp;$A$4&amp;")'!f22")</f>
        <v>25</v>
      </c>
      <c r="G22" s="19">
        <f ca="1">INDIRECT("'("&amp;$A$4&amp;")'!g22")</f>
        <v>2</v>
      </c>
      <c r="H22" s="20">
        <f t="shared" ca="1" si="1"/>
        <v>7.407407407407407E-2</v>
      </c>
      <c r="I22" s="19"/>
      <c r="J22" s="14">
        <f t="shared" ca="1" si="2"/>
        <v>40</v>
      </c>
      <c r="K22" s="14">
        <f t="shared" ca="1" si="2"/>
        <v>9</v>
      </c>
      <c r="L22" s="15">
        <f t="shared" ca="1" si="3"/>
        <v>0.18367346938775511</v>
      </c>
      <c r="M22" s="19"/>
      <c r="N22" s="19">
        <f ca="1">INDIRECT("'("&amp;$A$4&amp;")'!n22")</f>
        <v>0</v>
      </c>
      <c r="O22" s="19">
        <f ca="1">INDIRECT("'("&amp;$A$4&amp;")'!o22")</f>
        <v>0</v>
      </c>
      <c r="P22" s="20" t="str">
        <f t="shared" ca="1" si="4"/>
        <v>-</v>
      </c>
      <c r="Q22" s="19"/>
      <c r="R22" s="19">
        <f ca="1">INDIRECT("'("&amp;$A$4&amp;")'!r22")</f>
        <v>10</v>
      </c>
      <c r="S22" s="19">
        <f ca="1">INDIRECT("'("&amp;$A$4&amp;")'!s22")</f>
        <v>8</v>
      </c>
      <c r="T22" s="20">
        <f t="shared" ca="1" si="5"/>
        <v>0.44444444444444442</v>
      </c>
      <c r="U22" s="19"/>
      <c r="V22" s="14">
        <f t="shared" ca="1" si="6"/>
        <v>50</v>
      </c>
      <c r="W22" s="14">
        <f t="shared" ca="1" si="7"/>
        <v>17</v>
      </c>
      <c r="X22" s="20">
        <f t="shared" ca="1" si="8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f ca="1">INDIRECT("'("&amp;$A$4&amp;")'!b23")</f>
        <v>6</v>
      </c>
      <c r="C23" s="19">
        <f ca="1">INDIRECT("'("&amp;$A$4&amp;")'!c23")</f>
        <v>2</v>
      </c>
      <c r="D23" s="20">
        <f t="shared" ca="1" si="0"/>
        <v>0.25</v>
      </c>
      <c r="E23" s="19"/>
      <c r="F23" s="19">
        <f ca="1">INDIRECT("'("&amp;$A$4&amp;")'!f23")</f>
        <v>21</v>
      </c>
      <c r="G23" s="19">
        <f ca="1">INDIRECT("'("&amp;$A$4&amp;")'!g23")</f>
        <v>1</v>
      </c>
      <c r="H23" s="20">
        <f t="shared" ca="1" si="1"/>
        <v>4.5454545454545456E-2</v>
      </c>
      <c r="I23" s="19"/>
      <c r="J23" s="14">
        <f t="shared" ca="1" si="2"/>
        <v>27</v>
      </c>
      <c r="K23" s="14">
        <f t="shared" ca="1" si="2"/>
        <v>3</v>
      </c>
      <c r="L23" s="15">
        <f t="shared" ca="1" si="3"/>
        <v>0.1</v>
      </c>
      <c r="M23" s="19"/>
      <c r="N23" s="19">
        <f ca="1">INDIRECT("'("&amp;$A$4&amp;")'!n23")</f>
        <v>3</v>
      </c>
      <c r="O23" s="19">
        <f ca="1">INDIRECT("'("&amp;$A$4&amp;")'!o23")</f>
        <v>1</v>
      </c>
      <c r="P23" s="20">
        <f t="shared" ca="1" si="4"/>
        <v>0.25</v>
      </c>
      <c r="Q23" s="19"/>
      <c r="R23" s="19">
        <f ca="1">INDIRECT("'("&amp;$A$4&amp;")'!r23")</f>
        <v>4</v>
      </c>
      <c r="S23" s="19">
        <f ca="1">INDIRECT("'("&amp;$A$4&amp;")'!s23")</f>
        <v>19</v>
      </c>
      <c r="T23" s="20">
        <f t="shared" ca="1" si="5"/>
        <v>0.82608695652173914</v>
      </c>
      <c r="U23" s="19"/>
      <c r="V23" s="14">
        <f t="shared" ca="1" si="6"/>
        <v>34</v>
      </c>
      <c r="W23" s="14">
        <f t="shared" ca="1" si="7"/>
        <v>23</v>
      </c>
      <c r="X23" s="20">
        <f t="shared" ca="1" si="8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f ca="1">INDIRECT("'("&amp;$A$4&amp;")'!b24")</f>
        <v>22</v>
      </c>
      <c r="C24" s="19">
        <f ca="1">INDIRECT("'("&amp;$A$4&amp;")'!c24")</f>
        <v>0</v>
      </c>
      <c r="D24" s="20">
        <f t="shared" ca="1" si="0"/>
        <v>0</v>
      </c>
      <c r="E24" s="19"/>
      <c r="F24" s="19">
        <f ca="1">INDIRECT("'("&amp;$A$4&amp;")'!f24")</f>
        <v>88</v>
      </c>
      <c r="G24" s="19">
        <f ca="1">INDIRECT("'("&amp;$A$4&amp;")'!g24")</f>
        <v>0</v>
      </c>
      <c r="H24" s="20">
        <f t="shared" ca="1" si="1"/>
        <v>0</v>
      </c>
      <c r="I24" s="19"/>
      <c r="J24" s="14">
        <f t="shared" ca="1" si="2"/>
        <v>110</v>
      </c>
      <c r="K24" s="14">
        <f t="shared" ca="1" si="2"/>
        <v>0</v>
      </c>
      <c r="L24" s="15">
        <f t="shared" ca="1" si="3"/>
        <v>0</v>
      </c>
      <c r="M24" s="19"/>
      <c r="N24" s="19">
        <f ca="1">INDIRECT("'("&amp;$A$4&amp;")'!n24")</f>
        <v>1</v>
      </c>
      <c r="O24" s="19">
        <f ca="1">INDIRECT("'("&amp;$A$4&amp;")'!o24")</f>
        <v>2</v>
      </c>
      <c r="P24" s="20">
        <f t="shared" ca="1" si="4"/>
        <v>0.66666666666666663</v>
      </c>
      <c r="Q24" s="19"/>
      <c r="R24" s="19">
        <f ca="1">INDIRECT("'("&amp;$A$4&amp;")'!r24")</f>
        <v>22</v>
      </c>
      <c r="S24" s="19">
        <f ca="1">INDIRECT("'("&amp;$A$4&amp;")'!s24")</f>
        <v>39</v>
      </c>
      <c r="T24" s="20">
        <f t="shared" ca="1" si="5"/>
        <v>0.63934426229508201</v>
      </c>
      <c r="U24" s="19"/>
      <c r="V24" s="14">
        <f t="shared" ca="1" si="6"/>
        <v>133</v>
      </c>
      <c r="W24" s="14">
        <f t="shared" ca="1" si="7"/>
        <v>41</v>
      </c>
      <c r="X24" s="20">
        <f t="shared" ca="1" si="8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f ca="1">INDIRECT("'("&amp;$A$4&amp;")'!b25")</f>
        <v>16</v>
      </c>
      <c r="C25" s="19">
        <f ca="1">INDIRECT("'("&amp;$A$4&amp;")'!c25")</f>
        <v>19</v>
      </c>
      <c r="D25" s="20">
        <f t="shared" ca="1" si="0"/>
        <v>0.54285714285714282</v>
      </c>
      <c r="E25" s="19"/>
      <c r="F25" s="19">
        <f ca="1">INDIRECT("'("&amp;$A$4&amp;")'!f25")</f>
        <v>32</v>
      </c>
      <c r="G25" s="19">
        <f ca="1">INDIRECT("'("&amp;$A$4&amp;")'!g25")</f>
        <v>6</v>
      </c>
      <c r="H25" s="20">
        <f t="shared" ca="1" si="1"/>
        <v>0.15789473684210525</v>
      </c>
      <c r="I25" s="19"/>
      <c r="J25" s="14">
        <f t="shared" ca="1" si="2"/>
        <v>48</v>
      </c>
      <c r="K25" s="14">
        <f t="shared" ca="1" si="2"/>
        <v>25</v>
      </c>
      <c r="L25" s="15">
        <f t="shared" ca="1" si="3"/>
        <v>0.34246575342465752</v>
      </c>
      <c r="M25" s="19"/>
      <c r="N25" s="19">
        <f ca="1">INDIRECT("'("&amp;$A$4&amp;")'!n25")</f>
        <v>2</v>
      </c>
      <c r="O25" s="19">
        <f ca="1">INDIRECT("'("&amp;$A$4&amp;")'!o25")</f>
        <v>4</v>
      </c>
      <c r="P25" s="20">
        <f t="shared" ca="1" si="4"/>
        <v>0.66666666666666663</v>
      </c>
      <c r="Q25" s="19"/>
      <c r="R25" s="19">
        <f ca="1">INDIRECT("'("&amp;$A$4&amp;")'!r25")</f>
        <v>6</v>
      </c>
      <c r="S25" s="19">
        <f ca="1">INDIRECT("'("&amp;$A$4&amp;")'!s25")</f>
        <v>3</v>
      </c>
      <c r="T25" s="20">
        <f t="shared" ca="1" si="5"/>
        <v>0.33333333333333331</v>
      </c>
      <c r="U25" s="19"/>
      <c r="V25" s="14">
        <f t="shared" ca="1" si="6"/>
        <v>56</v>
      </c>
      <c r="W25" s="14">
        <f t="shared" ca="1" si="7"/>
        <v>32</v>
      </c>
      <c r="X25" s="20">
        <f t="shared" ca="1" si="8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f ca="1">INDIRECT("'("&amp;$A$4&amp;")'!b26")</f>
        <v>53</v>
      </c>
      <c r="C26" s="19">
        <f ca="1">INDIRECT("'("&amp;$A$4&amp;")'!c26")</f>
        <v>3</v>
      </c>
      <c r="D26" s="20">
        <f t="shared" ca="1" si="0"/>
        <v>5.3571428571428568E-2</v>
      </c>
      <c r="E26" s="19"/>
      <c r="F26" s="19">
        <f ca="1">INDIRECT("'("&amp;$A$4&amp;")'!f26")</f>
        <v>90</v>
      </c>
      <c r="G26" s="19">
        <f ca="1">INDIRECT("'("&amp;$A$4&amp;")'!g26")</f>
        <v>9</v>
      </c>
      <c r="H26" s="20">
        <f t="shared" ca="1" si="1"/>
        <v>9.0909090909090912E-2</v>
      </c>
      <c r="I26" s="19"/>
      <c r="J26" s="14">
        <f t="shared" ca="1" si="2"/>
        <v>143</v>
      </c>
      <c r="K26" s="14">
        <f t="shared" ca="1" si="2"/>
        <v>12</v>
      </c>
      <c r="L26" s="15">
        <f t="shared" ca="1" si="3"/>
        <v>7.7419354838709681E-2</v>
      </c>
      <c r="M26" s="19"/>
      <c r="N26" s="19">
        <f ca="1">INDIRECT("'("&amp;$A$4&amp;")'!n26")</f>
        <v>0</v>
      </c>
      <c r="O26" s="19">
        <f ca="1">INDIRECT("'("&amp;$A$4&amp;")'!o26")</f>
        <v>2</v>
      </c>
      <c r="P26" s="20">
        <f t="shared" ca="1" si="4"/>
        <v>1</v>
      </c>
      <c r="Q26" s="19"/>
      <c r="R26" s="19">
        <f ca="1">INDIRECT("'("&amp;$A$4&amp;")'!r26")</f>
        <v>22</v>
      </c>
      <c r="S26" s="19">
        <f ca="1">INDIRECT("'("&amp;$A$4&amp;")'!s26")</f>
        <v>30</v>
      </c>
      <c r="T26" s="20">
        <f t="shared" ca="1" si="5"/>
        <v>0.57692307692307687</v>
      </c>
      <c r="U26" s="19"/>
      <c r="V26" s="14">
        <f t="shared" ca="1" si="6"/>
        <v>165</v>
      </c>
      <c r="W26" s="14">
        <f t="shared" ca="1" si="7"/>
        <v>44</v>
      </c>
      <c r="X26" s="20">
        <f t="shared" ca="1" si="8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f ca="1">INDIRECT("'("&amp;$A$4&amp;")'!b27")</f>
        <v>18</v>
      </c>
      <c r="C27" s="19">
        <f ca="1">INDIRECT("'("&amp;$A$4&amp;")'!c27")</f>
        <v>3</v>
      </c>
      <c r="D27" s="20">
        <f t="shared" ca="1" si="0"/>
        <v>0.14285714285714285</v>
      </c>
      <c r="E27" s="19"/>
      <c r="F27" s="19">
        <f ca="1">INDIRECT("'("&amp;$A$4&amp;")'!f27")</f>
        <v>34</v>
      </c>
      <c r="G27" s="19">
        <f ca="1">INDIRECT("'("&amp;$A$4&amp;")'!g27")</f>
        <v>3</v>
      </c>
      <c r="H27" s="20">
        <f t="shared" ca="1" si="1"/>
        <v>8.1081081081081086E-2</v>
      </c>
      <c r="I27" s="19"/>
      <c r="J27" s="14">
        <f t="shared" ca="1" si="2"/>
        <v>52</v>
      </c>
      <c r="K27" s="14">
        <f t="shared" ca="1" si="2"/>
        <v>6</v>
      </c>
      <c r="L27" s="15">
        <f t="shared" ca="1" si="3"/>
        <v>0.10344827586206896</v>
      </c>
      <c r="M27" s="19"/>
      <c r="N27" s="19">
        <f ca="1">INDIRECT("'("&amp;$A$4&amp;")'!n27")</f>
        <v>1</v>
      </c>
      <c r="O27" s="19">
        <f ca="1">INDIRECT("'("&amp;$A$4&amp;")'!o27")</f>
        <v>1</v>
      </c>
      <c r="P27" s="20">
        <f t="shared" ca="1" si="4"/>
        <v>0.5</v>
      </c>
      <c r="Q27" s="19"/>
      <c r="R27" s="19">
        <f ca="1">INDIRECT("'("&amp;$A$4&amp;")'!r27")</f>
        <v>12</v>
      </c>
      <c r="S27" s="19">
        <f ca="1">INDIRECT("'("&amp;$A$4&amp;")'!s27")</f>
        <v>2</v>
      </c>
      <c r="T27" s="20">
        <f t="shared" ca="1" si="5"/>
        <v>0.14285714285714285</v>
      </c>
      <c r="U27" s="19"/>
      <c r="V27" s="14">
        <f t="shared" ca="1" si="6"/>
        <v>65</v>
      </c>
      <c r="W27" s="14">
        <f t="shared" ca="1" si="7"/>
        <v>9</v>
      </c>
      <c r="X27" s="20">
        <f t="shared" ca="1" si="8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f ca="1">INDIRECT("'("&amp;$A$4&amp;")'!b28")</f>
        <v>36</v>
      </c>
      <c r="C28" s="19">
        <f ca="1">INDIRECT("'("&amp;$A$4&amp;")'!c28")</f>
        <v>1</v>
      </c>
      <c r="D28" s="20">
        <f t="shared" ca="1" si="0"/>
        <v>2.7027027027027029E-2</v>
      </c>
      <c r="E28" s="19"/>
      <c r="F28" s="19">
        <f ca="1">INDIRECT("'("&amp;$A$4&amp;")'!f28")</f>
        <v>31</v>
      </c>
      <c r="G28" s="19">
        <f ca="1">INDIRECT("'("&amp;$A$4&amp;")'!g28")</f>
        <v>4</v>
      </c>
      <c r="H28" s="20">
        <f t="shared" ca="1" si="1"/>
        <v>0.11428571428571428</v>
      </c>
      <c r="I28" s="19"/>
      <c r="J28" s="14">
        <f t="shared" ca="1" si="2"/>
        <v>67</v>
      </c>
      <c r="K28" s="14">
        <f t="shared" ca="1" si="2"/>
        <v>5</v>
      </c>
      <c r="L28" s="15">
        <f t="shared" ca="1" si="3"/>
        <v>6.9444444444444448E-2</v>
      </c>
      <c r="M28" s="19"/>
      <c r="N28" s="19">
        <f ca="1">INDIRECT("'("&amp;$A$4&amp;")'!n28")</f>
        <v>0</v>
      </c>
      <c r="O28" s="19">
        <f ca="1">INDIRECT("'("&amp;$A$4&amp;")'!o28")</f>
        <v>0</v>
      </c>
      <c r="P28" s="20" t="str">
        <f t="shared" ca="1" si="4"/>
        <v>-</v>
      </c>
      <c r="Q28" s="19"/>
      <c r="R28" s="19">
        <f ca="1">INDIRECT("'("&amp;$A$4&amp;")'!r28")</f>
        <v>9</v>
      </c>
      <c r="S28" s="19">
        <f ca="1">INDIRECT("'("&amp;$A$4&amp;")'!s28")</f>
        <v>11</v>
      </c>
      <c r="T28" s="20">
        <f t="shared" ca="1" si="5"/>
        <v>0.55000000000000004</v>
      </c>
      <c r="U28" s="19"/>
      <c r="V28" s="14">
        <f t="shared" ca="1" si="6"/>
        <v>76</v>
      </c>
      <c r="W28" s="14">
        <f t="shared" ca="1" si="7"/>
        <v>16</v>
      </c>
      <c r="X28" s="20">
        <f t="shared" ca="1" si="8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f ca="1">INDIRECT("'("&amp;$A$4&amp;")'!b29")</f>
        <v>22</v>
      </c>
      <c r="C29" s="19">
        <f ca="1">INDIRECT("'("&amp;$A$4&amp;")'!c29")</f>
        <v>0</v>
      </c>
      <c r="D29" s="20">
        <f t="shared" ca="1" si="0"/>
        <v>0</v>
      </c>
      <c r="E29" s="19"/>
      <c r="F29" s="19">
        <f ca="1">INDIRECT("'("&amp;$A$4&amp;")'!f29")</f>
        <v>43</v>
      </c>
      <c r="G29" s="19">
        <f ca="1">INDIRECT("'("&amp;$A$4&amp;")'!g29")</f>
        <v>3</v>
      </c>
      <c r="H29" s="20">
        <f t="shared" ca="1" si="1"/>
        <v>6.5217391304347824E-2</v>
      </c>
      <c r="I29" s="19"/>
      <c r="J29" s="14">
        <f t="shared" ca="1" si="2"/>
        <v>65</v>
      </c>
      <c r="K29" s="14">
        <f t="shared" ca="1" si="2"/>
        <v>3</v>
      </c>
      <c r="L29" s="15">
        <f t="shared" ca="1" si="3"/>
        <v>4.4117647058823532E-2</v>
      </c>
      <c r="M29" s="19"/>
      <c r="N29" s="19">
        <f ca="1">INDIRECT("'("&amp;$A$4&amp;")'!n29")</f>
        <v>0</v>
      </c>
      <c r="O29" s="19">
        <f ca="1">INDIRECT("'("&amp;$A$4&amp;")'!o29")</f>
        <v>2</v>
      </c>
      <c r="P29" s="20">
        <f t="shared" ca="1" si="4"/>
        <v>1</v>
      </c>
      <c r="Q29" s="19"/>
      <c r="R29" s="19">
        <f ca="1">INDIRECT("'("&amp;$A$4&amp;")'!r29")</f>
        <v>13</v>
      </c>
      <c r="S29" s="19">
        <f ca="1">INDIRECT("'("&amp;$A$4&amp;")'!s29")</f>
        <v>21</v>
      </c>
      <c r="T29" s="20">
        <f t="shared" ca="1" si="5"/>
        <v>0.61764705882352944</v>
      </c>
      <c r="U29" s="19"/>
      <c r="V29" s="14">
        <f t="shared" ca="1" si="6"/>
        <v>78</v>
      </c>
      <c r="W29" s="14">
        <f t="shared" ca="1" si="7"/>
        <v>26</v>
      </c>
      <c r="X29" s="20">
        <f t="shared" ca="1" si="8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f ca="1">INDIRECT("'("&amp;$A$4&amp;")'!b30")</f>
        <v>0</v>
      </c>
      <c r="C30" s="19">
        <f ca="1">INDIRECT("'("&amp;$A$4&amp;")'!c30")</f>
        <v>0</v>
      </c>
      <c r="D30" s="20" t="str">
        <f t="shared" ca="1" si="0"/>
        <v>-</v>
      </c>
      <c r="E30" s="19"/>
      <c r="F30" s="19">
        <f ca="1">INDIRECT("'("&amp;$A$4&amp;")'!f30")</f>
        <v>0</v>
      </c>
      <c r="G30" s="19">
        <f ca="1">INDIRECT("'("&amp;$A$4&amp;")'!g30")</f>
        <v>0</v>
      </c>
      <c r="H30" s="20" t="str">
        <f t="shared" ca="1" si="1"/>
        <v>-</v>
      </c>
      <c r="I30" s="19"/>
      <c r="J30" s="14">
        <f t="shared" ca="1" si="2"/>
        <v>0</v>
      </c>
      <c r="K30" s="14">
        <f t="shared" ca="1" si="2"/>
        <v>0</v>
      </c>
      <c r="L30" s="15" t="str">
        <f t="shared" ca="1" si="3"/>
        <v>-</v>
      </c>
      <c r="M30" s="19"/>
      <c r="N30" s="19">
        <f ca="1">INDIRECT("'("&amp;$A$4&amp;")'!n30")</f>
        <v>0</v>
      </c>
      <c r="O30" s="19">
        <f ca="1">INDIRECT("'("&amp;$A$4&amp;")'!o30")</f>
        <v>0</v>
      </c>
      <c r="P30" s="20" t="str">
        <f t="shared" ca="1" si="4"/>
        <v>-</v>
      </c>
      <c r="Q30" s="19"/>
      <c r="R30" s="19">
        <f ca="1">INDIRECT("'("&amp;$A$4&amp;")'!r30")</f>
        <v>2</v>
      </c>
      <c r="S30" s="19">
        <f ca="1">INDIRECT("'("&amp;$A$4&amp;")'!s30")</f>
        <v>0</v>
      </c>
      <c r="T30" s="20">
        <f t="shared" ca="1" si="5"/>
        <v>0</v>
      </c>
      <c r="U30" s="19"/>
      <c r="V30" s="14">
        <f t="shared" ca="1" si="6"/>
        <v>2</v>
      </c>
      <c r="W30" s="14">
        <f t="shared" ca="1" si="7"/>
        <v>0</v>
      </c>
      <c r="X30" s="20">
        <f t="shared" ca="1" si="8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f ca="1">INDIRECT("'("&amp;$A$4&amp;")'!b31")</f>
        <v>25</v>
      </c>
      <c r="C31" s="19">
        <f ca="1">INDIRECT("'("&amp;$A$4&amp;")'!c31")</f>
        <v>4</v>
      </c>
      <c r="D31" s="20">
        <f t="shared" ca="1" si="0"/>
        <v>0.13793103448275862</v>
      </c>
      <c r="E31" s="19"/>
      <c r="F31" s="19">
        <f ca="1">INDIRECT("'("&amp;$A$4&amp;")'!f31")</f>
        <v>53</v>
      </c>
      <c r="G31" s="19">
        <f ca="1">INDIRECT("'("&amp;$A$4&amp;")'!g31")</f>
        <v>3</v>
      </c>
      <c r="H31" s="20">
        <f t="shared" ca="1" si="1"/>
        <v>5.3571428571428568E-2</v>
      </c>
      <c r="I31" s="19"/>
      <c r="J31" s="14">
        <f t="shared" ca="1" si="2"/>
        <v>78</v>
      </c>
      <c r="K31" s="14">
        <f t="shared" ca="1" si="2"/>
        <v>7</v>
      </c>
      <c r="L31" s="15">
        <f t="shared" ca="1" si="3"/>
        <v>8.2352941176470587E-2</v>
      </c>
      <c r="M31" s="19"/>
      <c r="N31" s="19">
        <f ca="1">INDIRECT("'("&amp;$A$4&amp;")'!n31")</f>
        <v>3</v>
      </c>
      <c r="O31" s="19">
        <f ca="1">INDIRECT("'("&amp;$A$4&amp;")'!o31")</f>
        <v>5</v>
      </c>
      <c r="P31" s="20">
        <f t="shared" ca="1" si="4"/>
        <v>0.625</v>
      </c>
      <c r="Q31" s="19"/>
      <c r="R31" s="19">
        <f ca="1">INDIRECT("'("&amp;$A$4&amp;")'!r31")</f>
        <v>25</v>
      </c>
      <c r="S31" s="19">
        <f ca="1">INDIRECT("'("&amp;$A$4&amp;")'!s31")</f>
        <v>27</v>
      </c>
      <c r="T31" s="20">
        <f t="shared" ca="1" si="5"/>
        <v>0.51923076923076927</v>
      </c>
      <c r="U31" s="19"/>
      <c r="V31" s="14">
        <f t="shared" ca="1" si="6"/>
        <v>106</v>
      </c>
      <c r="W31" s="14">
        <f t="shared" ca="1" si="7"/>
        <v>39</v>
      </c>
      <c r="X31" s="20">
        <f t="shared" ca="1" si="8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f ca="1">INDIRECT("'("&amp;$A$4&amp;")'!b32")</f>
        <v>51</v>
      </c>
      <c r="C32" s="19">
        <f ca="1">INDIRECT("'("&amp;$A$4&amp;")'!c32")</f>
        <v>5</v>
      </c>
      <c r="D32" s="20">
        <f t="shared" ca="1" si="0"/>
        <v>8.9285714285714288E-2</v>
      </c>
      <c r="E32" s="19"/>
      <c r="F32" s="19">
        <f ca="1">INDIRECT("'("&amp;$A$4&amp;")'!f32")</f>
        <v>53</v>
      </c>
      <c r="G32" s="19">
        <f ca="1">INDIRECT("'("&amp;$A$4&amp;")'!g32")</f>
        <v>4</v>
      </c>
      <c r="H32" s="20">
        <f t="shared" ca="1" si="1"/>
        <v>7.0175438596491224E-2</v>
      </c>
      <c r="I32" s="19"/>
      <c r="J32" s="14">
        <f t="shared" ca="1" si="2"/>
        <v>104</v>
      </c>
      <c r="K32" s="14">
        <f t="shared" ca="1" si="2"/>
        <v>9</v>
      </c>
      <c r="L32" s="15">
        <f t="shared" ca="1" si="3"/>
        <v>7.9646017699115043E-2</v>
      </c>
      <c r="M32" s="19"/>
      <c r="N32" s="19">
        <f ca="1">INDIRECT("'("&amp;$A$4&amp;")'!n32")</f>
        <v>0</v>
      </c>
      <c r="O32" s="19">
        <f ca="1">INDIRECT("'("&amp;$A$4&amp;")'!o32")</f>
        <v>0</v>
      </c>
      <c r="P32" s="20" t="str">
        <f t="shared" ca="1" si="4"/>
        <v>-</v>
      </c>
      <c r="Q32" s="19"/>
      <c r="R32" s="19">
        <f ca="1">INDIRECT("'("&amp;$A$4&amp;")'!r32")</f>
        <v>24</v>
      </c>
      <c r="S32" s="19">
        <f ca="1">INDIRECT("'("&amp;$A$4&amp;")'!s32")</f>
        <v>21</v>
      </c>
      <c r="T32" s="20">
        <f t="shared" ca="1" si="5"/>
        <v>0.46666666666666667</v>
      </c>
      <c r="U32" s="19"/>
      <c r="V32" s="14">
        <f t="shared" ca="1" si="6"/>
        <v>128</v>
      </c>
      <c r="W32" s="14">
        <f t="shared" ca="1" si="7"/>
        <v>30</v>
      </c>
      <c r="X32" s="20">
        <f t="shared" ca="1" si="8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f ca="1">INDIRECT("'("&amp;$A$4&amp;")'!b33")</f>
        <v>21</v>
      </c>
      <c r="C33" s="19">
        <f ca="1">INDIRECT("'("&amp;$A$4&amp;")'!c33")</f>
        <v>4</v>
      </c>
      <c r="D33" s="20">
        <f t="shared" ca="1" si="0"/>
        <v>0.16</v>
      </c>
      <c r="E33" s="19"/>
      <c r="F33" s="19">
        <f ca="1">INDIRECT("'("&amp;$A$4&amp;")'!f33")</f>
        <v>25</v>
      </c>
      <c r="G33" s="19">
        <f ca="1">INDIRECT("'("&amp;$A$4&amp;")'!g33")</f>
        <v>2</v>
      </c>
      <c r="H33" s="20">
        <f t="shared" ca="1" si="1"/>
        <v>7.407407407407407E-2</v>
      </c>
      <c r="I33" s="19"/>
      <c r="J33" s="14">
        <f t="shared" ca="1" si="2"/>
        <v>46</v>
      </c>
      <c r="K33" s="14">
        <f t="shared" ca="1" si="2"/>
        <v>6</v>
      </c>
      <c r="L33" s="15">
        <f t="shared" ca="1" si="3"/>
        <v>0.11538461538461539</v>
      </c>
      <c r="M33" s="19"/>
      <c r="N33" s="19">
        <f ca="1">INDIRECT("'("&amp;$A$4&amp;")'!n33")</f>
        <v>2</v>
      </c>
      <c r="O33" s="19">
        <f ca="1">INDIRECT("'("&amp;$A$4&amp;")'!o33")</f>
        <v>0</v>
      </c>
      <c r="P33" s="20">
        <f t="shared" ca="1" si="4"/>
        <v>0</v>
      </c>
      <c r="Q33" s="19"/>
      <c r="R33" s="19">
        <f ca="1">INDIRECT("'("&amp;$A$4&amp;")'!r33")</f>
        <v>2</v>
      </c>
      <c r="S33" s="19">
        <f ca="1">INDIRECT("'("&amp;$A$4&amp;")'!s33")</f>
        <v>10</v>
      </c>
      <c r="T33" s="20">
        <f t="shared" ca="1" si="5"/>
        <v>0.83333333333333337</v>
      </c>
      <c r="U33" s="19"/>
      <c r="V33" s="14">
        <f t="shared" ca="1" si="6"/>
        <v>50</v>
      </c>
      <c r="W33" s="14">
        <f t="shared" ca="1" si="7"/>
        <v>16</v>
      </c>
      <c r="X33" s="20">
        <f t="shared" ca="1" si="8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f ca="1">INDIRECT("'("&amp;$A$4&amp;")'!b34")</f>
        <v>9</v>
      </c>
      <c r="C34" s="19">
        <f ca="1">INDIRECT("'("&amp;$A$4&amp;")'!c34")</f>
        <v>1</v>
      </c>
      <c r="D34" s="20">
        <f t="shared" ca="1" si="0"/>
        <v>0.1</v>
      </c>
      <c r="E34" s="19"/>
      <c r="F34" s="19">
        <f ca="1">INDIRECT("'("&amp;$A$4&amp;")'!f34")</f>
        <v>41</v>
      </c>
      <c r="G34" s="19">
        <f ca="1">INDIRECT("'("&amp;$A$4&amp;")'!g34")</f>
        <v>4</v>
      </c>
      <c r="H34" s="20">
        <f t="shared" ca="1" si="1"/>
        <v>8.8888888888888892E-2</v>
      </c>
      <c r="I34" s="19"/>
      <c r="J34" s="14">
        <f t="shared" ca="1" si="2"/>
        <v>50</v>
      </c>
      <c r="K34" s="14">
        <f t="shared" ca="1" si="2"/>
        <v>5</v>
      </c>
      <c r="L34" s="15">
        <f t="shared" ca="1" si="3"/>
        <v>9.0909090909090912E-2</v>
      </c>
      <c r="M34" s="19"/>
      <c r="N34" s="19">
        <f ca="1">INDIRECT("'("&amp;$A$4&amp;")'!n34")</f>
        <v>0</v>
      </c>
      <c r="O34" s="19">
        <f ca="1">INDIRECT("'("&amp;$A$4&amp;")'!o34")</f>
        <v>2</v>
      </c>
      <c r="P34" s="20">
        <f t="shared" ca="1" si="4"/>
        <v>1</v>
      </c>
      <c r="Q34" s="19"/>
      <c r="R34" s="19">
        <f ca="1">INDIRECT("'("&amp;$A$4&amp;")'!r34")</f>
        <v>2</v>
      </c>
      <c r="S34" s="19">
        <f ca="1">INDIRECT("'("&amp;$A$4&amp;")'!s34")</f>
        <v>1</v>
      </c>
      <c r="T34" s="20">
        <f t="shared" ca="1" si="5"/>
        <v>0.33333333333333331</v>
      </c>
      <c r="U34" s="19"/>
      <c r="V34" s="14">
        <f t="shared" ca="1" si="6"/>
        <v>52</v>
      </c>
      <c r="W34" s="14">
        <f t="shared" ca="1" si="7"/>
        <v>8</v>
      </c>
      <c r="X34" s="20">
        <f t="shared" ca="1" si="8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f ca="1">INDIRECT("'("&amp;$A$4&amp;")'!b35")</f>
        <v>19</v>
      </c>
      <c r="C35" s="19">
        <f ca="1">INDIRECT("'("&amp;$A$4&amp;")'!c35")</f>
        <v>0</v>
      </c>
      <c r="D35" s="20">
        <f t="shared" ca="1" si="0"/>
        <v>0</v>
      </c>
      <c r="E35" s="19"/>
      <c r="F35" s="19">
        <f ca="1">INDIRECT("'("&amp;$A$4&amp;")'!f35")</f>
        <v>48</v>
      </c>
      <c r="G35" s="19">
        <f ca="1">INDIRECT("'("&amp;$A$4&amp;")'!g35")</f>
        <v>8</v>
      </c>
      <c r="H35" s="20">
        <f t="shared" ca="1" si="1"/>
        <v>0.14285714285714285</v>
      </c>
      <c r="I35" s="19"/>
      <c r="J35" s="14">
        <f t="shared" ca="1" si="2"/>
        <v>67</v>
      </c>
      <c r="K35" s="14">
        <f t="shared" ca="1" si="2"/>
        <v>8</v>
      </c>
      <c r="L35" s="15">
        <f t="shared" ca="1" si="3"/>
        <v>0.10666666666666667</v>
      </c>
      <c r="M35" s="19"/>
      <c r="N35" s="19">
        <f ca="1">INDIRECT("'("&amp;$A$4&amp;")'!n35")</f>
        <v>2</v>
      </c>
      <c r="O35" s="19">
        <f ca="1">INDIRECT("'("&amp;$A$4&amp;")'!o35")</f>
        <v>2</v>
      </c>
      <c r="P35" s="20">
        <f t="shared" ca="1" si="4"/>
        <v>0.5</v>
      </c>
      <c r="Q35" s="19"/>
      <c r="R35" s="19">
        <f ca="1">INDIRECT("'("&amp;$A$4&amp;")'!r35")</f>
        <v>6</v>
      </c>
      <c r="S35" s="19">
        <f ca="1">INDIRECT("'("&amp;$A$4&amp;")'!s35")</f>
        <v>10</v>
      </c>
      <c r="T35" s="20">
        <f t="shared" ca="1" si="5"/>
        <v>0.625</v>
      </c>
      <c r="U35" s="19"/>
      <c r="V35" s="14">
        <f t="shared" ca="1" si="6"/>
        <v>75</v>
      </c>
      <c r="W35" s="14">
        <f t="shared" ca="1" si="7"/>
        <v>20</v>
      </c>
      <c r="X35" s="20">
        <f t="shared" ca="1" si="8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f ca="1">INDIRECT("'("&amp;$A$4&amp;")'!b36")</f>
        <v>0</v>
      </c>
      <c r="C36" s="19">
        <f ca="1">INDIRECT("'("&amp;$A$4&amp;")'!c36")</f>
        <v>0</v>
      </c>
      <c r="D36" s="20" t="str">
        <f t="shared" ca="1" si="0"/>
        <v>-</v>
      </c>
      <c r="E36" s="19"/>
      <c r="F36" s="19">
        <f ca="1">INDIRECT("'("&amp;$A$4&amp;")'!f36")</f>
        <v>0</v>
      </c>
      <c r="G36" s="19">
        <f ca="1">INDIRECT("'("&amp;$A$4&amp;")'!g36")</f>
        <v>0</v>
      </c>
      <c r="H36" s="20" t="str">
        <f t="shared" ca="1" si="1"/>
        <v>-</v>
      </c>
      <c r="I36" s="19"/>
      <c r="J36" s="14">
        <f t="shared" ca="1" si="2"/>
        <v>0</v>
      </c>
      <c r="K36" s="14">
        <f t="shared" ca="1" si="2"/>
        <v>0</v>
      </c>
      <c r="L36" s="15" t="str">
        <f t="shared" ca="1" si="3"/>
        <v>-</v>
      </c>
      <c r="M36" s="19"/>
      <c r="N36" s="19">
        <f ca="1">INDIRECT("'("&amp;$A$4&amp;")'!n36")</f>
        <v>4</v>
      </c>
      <c r="O36" s="19">
        <f ca="1">INDIRECT("'("&amp;$A$4&amp;")'!o36")</f>
        <v>6</v>
      </c>
      <c r="P36" s="20">
        <f t="shared" ca="1" si="4"/>
        <v>0.6</v>
      </c>
      <c r="Q36" s="19"/>
      <c r="R36" s="19">
        <f ca="1">INDIRECT("'("&amp;$A$4&amp;")'!r36")</f>
        <v>0</v>
      </c>
      <c r="S36" s="19">
        <f ca="1">INDIRECT("'("&amp;$A$4&amp;")'!s36")</f>
        <v>0</v>
      </c>
      <c r="T36" s="20" t="str">
        <f t="shared" ca="1" si="5"/>
        <v>-</v>
      </c>
      <c r="U36" s="19"/>
      <c r="V36" s="14">
        <f t="shared" ca="1" si="6"/>
        <v>4</v>
      </c>
      <c r="W36" s="14">
        <f t="shared" ca="1" si="7"/>
        <v>6</v>
      </c>
      <c r="X36" s="20">
        <f t="shared" ca="1" si="8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f ca="1">INDIRECT("'("&amp;$A$4&amp;")'!b37")</f>
        <v>4</v>
      </c>
      <c r="C37" s="19">
        <f ca="1">INDIRECT("'("&amp;$A$4&amp;")'!c37")</f>
        <v>0</v>
      </c>
      <c r="D37" s="20">
        <f t="shared" ca="1" si="0"/>
        <v>0</v>
      </c>
      <c r="E37" s="19"/>
      <c r="F37" s="19">
        <f ca="1">INDIRECT("'("&amp;$A$4&amp;")'!f37")</f>
        <v>50</v>
      </c>
      <c r="G37" s="19">
        <f ca="1">INDIRECT("'("&amp;$A$4&amp;")'!g37")</f>
        <v>3</v>
      </c>
      <c r="H37" s="20">
        <f t="shared" ca="1" si="1"/>
        <v>5.6603773584905662E-2</v>
      </c>
      <c r="I37" s="19"/>
      <c r="J37" s="14">
        <f t="shared" ca="1" si="2"/>
        <v>54</v>
      </c>
      <c r="K37" s="14">
        <f t="shared" ca="1" si="2"/>
        <v>3</v>
      </c>
      <c r="L37" s="15">
        <f t="shared" ca="1" si="3"/>
        <v>5.2631578947368418E-2</v>
      </c>
      <c r="M37" s="19"/>
      <c r="N37" s="19">
        <f ca="1">INDIRECT("'("&amp;$A$4&amp;")'!n37")</f>
        <v>1</v>
      </c>
      <c r="O37" s="19">
        <f ca="1">INDIRECT("'("&amp;$A$4&amp;")'!o37")</f>
        <v>2</v>
      </c>
      <c r="P37" s="20">
        <f t="shared" ca="1" si="4"/>
        <v>0.66666666666666663</v>
      </c>
      <c r="Q37" s="19"/>
      <c r="R37" s="19">
        <f ca="1">INDIRECT("'("&amp;$A$4&amp;")'!r37")</f>
        <v>8</v>
      </c>
      <c r="S37" s="19">
        <f ca="1">INDIRECT("'("&amp;$A$4&amp;")'!s37")</f>
        <v>12</v>
      </c>
      <c r="T37" s="20">
        <f t="shared" ca="1" si="5"/>
        <v>0.6</v>
      </c>
      <c r="U37" s="19"/>
      <c r="V37" s="14">
        <f t="shared" ca="1" si="6"/>
        <v>63</v>
      </c>
      <c r="W37" s="14">
        <f t="shared" ca="1" si="7"/>
        <v>17</v>
      </c>
      <c r="X37" s="20">
        <f t="shared" ca="1" si="8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f ca="1">INDIRECT("'("&amp;$A$4&amp;")'!b38")</f>
        <v>10</v>
      </c>
      <c r="C38" s="19">
        <f ca="1">INDIRECT("'("&amp;$A$4&amp;")'!c38")</f>
        <v>3</v>
      </c>
      <c r="D38" s="20">
        <f t="shared" ca="1" si="0"/>
        <v>0.23076923076923078</v>
      </c>
      <c r="E38" s="19"/>
      <c r="F38" s="19">
        <f ca="1">INDIRECT("'("&amp;$A$4&amp;")'!f38")</f>
        <v>31</v>
      </c>
      <c r="G38" s="19">
        <f ca="1">INDIRECT("'("&amp;$A$4&amp;")'!g38")</f>
        <v>3</v>
      </c>
      <c r="H38" s="20">
        <f t="shared" ca="1" si="1"/>
        <v>8.8235294117647065E-2</v>
      </c>
      <c r="I38" s="19"/>
      <c r="J38" s="14">
        <f t="shared" ca="1" si="2"/>
        <v>41</v>
      </c>
      <c r="K38" s="14">
        <f t="shared" ca="1" si="2"/>
        <v>6</v>
      </c>
      <c r="L38" s="15">
        <f t="shared" ca="1" si="3"/>
        <v>0.1276595744680851</v>
      </c>
      <c r="M38" s="19"/>
      <c r="N38" s="19">
        <f ca="1">INDIRECT("'("&amp;$A$4&amp;")'!n38")</f>
        <v>0</v>
      </c>
      <c r="O38" s="19">
        <f ca="1">INDIRECT("'("&amp;$A$4&amp;")'!o38")</f>
        <v>0</v>
      </c>
      <c r="P38" s="20" t="str">
        <f t="shared" ca="1" si="4"/>
        <v>-</v>
      </c>
      <c r="Q38" s="19"/>
      <c r="R38" s="19">
        <f ca="1">INDIRECT("'("&amp;$A$4&amp;")'!r38")</f>
        <v>6</v>
      </c>
      <c r="S38" s="19">
        <f ca="1">INDIRECT("'("&amp;$A$4&amp;")'!s38")</f>
        <v>4</v>
      </c>
      <c r="T38" s="20">
        <f t="shared" ca="1" si="5"/>
        <v>0.4</v>
      </c>
      <c r="U38" s="19"/>
      <c r="V38" s="14">
        <f t="shared" ca="1" si="6"/>
        <v>47</v>
      </c>
      <c r="W38" s="14">
        <f t="shared" ca="1" si="7"/>
        <v>10</v>
      </c>
      <c r="X38" s="20">
        <f t="shared" ca="1" si="8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f ca="1">INDIRECT("'("&amp;$A$4&amp;")'!b39")</f>
        <v>1</v>
      </c>
      <c r="C39" s="19">
        <f ca="1">INDIRECT("'("&amp;$A$4&amp;")'!c39")</f>
        <v>0</v>
      </c>
      <c r="D39" s="20">
        <f t="shared" ca="1" si="0"/>
        <v>0</v>
      </c>
      <c r="E39" s="19"/>
      <c r="F39" s="19">
        <f ca="1">INDIRECT("'("&amp;$A$4&amp;")'!f39")</f>
        <v>18</v>
      </c>
      <c r="G39" s="19">
        <f ca="1">INDIRECT("'("&amp;$A$4&amp;")'!g39")</f>
        <v>0</v>
      </c>
      <c r="H39" s="20">
        <f t="shared" ca="1" si="1"/>
        <v>0</v>
      </c>
      <c r="I39" s="19"/>
      <c r="J39" s="14">
        <f t="shared" ca="1" si="2"/>
        <v>19</v>
      </c>
      <c r="K39" s="14">
        <f t="shared" ca="1" si="2"/>
        <v>0</v>
      </c>
      <c r="L39" s="15">
        <f t="shared" ca="1" si="3"/>
        <v>0</v>
      </c>
      <c r="M39" s="19"/>
      <c r="N39" s="19">
        <f ca="1">INDIRECT("'("&amp;$A$4&amp;")'!n39")</f>
        <v>0</v>
      </c>
      <c r="O39" s="19">
        <f ca="1">INDIRECT("'("&amp;$A$4&amp;")'!o39")</f>
        <v>1</v>
      </c>
      <c r="P39" s="20">
        <f t="shared" ca="1" si="4"/>
        <v>1</v>
      </c>
      <c r="Q39" s="19"/>
      <c r="R39" s="19">
        <f ca="1">INDIRECT("'("&amp;$A$4&amp;")'!r39")</f>
        <v>1</v>
      </c>
      <c r="S39" s="19">
        <f ca="1">INDIRECT("'("&amp;$A$4&amp;")'!s39")</f>
        <v>3</v>
      </c>
      <c r="T39" s="20">
        <f t="shared" ca="1" si="5"/>
        <v>0.75</v>
      </c>
      <c r="U39" s="19"/>
      <c r="V39" s="14">
        <f t="shared" ca="1" si="6"/>
        <v>20</v>
      </c>
      <c r="W39" s="14">
        <f t="shared" ca="1" si="7"/>
        <v>4</v>
      </c>
      <c r="X39" s="20">
        <f t="shared" ca="1" si="8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f ca="1">INDIRECT("'("&amp;$A$4&amp;")'!b40")</f>
        <v>13</v>
      </c>
      <c r="C40" s="19">
        <f ca="1">INDIRECT("'("&amp;$A$4&amp;")'!c40")</f>
        <v>0</v>
      </c>
      <c r="D40" s="20">
        <f t="shared" ca="1" si="0"/>
        <v>0</v>
      </c>
      <c r="E40" s="19"/>
      <c r="F40" s="19">
        <f ca="1">INDIRECT("'("&amp;$A$4&amp;")'!f40")</f>
        <v>32</v>
      </c>
      <c r="G40" s="19">
        <f ca="1">INDIRECT("'("&amp;$A$4&amp;")'!g40")</f>
        <v>4</v>
      </c>
      <c r="H40" s="20">
        <f t="shared" ca="1" si="1"/>
        <v>0.1111111111111111</v>
      </c>
      <c r="I40" s="19"/>
      <c r="J40" s="14">
        <f t="shared" ca="1" si="2"/>
        <v>45</v>
      </c>
      <c r="K40" s="14">
        <f t="shared" ca="1" si="2"/>
        <v>4</v>
      </c>
      <c r="L40" s="15">
        <f t="shared" ca="1" si="3"/>
        <v>8.1632653061224483E-2</v>
      </c>
      <c r="M40" s="19"/>
      <c r="N40" s="19">
        <f ca="1">INDIRECT("'("&amp;$A$4&amp;")'!n40")</f>
        <v>1</v>
      </c>
      <c r="O40" s="19">
        <f ca="1">INDIRECT("'("&amp;$A$4&amp;")'!o40")</f>
        <v>0</v>
      </c>
      <c r="P40" s="20">
        <f t="shared" ca="1" si="4"/>
        <v>0</v>
      </c>
      <c r="Q40" s="19"/>
      <c r="R40" s="19">
        <f ca="1">INDIRECT("'("&amp;$A$4&amp;")'!r40")</f>
        <v>8</v>
      </c>
      <c r="S40" s="19">
        <f ca="1">INDIRECT("'("&amp;$A$4&amp;")'!s40")</f>
        <v>11</v>
      </c>
      <c r="T40" s="20">
        <f t="shared" ca="1" si="5"/>
        <v>0.57894736842105265</v>
      </c>
      <c r="U40" s="19"/>
      <c r="V40" s="14">
        <f t="shared" ca="1" si="6"/>
        <v>54</v>
      </c>
      <c r="W40" s="14">
        <f t="shared" ca="1" si="7"/>
        <v>15</v>
      </c>
      <c r="X40" s="20">
        <f t="shared" ca="1" si="8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f ca="1">INDIRECT("'("&amp;$A$4&amp;")'!b41")</f>
        <v>0</v>
      </c>
      <c r="C41" s="19">
        <f ca="1">INDIRECT("'("&amp;$A$4&amp;")'!c41")</f>
        <v>0</v>
      </c>
      <c r="D41" s="20" t="str">
        <f t="shared" ca="1" si="0"/>
        <v>-</v>
      </c>
      <c r="E41" s="19"/>
      <c r="F41" s="19">
        <f ca="1">INDIRECT("'("&amp;$A$4&amp;")'!f41")</f>
        <v>70</v>
      </c>
      <c r="G41" s="19">
        <f ca="1">INDIRECT("'("&amp;$A$4&amp;")'!g41")</f>
        <v>4</v>
      </c>
      <c r="H41" s="20">
        <f t="shared" ca="1" si="1"/>
        <v>5.4054054054054057E-2</v>
      </c>
      <c r="I41" s="19"/>
      <c r="J41" s="14">
        <f t="shared" ca="1" si="2"/>
        <v>70</v>
      </c>
      <c r="K41" s="14">
        <f t="shared" ca="1" si="2"/>
        <v>4</v>
      </c>
      <c r="L41" s="15">
        <f t="shared" ca="1" si="3"/>
        <v>5.4054054054054057E-2</v>
      </c>
      <c r="M41" s="19"/>
      <c r="N41" s="19">
        <f ca="1">INDIRECT("'("&amp;$A$4&amp;")'!n41")</f>
        <v>0</v>
      </c>
      <c r="O41" s="19">
        <f ca="1">INDIRECT("'("&amp;$A$4&amp;")'!o41")</f>
        <v>0</v>
      </c>
      <c r="P41" s="20" t="str">
        <f t="shared" ca="1" si="4"/>
        <v>-</v>
      </c>
      <c r="Q41" s="19"/>
      <c r="R41" s="19">
        <f ca="1">INDIRECT("'("&amp;$A$4&amp;")'!r41")</f>
        <v>2</v>
      </c>
      <c r="S41" s="19">
        <f ca="1">INDIRECT("'("&amp;$A$4&amp;")'!s41")</f>
        <v>2</v>
      </c>
      <c r="T41" s="20">
        <f t="shared" ca="1" si="5"/>
        <v>0.5</v>
      </c>
      <c r="U41" s="19"/>
      <c r="V41" s="14">
        <f t="shared" ca="1" si="6"/>
        <v>72</v>
      </c>
      <c r="W41" s="14">
        <f t="shared" ca="1" si="7"/>
        <v>6</v>
      </c>
      <c r="X41" s="20">
        <f t="shared" ca="1" si="8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f ca="1">INDIRECT("'("&amp;$A$4&amp;")'!b42")</f>
        <v>4</v>
      </c>
      <c r="C42" s="19">
        <f ca="1">INDIRECT("'("&amp;$A$4&amp;")'!c42")</f>
        <v>1</v>
      </c>
      <c r="D42" s="20">
        <f t="shared" ca="1" si="0"/>
        <v>0.2</v>
      </c>
      <c r="E42" s="19"/>
      <c r="F42" s="19">
        <f ca="1">INDIRECT("'("&amp;$A$4&amp;")'!f42")</f>
        <v>22</v>
      </c>
      <c r="G42" s="19">
        <f ca="1">INDIRECT("'("&amp;$A$4&amp;")'!g42")</f>
        <v>4</v>
      </c>
      <c r="H42" s="20">
        <f t="shared" ca="1" si="1"/>
        <v>0.15384615384615385</v>
      </c>
      <c r="I42" s="19"/>
      <c r="J42" s="14">
        <f t="shared" ca="1" si="2"/>
        <v>26</v>
      </c>
      <c r="K42" s="14">
        <f t="shared" ca="1" si="2"/>
        <v>5</v>
      </c>
      <c r="L42" s="15">
        <f t="shared" ca="1" si="3"/>
        <v>0.16129032258064516</v>
      </c>
      <c r="M42" s="19"/>
      <c r="N42" s="19">
        <f ca="1">INDIRECT("'("&amp;$A$4&amp;")'!n42")</f>
        <v>0</v>
      </c>
      <c r="O42" s="19">
        <f ca="1">INDIRECT("'("&amp;$A$4&amp;")'!o42")</f>
        <v>1</v>
      </c>
      <c r="P42" s="20">
        <f t="shared" ca="1" si="4"/>
        <v>1</v>
      </c>
      <c r="Q42" s="19"/>
      <c r="R42" s="19">
        <f ca="1">INDIRECT("'("&amp;$A$4&amp;")'!r42")</f>
        <v>3</v>
      </c>
      <c r="S42" s="19">
        <f ca="1">INDIRECT("'("&amp;$A$4&amp;")'!s42")</f>
        <v>6</v>
      </c>
      <c r="T42" s="20">
        <f t="shared" ca="1" si="5"/>
        <v>0.66666666666666663</v>
      </c>
      <c r="U42" s="19"/>
      <c r="V42" s="14">
        <f t="shared" ca="1" si="6"/>
        <v>29</v>
      </c>
      <c r="W42" s="14">
        <f t="shared" ca="1" si="7"/>
        <v>12</v>
      </c>
      <c r="X42" s="20">
        <f t="shared" ca="1" si="8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f ca="1">INDIRECT("'("&amp;$A$4&amp;")'!b43")</f>
        <v>6</v>
      </c>
      <c r="C43" s="19">
        <f ca="1">INDIRECT("'("&amp;$A$4&amp;")'!c43")</f>
        <v>2</v>
      </c>
      <c r="D43" s="20">
        <f t="shared" ca="1" si="0"/>
        <v>0.25</v>
      </c>
      <c r="E43" s="19"/>
      <c r="F43" s="19">
        <f ca="1">INDIRECT("'("&amp;$A$4&amp;")'!f43")</f>
        <v>14</v>
      </c>
      <c r="G43" s="19">
        <f ca="1">INDIRECT("'("&amp;$A$4&amp;")'!g43")</f>
        <v>2</v>
      </c>
      <c r="H43" s="20">
        <f t="shared" ca="1" si="1"/>
        <v>0.125</v>
      </c>
      <c r="I43" s="19"/>
      <c r="J43" s="14">
        <f t="shared" ca="1" si="2"/>
        <v>20</v>
      </c>
      <c r="K43" s="14">
        <f t="shared" ca="1" si="2"/>
        <v>4</v>
      </c>
      <c r="L43" s="15">
        <f t="shared" ca="1" si="3"/>
        <v>0.16666666666666666</v>
      </c>
      <c r="M43" s="19"/>
      <c r="N43" s="19">
        <f ca="1">INDIRECT("'("&amp;$A$4&amp;")'!n43")</f>
        <v>0</v>
      </c>
      <c r="O43" s="19">
        <f ca="1">INDIRECT("'("&amp;$A$4&amp;")'!o43")</f>
        <v>0</v>
      </c>
      <c r="P43" s="20" t="str">
        <f t="shared" ca="1" si="4"/>
        <v>-</v>
      </c>
      <c r="Q43" s="19"/>
      <c r="R43" s="19">
        <f ca="1">INDIRECT("'("&amp;$A$4&amp;")'!r43")</f>
        <v>7</v>
      </c>
      <c r="S43" s="19">
        <f ca="1">INDIRECT("'("&amp;$A$4&amp;")'!s43")</f>
        <v>3</v>
      </c>
      <c r="T43" s="20">
        <f t="shared" ca="1" si="5"/>
        <v>0.3</v>
      </c>
      <c r="U43" s="19"/>
      <c r="V43" s="14">
        <f t="shared" ca="1" si="6"/>
        <v>27</v>
      </c>
      <c r="W43" s="14">
        <f t="shared" ca="1" si="7"/>
        <v>7</v>
      </c>
      <c r="X43" s="20">
        <f t="shared" ca="1" si="8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f ca="1">INDIRECT("'("&amp;$A$4&amp;")'!b44")</f>
        <v>2</v>
      </c>
      <c r="C44" s="19">
        <f ca="1">INDIRECT("'("&amp;$A$4&amp;")'!c44")</f>
        <v>0</v>
      </c>
      <c r="D44" s="20">
        <f t="shared" ca="1" si="0"/>
        <v>0</v>
      </c>
      <c r="E44" s="19"/>
      <c r="F44" s="19">
        <f ca="1">INDIRECT("'("&amp;$A$4&amp;")'!f44")</f>
        <v>45</v>
      </c>
      <c r="G44" s="19">
        <f ca="1">INDIRECT("'("&amp;$A$4&amp;")'!g44")</f>
        <v>4</v>
      </c>
      <c r="H44" s="20">
        <f t="shared" ca="1" si="1"/>
        <v>8.1632653061224483E-2</v>
      </c>
      <c r="I44" s="19"/>
      <c r="J44" s="14">
        <f t="shared" ca="1" si="2"/>
        <v>47</v>
      </c>
      <c r="K44" s="14">
        <f t="shared" ca="1" si="2"/>
        <v>4</v>
      </c>
      <c r="L44" s="15">
        <f t="shared" ca="1" si="3"/>
        <v>7.8431372549019607E-2</v>
      </c>
      <c r="M44" s="19"/>
      <c r="N44" s="19">
        <f ca="1">INDIRECT("'("&amp;$A$4&amp;")'!n44")</f>
        <v>0</v>
      </c>
      <c r="O44" s="19">
        <f ca="1">INDIRECT("'("&amp;$A$4&amp;")'!o44")</f>
        <v>0</v>
      </c>
      <c r="P44" s="20" t="str">
        <f t="shared" ca="1" si="4"/>
        <v>-</v>
      </c>
      <c r="Q44" s="19"/>
      <c r="R44" s="19">
        <f ca="1">INDIRECT("'("&amp;$A$4&amp;")'!r44")</f>
        <v>4</v>
      </c>
      <c r="S44" s="19">
        <f ca="1">INDIRECT("'("&amp;$A$4&amp;")'!s44")</f>
        <v>2</v>
      </c>
      <c r="T44" s="20">
        <f t="shared" ca="1" si="5"/>
        <v>0.33333333333333331</v>
      </c>
      <c r="U44" s="19"/>
      <c r="V44" s="14">
        <f t="shared" ca="1" si="6"/>
        <v>51</v>
      </c>
      <c r="W44" s="14">
        <f t="shared" ca="1" si="7"/>
        <v>6</v>
      </c>
      <c r="X44" s="20">
        <f t="shared" ca="1" si="8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f ca="1">INDIRECT("'("&amp;$A$4&amp;")'!b45")</f>
        <v>8</v>
      </c>
      <c r="C45" s="19">
        <f ca="1">INDIRECT("'("&amp;$A$4&amp;")'!c45")</f>
        <v>0</v>
      </c>
      <c r="D45" s="20">
        <f t="shared" ca="1" si="0"/>
        <v>0</v>
      </c>
      <c r="E45" s="19"/>
      <c r="F45" s="19">
        <f ca="1">INDIRECT("'("&amp;$A$4&amp;")'!f45")</f>
        <v>9</v>
      </c>
      <c r="G45" s="19">
        <f ca="1">INDIRECT("'("&amp;$A$4&amp;")'!g45")</f>
        <v>0</v>
      </c>
      <c r="H45" s="20">
        <f t="shared" ca="1" si="1"/>
        <v>0</v>
      </c>
      <c r="I45" s="19"/>
      <c r="J45" s="14">
        <f t="shared" ca="1" si="2"/>
        <v>17</v>
      </c>
      <c r="K45" s="14">
        <f t="shared" ca="1" si="2"/>
        <v>0</v>
      </c>
      <c r="L45" s="15">
        <f t="shared" ca="1" si="3"/>
        <v>0</v>
      </c>
      <c r="M45" s="19"/>
      <c r="N45" s="19">
        <f ca="1">INDIRECT("'("&amp;$A$4&amp;")'!n45")</f>
        <v>0</v>
      </c>
      <c r="O45" s="19">
        <f ca="1">INDIRECT("'("&amp;$A$4&amp;")'!o45")</f>
        <v>3</v>
      </c>
      <c r="P45" s="20">
        <f t="shared" ca="1" si="4"/>
        <v>1</v>
      </c>
      <c r="Q45" s="19"/>
      <c r="R45" s="19">
        <f ca="1">INDIRECT("'("&amp;$A$4&amp;")'!r45")</f>
        <v>1</v>
      </c>
      <c r="S45" s="19">
        <f ca="1">INDIRECT("'("&amp;$A$4&amp;")'!s45")</f>
        <v>0</v>
      </c>
      <c r="T45" s="20">
        <f t="shared" ca="1" si="5"/>
        <v>0</v>
      </c>
      <c r="U45" s="19"/>
      <c r="V45" s="14">
        <f t="shared" ca="1" si="6"/>
        <v>18</v>
      </c>
      <c r="W45" s="14">
        <f t="shared" ca="1" si="7"/>
        <v>3</v>
      </c>
      <c r="X45" s="20">
        <f t="shared" ca="1" si="8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f ca="1">INDIRECT("'("&amp;$A$4&amp;")'!b46")</f>
        <v>26</v>
      </c>
      <c r="C46" s="19">
        <f ca="1">INDIRECT("'("&amp;$A$4&amp;")'!c46")</f>
        <v>5</v>
      </c>
      <c r="D46" s="20">
        <f t="shared" ca="1" si="0"/>
        <v>0.16129032258064516</v>
      </c>
      <c r="E46" s="19"/>
      <c r="F46" s="19">
        <f ca="1">INDIRECT("'("&amp;$A$4&amp;")'!f46")</f>
        <v>18</v>
      </c>
      <c r="G46" s="19">
        <f ca="1">INDIRECT("'("&amp;$A$4&amp;")'!g46")</f>
        <v>2</v>
      </c>
      <c r="H46" s="20">
        <f t="shared" ca="1" si="1"/>
        <v>0.1</v>
      </c>
      <c r="I46" s="19"/>
      <c r="J46" s="14">
        <f t="shared" ca="1" si="2"/>
        <v>44</v>
      </c>
      <c r="K46" s="14">
        <f t="shared" ca="1" si="2"/>
        <v>7</v>
      </c>
      <c r="L46" s="15">
        <f t="shared" ca="1" si="3"/>
        <v>0.13725490196078433</v>
      </c>
      <c r="M46" s="19"/>
      <c r="N46" s="19">
        <f ca="1">INDIRECT("'("&amp;$A$4&amp;")'!n46")</f>
        <v>0</v>
      </c>
      <c r="O46" s="19">
        <f ca="1">INDIRECT("'("&amp;$A$4&amp;")'!o46")</f>
        <v>3</v>
      </c>
      <c r="P46" s="20">
        <f t="shared" ca="1" si="4"/>
        <v>1</v>
      </c>
      <c r="Q46" s="19"/>
      <c r="R46" s="19">
        <f ca="1">INDIRECT("'("&amp;$A$4&amp;")'!r46")</f>
        <v>9</v>
      </c>
      <c r="S46" s="19">
        <f ca="1">INDIRECT("'("&amp;$A$4&amp;")'!s46")</f>
        <v>11</v>
      </c>
      <c r="T46" s="20">
        <f t="shared" ca="1" si="5"/>
        <v>0.55000000000000004</v>
      </c>
      <c r="U46" s="19"/>
      <c r="V46" s="14">
        <f t="shared" ca="1" si="6"/>
        <v>53</v>
      </c>
      <c r="W46" s="14">
        <f t="shared" ca="1" si="7"/>
        <v>21</v>
      </c>
      <c r="X46" s="20">
        <f t="shared" ca="1" si="8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f ca="1">INDIRECT("'("&amp;$A$4&amp;")'!b47")</f>
        <v>18</v>
      </c>
      <c r="C47" s="19">
        <f ca="1">INDIRECT("'("&amp;$A$4&amp;")'!c47")</f>
        <v>6</v>
      </c>
      <c r="D47" s="20">
        <f t="shared" ca="1" si="0"/>
        <v>0.25</v>
      </c>
      <c r="E47" s="19"/>
      <c r="F47" s="19">
        <f ca="1">INDIRECT("'("&amp;$A$4&amp;")'!f47")</f>
        <v>45</v>
      </c>
      <c r="G47" s="19">
        <f ca="1">INDIRECT("'("&amp;$A$4&amp;")'!g47")</f>
        <v>2</v>
      </c>
      <c r="H47" s="20">
        <f t="shared" ca="1" si="1"/>
        <v>4.2553191489361701E-2</v>
      </c>
      <c r="I47" s="19"/>
      <c r="J47" s="14">
        <f t="shared" ca="1" si="2"/>
        <v>63</v>
      </c>
      <c r="K47" s="14">
        <f t="shared" ca="1" si="2"/>
        <v>8</v>
      </c>
      <c r="L47" s="15">
        <f t="shared" ca="1" si="3"/>
        <v>0.11267605633802817</v>
      </c>
      <c r="M47" s="19"/>
      <c r="N47" s="19">
        <f ca="1">INDIRECT("'("&amp;$A$4&amp;")'!n47")</f>
        <v>0</v>
      </c>
      <c r="O47" s="19">
        <f ca="1">INDIRECT("'("&amp;$A$4&amp;")'!o47")</f>
        <v>0</v>
      </c>
      <c r="P47" s="20" t="str">
        <f t="shared" ca="1" si="4"/>
        <v>-</v>
      </c>
      <c r="Q47" s="19"/>
      <c r="R47" s="19">
        <f ca="1">INDIRECT("'("&amp;$A$4&amp;")'!r47")</f>
        <v>5</v>
      </c>
      <c r="S47" s="19">
        <f ca="1">INDIRECT("'("&amp;$A$4&amp;")'!s47")</f>
        <v>5</v>
      </c>
      <c r="T47" s="20">
        <f t="shared" ca="1" si="5"/>
        <v>0.5</v>
      </c>
      <c r="U47" s="19"/>
      <c r="V47" s="14">
        <f t="shared" ca="1" si="6"/>
        <v>68</v>
      </c>
      <c r="W47" s="14">
        <f t="shared" ca="1" si="7"/>
        <v>13</v>
      </c>
      <c r="X47" s="20">
        <f t="shared" ca="1" si="8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f ca="1">INDIRECT("'("&amp;$A$4&amp;")'!b48")</f>
        <v>0</v>
      </c>
      <c r="C48" s="19">
        <f ca="1">INDIRECT("'("&amp;$A$4&amp;")'!c48")</f>
        <v>0</v>
      </c>
      <c r="D48" s="20" t="str">
        <f t="shared" ref="D48" ca="1" si="9">IF(B48+C48=0,"-",(C48/(B48+C48)))</f>
        <v>-</v>
      </c>
      <c r="E48" s="19"/>
      <c r="F48" s="19">
        <f ca="1">INDIRECT("'("&amp;$A$4&amp;")'!f48")</f>
        <v>2</v>
      </c>
      <c r="G48" s="19">
        <f ca="1">INDIRECT("'("&amp;$A$4&amp;")'!g48")</f>
        <v>0</v>
      </c>
      <c r="H48" s="20">
        <f t="shared" ref="H48" ca="1" si="10">IF(F48+G48=0,"-",(G48/(F48+G48)))</f>
        <v>0</v>
      </c>
      <c r="I48" s="19"/>
      <c r="J48" s="14">
        <f t="shared" ref="J48" ca="1" si="11">B48+F48</f>
        <v>2</v>
      </c>
      <c r="K48" s="14">
        <f t="shared" ref="K48" ca="1" si="12">C48+G48</f>
        <v>0</v>
      </c>
      <c r="L48" s="15">
        <f t="shared" ref="L48" ca="1" si="13">IF(J48+K48=0,"-",(K48/(J48+K48)))</f>
        <v>0</v>
      </c>
      <c r="M48" s="19"/>
      <c r="N48" s="19">
        <f ca="1">INDIRECT("'("&amp;$A$4&amp;")'!n48")</f>
        <v>0</v>
      </c>
      <c r="O48" s="19">
        <f ca="1">INDIRECT("'("&amp;$A$4&amp;")'!o48")</f>
        <v>0</v>
      </c>
      <c r="P48" s="20" t="str">
        <f t="shared" ref="P48" ca="1" si="14">IF(N48+O48=0,"-",(O48/(N48+O48)))</f>
        <v>-</v>
      </c>
      <c r="Q48" s="19"/>
      <c r="R48" s="19">
        <f ca="1">INDIRECT("'("&amp;$A$4&amp;")'!r48")</f>
        <v>0</v>
      </c>
      <c r="S48" s="19">
        <f ca="1">INDIRECT("'("&amp;$A$4&amp;")'!s48")</f>
        <v>0</v>
      </c>
      <c r="T48" s="20" t="str">
        <f t="shared" ref="T48" ca="1" si="15">IF(R48+S48=0,"-",(S48/(R48+S48)))</f>
        <v>-</v>
      </c>
      <c r="U48" s="19"/>
      <c r="V48" s="14">
        <f t="shared" ref="V48" ca="1" si="16">J48+N48+R48</f>
        <v>2</v>
      </c>
      <c r="W48" s="14">
        <f t="shared" ref="W48" ca="1" si="17">K48+O48+S48</f>
        <v>0</v>
      </c>
      <c r="X48" s="20">
        <f t="shared" ref="X48" ca="1" si="18">IF(V48+W48=0,"-",(W48/(V48+W48)))</f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 ca="1">SUM(B50:B56)</f>
        <v>374</v>
      </c>
      <c r="C49" s="14">
        <f ca="1">SUM(C50:C56)</f>
        <v>66</v>
      </c>
      <c r="D49" s="15">
        <f t="shared" ca="1" si="0"/>
        <v>0.15</v>
      </c>
      <c r="E49" s="14"/>
      <c r="F49" s="14">
        <f ca="1">SUM(F50:F56)</f>
        <v>49</v>
      </c>
      <c r="G49" s="14">
        <f ca="1">SUM(G50:G56)</f>
        <v>6</v>
      </c>
      <c r="H49" s="15">
        <f t="shared" ca="1" si="1"/>
        <v>0.10909090909090909</v>
      </c>
      <c r="I49" s="14"/>
      <c r="J49" s="14">
        <f t="shared" ca="1" si="2"/>
        <v>423</v>
      </c>
      <c r="K49" s="14">
        <f t="shared" ca="1" si="2"/>
        <v>72</v>
      </c>
      <c r="L49" s="15">
        <f t="shared" ca="1" si="3"/>
        <v>0.14545454545454545</v>
      </c>
      <c r="M49" s="14"/>
      <c r="N49" s="14">
        <f ca="1">SUM(N50:N56)</f>
        <v>9</v>
      </c>
      <c r="O49" s="14">
        <f ca="1">SUM(O50:O56)</f>
        <v>24</v>
      </c>
      <c r="P49" s="15">
        <f t="shared" ca="1" si="4"/>
        <v>0.72727272727272729</v>
      </c>
      <c r="Q49" s="14"/>
      <c r="R49" s="14">
        <f ca="1">SUM(R50:R56)</f>
        <v>147</v>
      </c>
      <c r="S49" s="14">
        <f ca="1">SUM(S50:S56)</f>
        <v>155</v>
      </c>
      <c r="T49" s="15">
        <f t="shared" ca="1" si="5"/>
        <v>0.51324503311258274</v>
      </c>
      <c r="U49" s="14"/>
      <c r="V49" s="14">
        <f ca="1">SUM(V50:V56)</f>
        <v>579</v>
      </c>
      <c r="W49" s="14">
        <f ca="1">SUM(W50:W56)</f>
        <v>251</v>
      </c>
      <c r="X49" s="15">
        <f t="shared" ca="1" si="8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f ca="1">INDIRECT("'("&amp;$A$4&amp;")'!b50")</f>
        <v>38</v>
      </c>
      <c r="C50" s="19">
        <f ca="1">INDIRECT("'("&amp;$A$4&amp;")'!c50")</f>
        <v>17</v>
      </c>
      <c r="D50" s="20">
        <f t="shared" ca="1" si="0"/>
        <v>0.30909090909090908</v>
      </c>
      <c r="E50" s="19"/>
      <c r="F50" s="19">
        <f ca="1">INDIRECT("'("&amp;$A$4&amp;")'!f50")</f>
        <v>0</v>
      </c>
      <c r="G50" s="19">
        <f ca="1">INDIRECT("'("&amp;$A$4&amp;")'!g50")</f>
        <v>0</v>
      </c>
      <c r="H50" s="20" t="str">
        <f t="shared" ca="1" si="1"/>
        <v>-</v>
      </c>
      <c r="I50" s="19"/>
      <c r="J50" s="14">
        <f t="shared" ca="1" si="2"/>
        <v>38</v>
      </c>
      <c r="K50" s="14">
        <f t="shared" ca="1" si="2"/>
        <v>17</v>
      </c>
      <c r="L50" s="15">
        <f t="shared" ca="1" si="3"/>
        <v>0.30909090909090908</v>
      </c>
      <c r="M50" s="19"/>
      <c r="N50" s="19">
        <f ca="1">INDIRECT("'("&amp;$A$4&amp;")'!n50")</f>
        <v>0</v>
      </c>
      <c r="O50" s="19">
        <f ca="1">INDIRECT("'("&amp;$A$4&amp;")'!o50")</f>
        <v>0</v>
      </c>
      <c r="P50" s="20" t="str">
        <f t="shared" ca="1" si="4"/>
        <v>-</v>
      </c>
      <c r="Q50" s="19"/>
      <c r="R50" s="19">
        <f ca="1">INDIRECT("'("&amp;$A$4&amp;")'!r50")</f>
        <v>43</v>
      </c>
      <c r="S50" s="19">
        <f ca="1">INDIRECT("'("&amp;$A$4&amp;")'!s50")</f>
        <v>37</v>
      </c>
      <c r="T50" s="20">
        <f t="shared" ca="1" si="5"/>
        <v>0.46250000000000002</v>
      </c>
      <c r="U50" s="19"/>
      <c r="V50" s="14">
        <f t="shared" ref="V50:V55" ca="1" si="19">J50+N50+R50</f>
        <v>81</v>
      </c>
      <c r="W50" s="14">
        <f t="shared" ref="W50:W55" ca="1" si="20">K50+O50+S50</f>
        <v>54</v>
      </c>
      <c r="X50" s="20">
        <f t="shared" ca="1" si="8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f ca="1">INDIRECT("'("&amp;$A$4&amp;")'!b51")</f>
        <v>26</v>
      </c>
      <c r="C51" s="19">
        <f ca="1">INDIRECT("'("&amp;$A$4&amp;")'!c51")</f>
        <v>6</v>
      </c>
      <c r="D51" s="20">
        <f t="shared" ca="1" si="0"/>
        <v>0.1875</v>
      </c>
      <c r="E51" s="19"/>
      <c r="F51" s="19">
        <f ca="1">INDIRECT("'("&amp;$A$4&amp;")'!f51")</f>
        <v>13</v>
      </c>
      <c r="G51" s="19">
        <f ca="1">INDIRECT("'("&amp;$A$4&amp;")'!g51")</f>
        <v>3</v>
      </c>
      <c r="H51" s="20">
        <f t="shared" ca="1" si="1"/>
        <v>0.1875</v>
      </c>
      <c r="I51" s="19"/>
      <c r="J51" s="14">
        <f t="shared" ca="1" si="2"/>
        <v>39</v>
      </c>
      <c r="K51" s="14">
        <f t="shared" ca="1" si="2"/>
        <v>9</v>
      </c>
      <c r="L51" s="15">
        <f t="shared" ca="1" si="3"/>
        <v>0.1875</v>
      </c>
      <c r="M51" s="19"/>
      <c r="N51" s="19">
        <f ca="1">INDIRECT("'("&amp;$A$4&amp;")'!n51")</f>
        <v>1</v>
      </c>
      <c r="O51" s="19">
        <f ca="1">INDIRECT("'("&amp;$A$4&amp;")'!o51")</f>
        <v>6</v>
      </c>
      <c r="P51" s="20">
        <f t="shared" ca="1" si="4"/>
        <v>0.8571428571428571</v>
      </c>
      <c r="Q51" s="19"/>
      <c r="R51" s="19">
        <f ca="1">INDIRECT("'("&amp;$A$4&amp;")'!r51")</f>
        <v>13</v>
      </c>
      <c r="S51" s="19">
        <f ca="1">INDIRECT("'("&amp;$A$4&amp;")'!s51")</f>
        <v>4</v>
      </c>
      <c r="T51" s="20">
        <f t="shared" ca="1" si="5"/>
        <v>0.23529411764705882</v>
      </c>
      <c r="U51" s="19"/>
      <c r="V51" s="14">
        <f t="shared" ca="1" si="19"/>
        <v>53</v>
      </c>
      <c r="W51" s="14">
        <f t="shared" ca="1" si="20"/>
        <v>19</v>
      </c>
      <c r="X51" s="20">
        <f t="shared" ca="1" si="8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f ca="1">INDIRECT("'("&amp;$A$4&amp;")'!b52")</f>
        <v>30</v>
      </c>
      <c r="C52" s="19">
        <f ca="1">INDIRECT("'("&amp;$A$4&amp;")'!c52")</f>
        <v>2</v>
      </c>
      <c r="D52" s="20">
        <f t="shared" ca="1" si="0"/>
        <v>6.25E-2</v>
      </c>
      <c r="E52" s="19"/>
      <c r="F52" s="19">
        <f ca="1">INDIRECT("'("&amp;$A$4&amp;")'!f52")</f>
        <v>24</v>
      </c>
      <c r="G52" s="19">
        <f ca="1">INDIRECT("'("&amp;$A$4&amp;")'!g52")</f>
        <v>2</v>
      </c>
      <c r="H52" s="20">
        <f t="shared" ca="1" si="1"/>
        <v>7.6923076923076927E-2</v>
      </c>
      <c r="I52" s="19"/>
      <c r="J52" s="14">
        <f t="shared" ca="1" si="2"/>
        <v>54</v>
      </c>
      <c r="K52" s="14">
        <f t="shared" ca="1" si="2"/>
        <v>4</v>
      </c>
      <c r="L52" s="15">
        <f t="shared" ca="1" si="3"/>
        <v>6.8965517241379309E-2</v>
      </c>
      <c r="M52" s="19"/>
      <c r="N52" s="19">
        <f ca="1">INDIRECT("'("&amp;$A$4&amp;")'!n52")</f>
        <v>1</v>
      </c>
      <c r="O52" s="19">
        <f ca="1">INDIRECT("'("&amp;$A$4&amp;")'!o52")</f>
        <v>2</v>
      </c>
      <c r="P52" s="20">
        <f t="shared" ca="1" si="4"/>
        <v>0.66666666666666663</v>
      </c>
      <c r="Q52" s="19"/>
      <c r="R52" s="19">
        <f ca="1">INDIRECT("'("&amp;$A$4&amp;")'!r52")</f>
        <v>16</v>
      </c>
      <c r="S52" s="19">
        <f ca="1">INDIRECT("'("&amp;$A$4&amp;")'!s52")</f>
        <v>21</v>
      </c>
      <c r="T52" s="20">
        <f t="shared" ca="1" si="5"/>
        <v>0.56756756756756754</v>
      </c>
      <c r="U52" s="19"/>
      <c r="V52" s="14">
        <f t="shared" ca="1" si="19"/>
        <v>71</v>
      </c>
      <c r="W52" s="14">
        <f t="shared" ca="1" si="20"/>
        <v>27</v>
      </c>
      <c r="X52" s="20">
        <f t="shared" ca="1" si="8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f ca="1">INDIRECT("'("&amp;$A$4&amp;")'!b53")</f>
        <v>4</v>
      </c>
      <c r="C53" s="19">
        <f ca="1">INDIRECT("'("&amp;$A$4&amp;")'!c53")</f>
        <v>2</v>
      </c>
      <c r="D53" s="20">
        <f t="shared" ca="1" si="0"/>
        <v>0.33333333333333331</v>
      </c>
      <c r="E53" s="19"/>
      <c r="F53" s="19">
        <f ca="1">INDIRECT("'("&amp;$A$4&amp;")'!f53")</f>
        <v>5</v>
      </c>
      <c r="G53" s="19">
        <f ca="1">INDIRECT("'("&amp;$A$4&amp;")'!g53")</f>
        <v>1</v>
      </c>
      <c r="H53" s="20">
        <f t="shared" ca="1" si="1"/>
        <v>0.16666666666666666</v>
      </c>
      <c r="I53" s="19"/>
      <c r="J53" s="14">
        <f t="shared" ca="1" si="2"/>
        <v>9</v>
      </c>
      <c r="K53" s="14">
        <f t="shared" ca="1" si="2"/>
        <v>3</v>
      </c>
      <c r="L53" s="15">
        <f t="shared" ca="1" si="3"/>
        <v>0.25</v>
      </c>
      <c r="M53" s="19"/>
      <c r="N53" s="19">
        <f ca="1">INDIRECT("'("&amp;$A$4&amp;")'!n53")</f>
        <v>0</v>
      </c>
      <c r="O53" s="19">
        <f ca="1">INDIRECT("'("&amp;$A$4&amp;")'!o53")</f>
        <v>1</v>
      </c>
      <c r="P53" s="20">
        <f t="shared" ca="1" si="4"/>
        <v>1</v>
      </c>
      <c r="Q53" s="19"/>
      <c r="R53" s="19">
        <f ca="1">INDIRECT("'("&amp;$A$4&amp;")'!r53")</f>
        <v>12</v>
      </c>
      <c r="S53" s="19">
        <f ca="1">INDIRECT("'("&amp;$A$4&amp;")'!s53")</f>
        <v>13</v>
      </c>
      <c r="T53" s="20">
        <f t="shared" ca="1" si="5"/>
        <v>0.52</v>
      </c>
      <c r="U53" s="19"/>
      <c r="V53" s="14">
        <f t="shared" ca="1" si="19"/>
        <v>21</v>
      </c>
      <c r="W53" s="14">
        <f t="shared" ca="1" si="20"/>
        <v>17</v>
      </c>
      <c r="X53" s="20">
        <f t="shared" ca="1" si="8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f ca="1">INDIRECT("'("&amp;$A$4&amp;")'!b54")</f>
        <v>57</v>
      </c>
      <c r="C54" s="19">
        <f ca="1">INDIRECT("'("&amp;$A$4&amp;")'!c54")</f>
        <v>16</v>
      </c>
      <c r="D54" s="20">
        <f t="shared" ca="1" si="0"/>
        <v>0.21917808219178081</v>
      </c>
      <c r="E54" s="19"/>
      <c r="F54" s="19">
        <f ca="1">INDIRECT("'("&amp;$A$4&amp;")'!f54")</f>
        <v>0</v>
      </c>
      <c r="G54" s="19">
        <f ca="1">INDIRECT("'("&amp;$A$4&amp;")'!g54")</f>
        <v>0</v>
      </c>
      <c r="H54" s="20" t="str">
        <f t="shared" ca="1" si="1"/>
        <v>-</v>
      </c>
      <c r="I54" s="19"/>
      <c r="J54" s="14">
        <f t="shared" ca="1" si="2"/>
        <v>57</v>
      </c>
      <c r="K54" s="14">
        <f t="shared" ca="1" si="2"/>
        <v>16</v>
      </c>
      <c r="L54" s="15">
        <f t="shared" ca="1" si="3"/>
        <v>0.21917808219178081</v>
      </c>
      <c r="M54" s="19"/>
      <c r="N54" s="19">
        <f ca="1">INDIRECT("'("&amp;$A$4&amp;")'!n54")</f>
        <v>0</v>
      </c>
      <c r="O54" s="19">
        <f ca="1">INDIRECT("'("&amp;$A$4&amp;")'!o54")</f>
        <v>2</v>
      </c>
      <c r="P54" s="20">
        <f t="shared" ca="1" si="4"/>
        <v>1</v>
      </c>
      <c r="Q54" s="19"/>
      <c r="R54" s="19">
        <f ca="1">INDIRECT("'("&amp;$A$4&amp;")'!r54")</f>
        <v>5</v>
      </c>
      <c r="S54" s="19">
        <f ca="1">INDIRECT("'("&amp;$A$4&amp;")'!s54")</f>
        <v>14</v>
      </c>
      <c r="T54" s="20">
        <f t="shared" ca="1" si="5"/>
        <v>0.73684210526315785</v>
      </c>
      <c r="U54" s="19"/>
      <c r="V54" s="14">
        <f t="shared" ca="1" si="19"/>
        <v>62</v>
      </c>
      <c r="W54" s="14">
        <f t="shared" ca="1" si="20"/>
        <v>32</v>
      </c>
      <c r="X54" s="20">
        <f t="shared" ca="1" si="8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thickBot="1" x14ac:dyDescent="0.4">
      <c r="A55" s="2" t="s">
        <v>57</v>
      </c>
      <c r="B55" s="19">
        <f ca="1">INDIRECT("'("&amp;$A$4&amp;")'!b55")</f>
        <v>35</v>
      </c>
      <c r="C55" s="19">
        <f ca="1">INDIRECT("'("&amp;$A$4&amp;")'!c55")</f>
        <v>1</v>
      </c>
      <c r="D55" s="20">
        <f t="shared" ca="1" si="0"/>
        <v>2.7777777777777776E-2</v>
      </c>
      <c r="E55" s="24"/>
      <c r="F55" s="19">
        <f ca="1">INDIRECT("'("&amp;$A$4&amp;")'!f55")</f>
        <v>7</v>
      </c>
      <c r="G55" s="19">
        <f ca="1">INDIRECT("'("&amp;$A$4&amp;")'!g55")</f>
        <v>0</v>
      </c>
      <c r="H55" s="20">
        <f t="shared" ca="1" si="1"/>
        <v>0</v>
      </c>
      <c r="I55" s="24"/>
      <c r="J55" s="14">
        <f t="shared" ca="1" si="2"/>
        <v>42</v>
      </c>
      <c r="K55" s="14">
        <f t="shared" ca="1" si="2"/>
        <v>1</v>
      </c>
      <c r="L55" s="15">
        <f t="shared" ca="1" si="3"/>
        <v>2.3255813953488372E-2</v>
      </c>
      <c r="M55" s="24"/>
      <c r="N55" s="19">
        <f ca="1">INDIRECT("'("&amp;$A$4&amp;")'!n55")</f>
        <v>0</v>
      </c>
      <c r="O55" s="19">
        <f ca="1">INDIRECT("'("&amp;$A$4&amp;")'!o55")</f>
        <v>0</v>
      </c>
      <c r="P55" s="20" t="str">
        <f t="shared" ca="1" si="4"/>
        <v>-</v>
      </c>
      <c r="Q55" s="24"/>
      <c r="R55" s="19">
        <f ca="1">INDIRECT("'("&amp;$A$4&amp;")'!r55")</f>
        <v>25</v>
      </c>
      <c r="S55" s="19">
        <f ca="1">INDIRECT("'("&amp;$A$4&amp;")'!s55")</f>
        <v>25</v>
      </c>
      <c r="T55" s="20">
        <f t="shared" ca="1" si="5"/>
        <v>0.5</v>
      </c>
      <c r="U55" s="24"/>
      <c r="V55" s="14">
        <f t="shared" ca="1" si="19"/>
        <v>67</v>
      </c>
      <c r="W55" s="14">
        <f t="shared" ca="1" si="20"/>
        <v>26</v>
      </c>
      <c r="X55" s="20">
        <f t="shared" ca="1" si="8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19">
        <f ca="1">INDIRECT("'("&amp;$A$4&amp;")'!b56")</f>
        <v>184</v>
      </c>
      <c r="C56" s="19">
        <f ca="1">INDIRECT("'("&amp;$A$4&amp;")'!c56")</f>
        <v>22</v>
      </c>
      <c r="D56" s="20">
        <f t="shared" ref="D56" ca="1" si="21">IF(B56+C56=0,"-",(C56/(B56+C56)))</f>
        <v>0.10679611650485436</v>
      </c>
      <c r="E56" s="24"/>
      <c r="F56" s="19">
        <f ca="1">INDIRECT("'("&amp;$A$4&amp;")'!f56")</f>
        <v>0</v>
      </c>
      <c r="G56" s="19">
        <f ca="1">INDIRECT("'("&amp;$A$4&amp;")'!g56")</f>
        <v>0</v>
      </c>
      <c r="H56" s="20" t="str">
        <f t="shared" ref="H56" ca="1" si="22">IF(F56+G56=0,"-",(G56/(F56+G56)))</f>
        <v>-</v>
      </c>
      <c r="I56" s="24"/>
      <c r="J56" s="14">
        <f t="shared" ref="J56" ca="1" si="23">B56+F56</f>
        <v>184</v>
      </c>
      <c r="K56" s="14">
        <f t="shared" ref="K56" ca="1" si="24">C56+G56</f>
        <v>22</v>
      </c>
      <c r="L56" s="15">
        <f t="shared" ref="L56" ca="1" si="25">IF(J56+K56=0,"-",(K56/(J56+K56)))</f>
        <v>0.10679611650485436</v>
      </c>
      <c r="M56" s="24"/>
      <c r="N56" s="19">
        <f ca="1">INDIRECT("'("&amp;$A$4&amp;")'!n56")</f>
        <v>7</v>
      </c>
      <c r="O56" s="19">
        <f ca="1">INDIRECT("'("&amp;$A$4&amp;")'!o56")</f>
        <v>13</v>
      </c>
      <c r="P56" s="20">
        <f t="shared" ref="P56" ca="1" si="26">IF(N56+O56=0,"-",(O56/(N56+O56)))</f>
        <v>0.65</v>
      </c>
      <c r="Q56" s="24"/>
      <c r="R56" s="19">
        <f ca="1">INDIRECT("'("&amp;$A$4&amp;")'!r56")</f>
        <v>33</v>
      </c>
      <c r="S56" s="19">
        <f ca="1">INDIRECT("'("&amp;$A$4&amp;")'!s56")</f>
        <v>41</v>
      </c>
      <c r="T56" s="20">
        <f t="shared" ref="T56" ca="1" si="27">IF(R56+S56=0,"-",(S56/(R56+S56)))</f>
        <v>0.55405405405405406</v>
      </c>
      <c r="U56" s="24"/>
      <c r="V56" s="14">
        <f t="shared" ref="V56" ca="1" si="28">J56+N56+R56</f>
        <v>224</v>
      </c>
      <c r="W56" s="14">
        <f t="shared" ref="W56" ca="1" si="29">K56+O56+S56</f>
        <v>76</v>
      </c>
      <c r="X56" s="20">
        <f t="shared" ref="X56" ca="1" si="30">IF(V56+W56=0,"-",(W56/(V56+W56)))</f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5"/>
      <c r="Z57" s="5"/>
      <c r="AA57" s="16"/>
      <c r="AB57" s="16"/>
      <c r="AC57" s="16"/>
      <c r="AD57" s="16"/>
      <c r="AE57" s="16"/>
      <c r="AF57" s="16"/>
      <c r="AG57" s="16"/>
    </row>
    <row r="58" spans="1:33" x14ac:dyDescent="0.35">
      <c r="A58" s="32" t="s">
        <v>59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33" x14ac:dyDescent="0.35">
      <c r="A59" s="32" t="s">
        <v>69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33" x14ac:dyDescent="0.35">
      <c r="A60" s="33"/>
    </row>
    <row r="61" spans="1:33" x14ac:dyDescent="0.35">
      <c r="A61" s="28" t="s">
        <v>60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33" ht="15" customHeight="1" x14ac:dyDescent="0.35">
      <c r="A62" s="34" t="s">
        <v>61</v>
      </c>
    </row>
    <row r="63" spans="1:33" x14ac:dyDescent="0.3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</row>
    <row r="66" spans="1:24" x14ac:dyDescent="0.3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35">
      <c r="A67" s="32" t="s">
        <v>64</v>
      </c>
      <c r="X67" s="6"/>
    </row>
    <row r="68" spans="1:24" x14ac:dyDescent="0.35">
      <c r="A68" s="30"/>
      <c r="X68" s="37" t="s">
        <v>66</v>
      </c>
    </row>
    <row r="69" spans="1:24" x14ac:dyDescent="0.35">
      <c r="A69" s="5" t="s">
        <v>65</v>
      </c>
      <c r="X69" s="31" t="s">
        <v>68</v>
      </c>
    </row>
    <row r="70" spans="1:24" x14ac:dyDescent="0.35">
      <c r="A70" s="30" t="s">
        <v>67</v>
      </c>
    </row>
  </sheetData>
  <mergeCells count="8">
    <mergeCell ref="A4:L4"/>
    <mergeCell ref="A1:X1"/>
    <mergeCell ref="B6:D6"/>
    <mergeCell ref="F6:H6"/>
    <mergeCell ref="J6:L6"/>
    <mergeCell ref="N6:P6"/>
    <mergeCell ref="R6:T6"/>
    <mergeCell ref="V6:X6"/>
  </mergeCells>
  <hyperlinks>
    <hyperlink ref="A65" r:id="rId1" xr:uid="{00000000-0004-0000-0200-000000000000}"/>
    <hyperlink ref="A70" r:id="rId2" xr:uid="{00000000-0004-0000-0200-000001000000}"/>
    <hyperlink ref="X68" r:id="rId3" xr:uid="{00000000-0004-0000-0200-000002000000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96"/>
  <sheetViews>
    <sheetView tabSelected="1" zoomScale="90" zoomScaleNormal="90" workbookViewId="0">
      <pane ySplit="8" topLeftCell="A9" activePane="bottomLeft" state="frozen"/>
      <selection pane="bottomLeft" activeCell="E3" sqref="A1:X3"/>
    </sheetView>
  </sheetViews>
  <sheetFormatPr defaultColWidth="9.1796875" defaultRowHeight="14.5" x14ac:dyDescent="0.35"/>
  <cols>
    <col min="1" max="1" width="50.7265625" style="5" customWidth="1"/>
    <col min="2" max="3" width="8.7265625" style="5" customWidth="1"/>
    <col min="4" max="4" width="12.7265625" style="5" customWidth="1"/>
    <col min="5" max="5" width="2.7265625" style="5" customWidth="1"/>
    <col min="6" max="7" width="8.7265625" style="5" customWidth="1"/>
    <col min="8" max="8" width="12.7265625" style="5" customWidth="1"/>
    <col min="9" max="9" width="2.7265625" style="5" customWidth="1"/>
    <col min="10" max="11" width="8.7265625" style="5" customWidth="1"/>
    <col min="12" max="12" width="12.7265625" style="5" customWidth="1"/>
    <col min="13" max="13" width="3.7265625" style="5" customWidth="1"/>
    <col min="14" max="15" width="8.7265625" style="5" customWidth="1"/>
    <col min="16" max="16" width="12.7265625" style="5" customWidth="1"/>
    <col min="17" max="17" width="2.7265625" style="5" customWidth="1"/>
    <col min="18" max="19" width="8.7265625" style="5" customWidth="1"/>
    <col min="20" max="20" width="12.7265625" style="5" customWidth="1"/>
    <col min="21" max="21" width="2.7265625" style="5" customWidth="1"/>
    <col min="22" max="23" width="8.7265625" style="5" customWidth="1"/>
    <col min="24" max="24" width="12.7265625" style="5" customWidth="1"/>
    <col min="25" max="25" width="9.1796875" style="5"/>
    <col min="26" max="26" width="0" style="5" hidden="1" customWidth="1"/>
    <col min="27" max="16384" width="9.1796875" style="5"/>
  </cols>
  <sheetData>
    <row r="1" spans="1:34" s="1" customFormat="1" ht="23.25" customHeight="1" x14ac:dyDescent="0.5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4" s="4" customForma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34" s="4" customFormat="1" x14ac:dyDescent="0.35">
      <c r="A3" s="18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34" s="4" customFormat="1" x14ac:dyDescent="0.35">
      <c r="A4" s="54" t="s">
        <v>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34" s="4" customFormat="1" x14ac:dyDescent="0.3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4" s="6" customFormat="1" ht="15.75" customHeight="1" thickBot="1" x14ac:dyDescent="0.4">
      <c r="A6" s="5"/>
      <c r="B6" s="52" t="s">
        <v>81</v>
      </c>
      <c r="C6" s="52"/>
      <c r="D6" s="52"/>
      <c r="E6" s="3"/>
      <c r="F6" s="52" t="s">
        <v>79</v>
      </c>
      <c r="G6" s="52"/>
      <c r="H6" s="52"/>
      <c r="I6" s="3"/>
      <c r="J6" s="53" t="s">
        <v>2</v>
      </c>
      <c r="K6" s="53"/>
      <c r="L6" s="53"/>
      <c r="M6" s="3"/>
      <c r="N6" s="52" t="s">
        <v>3</v>
      </c>
      <c r="O6" s="52"/>
      <c r="P6" s="52"/>
      <c r="Q6" s="3"/>
      <c r="R6" s="52" t="s">
        <v>4</v>
      </c>
      <c r="S6" s="52"/>
      <c r="T6" s="52"/>
      <c r="U6" s="3"/>
      <c r="V6" s="53" t="s">
        <v>5</v>
      </c>
      <c r="W6" s="53"/>
      <c r="X6" s="53"/>
    </row>
    <row r="7" spans="1:34" s="12" customFormat="1" ht="44" thickBot="1" x14ac:dyDescent="0.4">
      <c r="A7" s="7" t="s">
        <v>6</v>
      </c>
      <c r="B7" s="35" t="s">
        <v>7</v>
      </c>
      <c r="C7" s="35" t="s">
        <v>8</v>
      </c>
      <c r="D7" s="9" t="s">
        <v>9</v>
      </c>
      <c r="E7" s="35"/>
      <c r="F7" s="35" t="s">
        <v>7</v>
      </c>
      <c r="G7" s="35" t="s">
        <v>8</v>
      </c>
      <c r="H7" s="9" t="s">
        <v>9</v>
      </c>
      <c r="I7" s="35"/>
      <c r="J7" s="36" t="s">
        <v>7</v>
      </c>
      <c r="K7" s="36" t="s">
        <v>8</v>
      </c>
      <c r="L7" s="11" t="s">
        <v>9</v>
      </c>
      <c r="M7" s="35"/>
      <c r="N7" s="35" t="s">
        <v>7</v>
      </c>
      <c r="O7" s="35" t="s">
        <v>8</v>
      </c>
      <c r="P7" s="9" t="s">
        <v>9</v>
      </c>
      <c r="Q7" s="35"/>
      <c r="R7" s="35" t="s">
        <v>7</v>
      </c>
      <c r="S7" s="35" t="s">
        <v>8</v>
      </c>
      <c r="T7" s="9" t="s">
        <v>9</v>
      </c>
      <c r="U7" s="35"/>
      <c r="V7" s="36" t="s">
        <v>7</v>
      </c>
      <c r="W7" s="36" t="s">
        <v>8</v>
      </c>
      <c r="X7" s="11" t="s">
        <v>9</v>
      </c>
    </row>
    <row r="8" spans="1:34" s="6" customFormat="1" ht="15" customHeight="1" x14ac:dyDescent="0.35">
      <c r="A8" s="13" t="s">
        <v>10</v>
      </c>
      <c r="B8" s="14">
        <f ca="1">B9+B49</f>
        <v>953</v>
      </c>
      <c r="C8" s="14">
        <f ca="1">C9+C49</f>
        <v>153</v>
      </c>
      <c r="D8" s="15">
        <f ca="1">IF(B8+C8=0,"-",(C8/(B8+C8)))</f>
        <v>0.13833634719710669</v>
      </c>
      <c r="E8" s="14"/>
      <c r="F8" s="14">
        <f ca="1">F9+F49</f>
        <v>1387</v>
      </c>
      <c r="G8" s="14">
        <f ca="1">G9+G49</f>
        <v>121</v>
      </c>
      <c r="H8" s="15">
        <f ca="1">IF(F8+G8=0,"-",(G8/(F8+G8)))</f>
        <v>8.0238726790450923E-2</v>
      </c>
      <c r="I8" s="14"/>
      <c r="J8" s="14">
        <f ca="1">J9+J49</f>
        <v>2340</v>
      </c>
      <c r="K8" s="14">
        <f ca="1">K9+K49</f>
        <v>274</v>
      </c>
      <c r="L8" s="44">
        <f ca="1">IF(J8+K8=0,"-",(K8/(J8+K8)))</f>
        <v>0.10482019892884469</v>
      </c>
      <c r="M8" s="14"/>
      <c r="N8" s="14">
        <f ca="1">N9+N49</f>
        <v>45</v>
      </c>
      <c r="O8" s="14">
        <f ca="1">O9+O49</f>
        <v>79</v>
      </c>
      <c r="P8" s="15">
        <f ca="1">IF(N8+O8=0,"-",(O8/(N8+O8)))</f>
        <v>0.63709677419354838</v>
      </c>
      <c r="Q8" s="14"/>
      <c r="R8" s="14">
        <f ca="1">R9+R49</f>
        <v>476</v>
      </c>
      <c r="S8" s="14">
        <f ca="1">S9+S49</f>
        <v>553</v>
      </c>
      <c r="T8" s="15">
        <f ca="1">IF(R8+S8=0,"-",(S8/(R8+S8)))</f>
        <v>0.5374149659863946</v>
      </c>
      <c r="U8" s="14"/>
      <c r="V8" s="14">
        <f ca="1">V9+V49</f>
        <v>2861</v>
      </c>
      <c r="W8" s="14">
        <f ca="1">W9+W49</f>
        <v>906</v>
      </c>
      <c r="X8" s="15">
        <f ca="1">IF(V8+W8=0,"-",(W8/(V8+W8)))</f>
        <v>0.24050968940801698</v>
      </c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6" customFormat="1" ht="15" customHeight="1" x14ac:dyDescent="0.35">
      <c r="A9" s="18" t="s">
        <v>11</v>
      </c>
      <c r="B9" s="14">
        <f ca="1">SUM(B10:B48)</f>
        <v>579</v>
      </c>
      <c r="C9" s="14">
        <f ca="1">SUM(C10:C48)</f>
        <v>87</v>
      </c>
      <c r="D9" s="15">
        <f ca="1">IF(B9+C9=0,"-",(C9/(B9+C9)))</f>
        <v>0.13063063063063063</v>
      </c>
      <c r="E9" s="14"/>
      <c r="F9" s="14">
        <f ca="1">SUM(F10:F48)</f>
        <v>1338</v>
      </c>
      <c r="G9" s="14">
        <f ca="1">SUM(G10:G48)</f>
        <v>115</v>
      </c>
      <c r="H9" s="15">
        <f ca="1">IF(F9+G9=0,"-",(G9/(F9+G9)))</f>
        <v>7.9146593255333797E-2</v>
      </c>
      <c r="I9" s="14"/>
      <c r="J9" s="14">
        <f ca="1">SUM(J10:J48)</f>
        <v>1917</v>
      </c>
      <c r="K9" s="14">
        <f ca="1">SUM(K10:K48)</f>
        <v>202</v>
      </c>
      <c r="L9" s="15">
        <f ca="1">IF(J9+K9=0,"-",(K9/(J9+K9)))</f>
        <v>9.5327984898537041E-2</v>
      </c>
      <c r="M9" s="14"/>
      <c r="N9" s="14">
        <f ca="1">SUM(N10:N48)</f>
        <v>36</v>
      </c>
      <c r="O9" s="14">
        <f ca="1">SUM(O10:O48)</f>
        <v>55</v>
      </c>
      <c r="P9" s="15">
        <f ca="1">IF(N9+O9=0,"-",(O9/(N9+O9)))</f>
        <v>0.60439560439560436</v>
      </c>
      <c r="Q9" s="14"/>
      <c r="R9" s="14">
        <f ca="1">SUM(R10:R48)</f>
        <v>329</v>
      </c>
      <c r="S9" s="14">
        <f ca="1">SUM(S10:S48)</f>
        <v>398</v>
      </c>
      <c r="T9" s="15">
        <f ca="1">IF(R9+S9=0,"-",(S9/(R9+S9)))</f>
        <v>0.54745529573590102</v>
      </c>
      <c r="U9" s="14"/>
      <c r="V9" s="14">
        <f ca="1">SUM(V10:V48)</f>
        <v>2282</v>
      </c>
      <c r="W9" s="14">
        <f ca="1">SUM(W10:W48)</f>
        <v>655</v>
      </c>
      <c r="X9" s="15">
        <f ca="1">IF(V9+W9=0,"-",(W9/(V9+W9)))</f>
        <v>0.22301668369084099</v>
      </c>
      <c r="Y9" s="16"/>
      <c r="Z9" s="16"/>
      <c r="AA9" s="16"/>
      <c r="AB9" s="16"/>
      <c r="AC9" s="16"/>
      <c r="AD9" s="16"/>
      <c r="AE9" s="16"/>
      <c r="AF9" s="16"/>
      <c r="AG9" s="16"/>
    </row>
    <row r="10" spans="1:34" s="6" customFormat="1" ht="15" customHeight="1" x14ac:dyDescent="0.35">
      <c r="A10" s="5" t="s">
        <v>12</v>
      </c>
      <c r="B10" s="19">
        <f ca="1">ROUND(FIRE1120_raw!B10,0)</f>
        <v>23</v>
      </c>
      <c r="C10" s="19">
        <f ca="1">ROUND(FIRE1120_raw!C10,0)</f>
        <v>2</v>
      </c>
      <c r="D10" s="20">
        <f t="shared" ref="D10:D55" ca="1" si="0">IF(B10+C10=0,"-",(C10/(B10+C10)))</f>
        <v>0.08</v>
      </c>
      <c r="E10" s="19"/>
      <c r="F10" s="19">
        <f ca="1">ROUND(FIRE1120_raw!F10,0)</f>
        <v>26</v>
      </c>
      <c r="G10" s="19">
        <f ca="1">ROUND(FIRE1120_raw!G10,0)</f>
        <v>4</v>
      </c>
      <c r="H10" s="20">
        <f t="shared" ref="H10:H55" ca="1" si="1">IF(F10+G10=0,"-",(G10/(F10+G10)))</f>
        <v>0.13333333333333333</v>
      </c>
      <c r="I10" s="19"/>
      <c r="J10" s="14">
        <f t="shared" ref="J10:K55" ca="1" si="2">B10+F10</f>
        <v>49</v>
      </c>
      <c r="K10" s="14">
        <f t="shared" ca="1" si="2"/>
        <v>6</v>
      </c>
      <c r="L10" s="15">
        <f t="shared" ref="L10:L55" ca="1" si="3">IF(J10+K10=0,"-",(K10/(J10+K10)))</f>
        <v>0.10909090909090909</v>
      </c>
      <c r="M10" s="19"/>
      <c r="N10" s="19">
        <f ca="1">ROUND(FIRE1120_raw!N10,0)</f>
        <v>2</v>
      </c>
      <c r="O10" s="19">
        <f ca="1">ROUND(FIRE1120_raw!O10,0)</f>
        <v>0</v>
      </c>
      <c r="P10" s="20">
        <f t="shared" ref="P10:P55" ca="1" si="4">IF(N10+O10=0,"-",(O10/(N10+O10)))</f>
        <v>0</v>
      </c>
      <c r="Q10" s="19"/>
      <c r="R10" s="19">
        <f ca="1">ROUND(FIRE1120_raw!R10,0)</f>
        <v>11</v>
      </c>
      <c r="S10" s="19">
        <f ca="1">ROUND(FIRE1120_raw!S10,0)</f>
        <v>13</v>
      </c>
      <c r="T10" s="20">
        <f t="shared" ref="T10:T55" ca="1" si="5">IF(R10+S10=0,"-",(S10/(R10+S10)))</f>
        <v>0.54166666666666663</v>
      </c>
      <c r="U10" s="19"/>
      <c r="V10" s="14">
        <f t="shared" ref="V10:W47" ca="1" si="6">J10+N10+R10</f>
        <v>62</v>
      </c>
      <c r="W10" s="14">
        <f t="shared" ca="1" si="6"/>
        <v>19</v>
      </c>
      <c r="X10" s="20">
        <f t="shared" ref="X10:X55" ca="1" si="7">IF(V10+W10=0,"-",(W10/(V10+W10)))</f>
        <v>0.23456790123456789</v>
      </c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4" s="6" customFormat="1" ht="15" customHeight="1" x14ac:dyDescent="0.35">
      <c r="A11" s="5" t="s">
        <v>13</v>
      </c>
      <c r="B11" s="19">
        <f ca="1">ROUND(FIRE1120_raw!B11,0)</f>
        <v>23</v>
      </c>
      <c r="C11" s="19">
        <f ca="1">ROUND(FIRE1120_raw!C11,0)</f>
        <v>2</v>
      </c>
      <c r="D11" s="20">
        <f t="shared" ca="1" si="0"/>
        <v>0.08</v>
      </c>
      <c r="E11" s="19"/>
      <c r="F11" s="19">
        <f ca="1">ROUND(FIRE1120_raw!F11,0)</f>
        <v>29</v>
      </c>
      <c r="G11" s="19">
        <f ca="1">ROUND(FIRE1120_raw!G11,0)</f>
        <v>4</v>
      </c>
      <c r="H11" s="20">
        <f t="shared" ca="1" si="1"/>
        <v>0.12121212121212122</v>
      </c>
      <c r="I11" s="19"/>
      <c r="J11" s="14">
        <f t="shared" ca="1" si="2"/>
        <v>52</v>
      </c>
      <c r="K11" s="14">
        <f t="shared" ca="1" si="2"/>
        <v>6</v>
      </c>
      <c r="L11" s="15">
        <f t="shared" ca="1" si="3"/>
        <v>0.10344827586206896</v>
      </c>
      <c r="M11" s="19"/>
      <c r="N11" s="19">
        <f ca="1">ROUND(FIRE1120_raw!N11,0)</f>
        <v>0</v>
      </c>
      <c r="O11" s="19">
        <f ca="1">ROUND(FIRE1120_raw!O11,0)</f>
        <v>0</v>
      </c>
      <c r="P11" s="20" t="str">
        <f t="shared" ca="1" si="4"/>
        <v>-</v>
      </c>
      <c r="Q11" s="19"/>
      <c r="R11" s="19">
        <f ca="1">ROUND(FIRE1120_raw!R11,0)</f>
        <v>7</v>
      </c>
      <c r="S11" s="19">
        <f ca="1">ROUND(FIRE1120_raw!S11,0)</f>
        <v>19</v>
      </c>
      <c r="T11" s="20">
        <f t="shared" ca="1" si="5"/>
        <v>0.73076923076923073</v>
      </c>
      <c r="U11" s="19"/>
      <c r="V11" s="14">
        <f t="shared" ca="1" si="6"/>
        <v>59</v>
      </c>
      <c r="W11" s="14">
        <f t="shared" ca="1" si="6"/>
        <v>25</v>
      </c>
      <c r="X11" s="20">
        <f t="shared" ca="1" si="7"/>
        <v>0.29761904761904762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4" s="6" customFormat="1" ht="15" customHeight="1" x14ac:dyDescent="0.35">
      <c r="A12" s="5" t="s">
        <v>14</v>
      </c>
      <c r="B12" s="19">
        <f ca="1">ROUND(FIRE1120_raw!B12,0)</f>
        <v>18</v>
      </c>
      <c r="C12" s="19">
        <f ca="1">ROUND(FIRE1120_raw!C12,0)</f>
        <v>3</v>
      </c>
      <c r="D12" s="20">
        <f t="shared" ca="1" si="0"/>
        <v>0.14285714285714285</v>
      </c>
      <c r="E12" s="19"/>
      <c r="F12" s="19">
        <f ca="1">ROUND(FIRE1120_raw!F12,0)</f>
        <v>20</v>
      </c>
      <c r="G12" s="19">
        <f ca="1">ROUND(FIRE1120_raw!G12,0)</f>
        <v>0</v>
      </c>
      <c r="H12" s="20">
        <f t="shared" ca="1" si="1"/>
        <v>0</v>
      </c>
      <c r="I12" s="19"/>
      <c r="J12" s="14">
        <f t="shared" ca="1" si="2"/>
        <v>38</v>
      </c>
      <c r="K12" s="14">
        <f t="shared" ca="1" si="2"/>
        <v>3</v>
      </c>
      <c r="L12" s="15">
        <f t="shared" ca="1" si="3"/>
        <v>7.3170731707317069E-2</v>
      </c>
      <c r="M12" s="19"/>
      <c r="N12" s="19">
        <f ca="1">ROUND(FIRE1120_raw!N12,0)</f>
        <v>2</v>
      </c>
      <c r="O12" s="19">
        <f ca="1">ROUND(FIRE1120_raw!O12,0)</f>
        <v>7</v>
      </c>
      <c r="P12" s="20">
        <f t="shared" ca="1" si="4"/>
        <v>0.77777777777777779</v>
      </c>
      <c r="Q12" s="19"/>
      <c r="R12" s="19">
        <f ca="1">ROUND(FIRE1120_raw!R12,0)</f>
        <v>19</v>
      </c>
      <c r="S12" s="19">
        <f ca="1">ROUND(FIRE1120_raw!S12,0)</f>
        <v>23</v>
      </c>
      <c r="T12" s="20">
        <f t="shared" ca="1" si="5"/>
        <v>0.54761904761904767</v>
      </c>
      <c r="U12" s="19"/>
      <c r="V12" s="14">
        <f t="shared" ca="1" si="6"/>
        <v>59</v>
      </c>
      <c r="W12" s="14">
        <f t="shared" ca="1" si="6"/>
        <v>33</v>
      </c>
      <c r="X12" s="20">
        <f t="shared" ca="1" si="7"/>
        <v>0.35869565217391303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4" s="6" customFormat="1" ht="15" customHeight="1" x14ac:dyDescent="0.35">
      <c r="A13" s="5" t="s">
        <v>15</v>
      </c>
      <c r="B13" s="19">
        <f ca="1">ROUND(FIRE1120_raw!B13,0)</f>
        <v>10</v>
      </c>
      <c r="C13" s="19">
        <f ca="1">ROUND(FIRE1120_raw!C13,0)</f>
        <v>1</v>
      </c>
      <c r="D13" s="20">
        <f t="shared" ca="1" si="0"/>
        <v>9.0909090909090912E-2</v>
      </c>
      <c r="E13" s="19"/>
      <c r="F13" s="19">
        <f ca="1">ROUND(FIRE1120_raw!F13,0)</f>
        <v>18</v>
      </c>
      <c r="G13" s="19">
        <f ca="1">ROUND(FIRE1120_raw!G13,0)</f>
        <v>2</v>
      </c>
      <c r="H13" s="20">
        <f t="shared" ca="1" si="1"/>
        <v>0.1</v>
      </c>
      <c r="I13" s="19"/>
      <c r="J13" s="14">
        <f t="shared" ca="1" si="2"/>
        <v>28</v>
      </c>
      <c r="K13" s="14">
        <f t="shared" ca="1" si="2"/>
        <v>3</v>
      </c>
      <c r="L13" s="15">
        <f t="shared" ca="1" si="3"/>
        <v>9.6774193548387094E-2</v>
      </c>
      <c r="M13" s="19"/>
      <c r="N13" s="19">
        <f ca="1">ROUND(FIRE1120_raw!N13,0)</f>
        <v>0</v>
      </c>
      <c r="O13" s="19">
        <f ca="1">ROUND(FIRE1120_raw!O13,0)</f>
        <v>0</v>
      </c>
      <c r="P13" s="20" t="str">
        <f t="shared" ca="1" si="4"/>
        <v>-</v>
      </c>
      <c r="Q13" s="19"/>
      <c r="R13" s="19">
        <f ca="1">ROUND(FIRE1120_raw!R13,0)</f>
        <v>4</v>
      </c>
      <c r="S13" s="19">
        <f ca="1">ROUND(FIRE1120_raw!S13,0)</f>
        <v>9</v>
      </c>
      <c r="T13" s="20">
        <f t="shared" ca="1" si="5"/>
        <v>0.69230769230769229</v>
      </c>
      <c r="U13" s="19"/>
      <c r="V13" s="14">
        <f t="shared" ca="1" si="6"/>
        <v>32</v>
      </c>
      <c r="W13" s="14">
        <f t="shared" ca="1" si="6"/>
        <v>12</v>
      </c>
      <c r="X13" s="20">
        <f t="shared" ca="1" si="7"/>
        <v>0.27272727272727271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4" s="6" customFormat="1" ht="15" customHeight="1" x14ac:dyDescent="0.35">
      <c r="A14" s="5" t="s">
        <v>16</v>
      </c>
      <c r="B14" s="19">
        <f ca="1">ROUND(FIRE1120_raw!B14,0)</f>
        <v>7</v>
      </c>
      <c r="C14" s="19">
        <f ca="1">ROUND(FIRE1120_raw!C14,0)</f>
        <v>0</v>
      </c>
      <c r="D14" s="20">
        <f t="shared" ca="1" si="0"/>
        <v>0</v>
      </c>
      <c r="E14" s="19"/>
      <c r="F14" s="19">
        <f ca="1">ROUND(FIRE1120_raw!F14,0)</f>
        <v>27</v>
      </c>
      <c r="G14" s="19">
        <f ca="1">ROUND(FIRE1120_raw!G14,0)</f>
        <v>3</v>
      </c>
      <c r="H14" s="20">
        <f t="shared" ca="1" si="1"/>
        <v>0.1</v>
      </c>
      <c r="I14" s="19"/>
      <c r="J14" s="14">
        <f t="shared" ca="1" si="2"/>
        <v>34</v>
      </c>
      <c r="K14" s="14">
        <f t="shared" ca="1" si="2"/>
        <v>3</v>
      </c>
      <c r="L14" s="15">
        <f t="shared" ca="1" si="3"/>
        <v>8.1081081081081086E-2</v>
      </c>
      <c r="M14" s="19"/>
      <c r="N14" s="19">
        <f ca="1">ROUND(FIRE1120_raw!N14,0)</f>
        <v>5</v>
      </c>
      <c r="O14" s="19">
        <f ca="1">ROUND(FIRE1120_raw!O14,0)</f>
        <v>4</v>
      </c>
      <c r="P14" s="20">
        <f t="shared" ca="1" si="4"/>
        <v>0.44444444444444442</v>
      </c>
      <c r="Q14" s="19"/>
      <c r="R14" s="19">
        <f ca="1">ROUND(FIRE1120_raw!R14,0)</f>
        <v>12</v>
      </c>
      <c r="S14" s="19">
        <f ca="1">ROUND(FIRE1120_raw!S14,0)</f>
        <v>12</v>
      </c>
      <c r="T14" s="20">
        <f t="shared" ca="1" si="5"/>
        <v>0.5</v>
      </c>
      <c r="U14" s="19"/>
      <c r="V14" s="14">
        <f t="shared" ca="1" si="6"/>
        <v>51</v>
      </c>
      <c r="W14" s="14">
        <f t="shared" ca="1" si="6"/>
        <v>19</v>
      </c>
      <c r="X14" s="20">
        <f t="shared" ca="1" si="7"/>
        <v>0.27142857142857141</v>
      </c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4" s="6" customFormat="1" ht="15" customHeight="1" x14ac:dyDescent="0.35">
      <c r="A15" s="5" t="s">
        <v>17</v>
      </c>
      <c r="B15" s="19">
        <f ca="1">ROUND(FIRE1120_raw!B15,0)</f>
        <v>18</v>
      </c>
      <c r="C15" s="19">
        <f ca="1">ROUND(FIRE1120_raw!C15,0)</f>
        <v>1</v>
      </c>
      <c r="D15" s="20">
        <f t="shared" ca="1" si="0"/>
        <v>5.2631578947368418E-2</v>
      </c>
      <c r="E15" s="19"/>
      <c r="F15" s="19">
        <f ca="1">ROUND(FIRE1120_raw!F15,0)</f>
        <v>19</v>
      </c>
      <c r="G15" s="19">
        <f ca="1">ROUND(FIRE1120_raw!G15,0)</f>
        <v>2</v>
      </c>
      <c r="H15" s="20">
        <f t="shared" ca="1" si="1"/>
        <v>9.5238095238095233E-2</v>
      </c>
      <c r="I15" s="19"/>
      <c r="J15" s="14">
        <f t="shared" ca="1" si="2"/>
        <v>37</v>
      </c>
      <c r="K15" s="14">
        <f t="shared" ca="1" si="2"/>
        <v>3</v>
      </c>
      <c r="L15" s="15">
        <f t="shared" ca="1" si="3"/>
        <v>7.4999999999999997E-2</v>
      </c>
      <c r="M15" s="19"/>
      <c r="N15" s="19">
        <f ca="1">ROUND(FIRE1120_raw!N15,0)</f>
        <v>0</v>
      </c>
      <c r="O15" s="19">
        <f ca="1">ROUND(FIRE1120_raw!O15,0)</f>
        <v>0</v>
      </c>
      <c r="P15" s="20" t="str">
        <f t="shared" ca="1" si="4"/>
        <v>-</v>
      </c>
      <c r="Q15" s="19"/>
      <c r="R15" s="19">
        <f ca="1">ROUND(FIRE1120_raw!R15,0)</f>
        <v>19</v>
      </c>
      <c r="S15" s="19">
        <f ca="1">ROUND(FIRE1120_raw!S15,0)</f>
        <v>19</v>
      </c>
      <c r="T15" s="20">
        <f t="shared" ca="1" si="5"/>
        <v>0.5</v>
      </c>
      <c r="U15" s="19"/>
      <c r="V15" s="14">
        <f t="shared" ca="1" si="6"/>
        <v>56</v>
      </c>
      <c r="W15" s="14">
        <f t="shared" ca="1" si="6"/>
        <v>22</v>
      </c>
      <c r="X15" s="20">
        <f t="shared" ca="1" si="7"/>
        <v>0.28205128205128205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4" s="6" customFormat="1" ht="15" customHeight="1" x14ac:dyDescent="0.35">
      <c r="A16" s="5" t="s">
        <v>18</v>
      </c>
      <c r="B16" s="19">
        <f ca="1">ROUND(FIRE1120_raw!B16,0)</f>
        <v>21</v>
      </c>
      <c r="C16" s="19">
        <f ca="1">ROUND(FIRE1120_raw!C16,0)</f>
        <v>1</v>
      </c>
      <c r="D16" s="20">
        <f t="shared" ca="1" si="0"/>
        <v>4.5454545454545456E-2</v>
      </c>
      <c r="E16" s="19"/>
      <c r="F16" s="19">
        <f ca="1">ROUND(FIRE1120_raw!F16,0)</f>
        <v>10</v>
      </c>
      <c r="G16" s="19">
        <f ca="1">ROUND(FIRE1120_raw!G16,0)</f>
        <v>1</v>
      </c>
      <c r="H16" s="20">
        <f t="shared" ca="1" si="1"/>
        <v>9.0909090909090912E-2</v>
      </c>
      <c r="I16" s="19"/>
      <c r="J16" s="14">
        <f t="shared" ca="1" si="2"/>
        <v>31</v>
      </c>
      <c r="K16" s="14">
        <f t="shared" ca="1" si="2"/>
        <v>2</v>
      </c>
      <c r="L16" s="15">
        <f t="shared" ca="1" si="3"/>
        <v>6.0606060606060608E-2</v>
      </c>
      <c r="M16" s="19"/>
      <c r="N16" s="19">
        <f ca="1">ROUND(FIRE1120_raw!N16,0)</f>
        <v>0</v>
      </c>
      <c r="O16" s="19">
        <f ca="1">ROUND(FIRE1120_raw!O16,0)</f>
        <v>1</v>
      </c>
      <c r="P16" s="20">
        <f t="shared" ca="1" si="4"/>
        <v>1</v>
      </c>
      <c r="Q16" s="19"/>
      <c r="R16" s="19">
        <f ca="1">ROUND(FIRE1120_raw!R16,0)</f>
        <v>8</v>
      </c>
      <c r="S16" s="19">
        <f ca="1">ROUND(FIRE1120_raw!S16,0)</f>
        <v>5</v>
      </c>
      <c r="T16" s="20">
        <f t="shared" ca="1" si="5"/>
        <v>0.38461538461538464</v>
      </c>
      <c r="U16" s="19"/>
      <c r="V16" s="14">
        <f t="shared" ca="1" si="6"/>
        <v>39</v>
      </c>
      <c r="W16" s="14">
        <f t="shared" ca="1" si="6"/>
        <v>8</v>
      </c>
      <c r="X16" s="20">
        <f t="shared" ca="1" si="7"/>
        <v>0.1702127659574468</v>
      </c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15" customHeight="1" x14ac:dyDescent="0.35">
      <c r="A17" s="5" t="s">
        <v>19</v>
      </c>
      <c r="B17" s="19">
        <f ca="1">ROUND(FIRE1120_raw!B17,0)</f>
        <v>3</v>
      </c>
      <c r="C17" s="19">
        <f ca="1">ROUND(FIRE1120_raw!C17,0)</f>
        <v>2</v>
      </c>
      <c r="D17" s="20">
        <f t="shared" ca="1" si="0"/>
        <v>0.4</v>
      </c>
      <c r="E17" s="19"/>
      <c r="F17" s="19">
        <f ca="1">ROUND(FIRE1120_raw!F17,0)</f>
        <v>23</v>
      </c>
      <c r="G17" s="19">
        <f ca="1">ROUND(FIRE1120_raw!G17,0)</f>
        <v>0</v>
      </c>
      <c r="H17" s="20">
        <f t="shared" ca="1" si="1"/>
        <v>0</v>
      </c>
      <c r="I17" s="19"/>
      <c r="J17" s="14">
        <f t="shared" ca="1" si="2"/>
        <v>26</v>
      </c>
      <c r="K17" s="14">
        <f t="shared" ca="1" si="2"/>
        <v>2</v>
      </c>
      <c r="L17" s="15">
        <f t="shared" ca="1" si="3"/>
        <v>7.1428571428571425E-2</v>
      </c>
      <c r="M17" s="19"/>
      <c r="N17" s="19">
        <f ca="1">ROUND(FIRE1120_raw!N17,0)</f>
        <v>2</v>
      </c>
      <c r="O17" s="19">
        <f ca="1">ROUND(FIRE1120_raw!O17,0)</f>
        <v>1</v>
      </c>
      <c r="P17" s="20">
        <f t="shared" ca="1" si="4"/>
        <v>0.33333333333333331</v>
      </c>
      <c r="Q17" s="19"/>
      <c r="R17" s="19">
        <f ca="1">ROUND(FIRE1120_raw!R17,0)</f>
        <v>3</v>
      </c>
      <c r="S17" s="19">
        <f ca="1">ROUND(FIRE1120_raw!S17,0)</f>
        <v>4</v>
      </c>
      <c r="T17" s="20">
        <f t="shared" ca="1" si="5"/>
        <v>0.5714285714285714</v>
      </c>
      <c r="U17" s="19"/>
      <c r="V17" s="14">
        <f t="shared" ca="1" si="6"/>
        <v>31</v>
      </c>
      <c r="W17" s="14">
        <f t="shared" ca="1" si="6"/>
        <v>7</v>
      </c>
      <c r="X17" s="20">
        <f t="shared" ca="1" si="7"/>
        <v>0.18421052631578946</v>
      </c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6" customFormat="1" ht="15" customHeight="1" x14ac:dyDescent="0.35">
      <c r="A18" s="5" t="s">
        <v>20</v>
      </c>
      <c r="B18" s="19">
        <f ca="1">ROUND(FIRE1120_raw!B18,0)</f>
        <v>1</v>
      </c>
      <c r="C18" s="19">
        <f ca="1">ROUND(FIRE1120_raw!C18,0)</f>
        <v>0</v>
      </c>
      <c r="D18" s="20">
        <f t="shared" ca="1" si="0"/>
        <v>0</v>
      </c>
      <c r="E18" s="19"/>
      <c r="F18" s="19">
        <f ca="1">ROUND(FIRE1120_raw!F18,0)</f>
        <v>31</v>
      </c>
      <c r="G18" s="19">
        <f ca="1">ROUND(FIRE1120_raw!G18,0)</f>
        <v>3</v>
      </c>
      <c r="H18" s="20">
        <f t="shared" ca="1" si="1"/>
        <v>8.8235294117647065E-2</v>
      </c>
      <c r="I18" s="19"/>
      <c r="J18" s="14">
        <f t="shared" ca="1" si="2"/>
        <v>32</v>
      </c>
      <c r="K18" s="14">
        <f t="shared" ca="1" si="2"/>
        <v>3</v>
      </c>
      <c r="L18" s="15">
        <f t="shared" ca="1" si="3"/>
        <v>8.5714285714285715E-2</v>
      </c>
      <c r="M18" s="19"/>
      <c r="N18" s="19">
        <f ca="1">ROUND(FIRE1120_raw!N18,0)</f>
        <v>0</v>
      </c>
      <c r="O18" s="19">
        <f ca="1">ROUND(FIRE1120_raw!O18,0)</f>
        <v>0</v>
      </c>
      <c r="P18" s="20" t="str">
        <f t="shared" ca="1" si="4"/>
        <v>-</v>
      </c>
      <c r="Q18" s="19"/>
      <c r="R18" s="19">
        <f ca="1">ROUND(FIRE1120_raw!R18,0)</f>
        <v>0</v>
      </c>
      <c r="S18" s="19">
        <f ca="1">ROUND(FIRE1120_raw!S18,0)</f>
        <v>1</v>
      </c>
      <c r="T18" s="20">
        <f t="shared" ca="1" si="5"/>
        <v>1</v>
      </c>
      <c r="U18" s="19"/>
      <c r="V18" s="14">
        <f t="shared" ca="1" si="6"/>
        <v>32</v>
      </c>
      <c r="W18" s="14">
        <f t="shared" ca="1" si="6"/>
        <v>4</v>
      </c>
      <c r="X18" s="20">
        <f t="shared" ca="1" si="7"/>
        <v>0.1111111111111111</v>
      </c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6" customFormat="1" ht="15" customHeight="1" x14ac:dyDescent="0.35">
      <c r="A19" s="21" t="s">
        <v>21</v>
      </c>
      <c r="B19" s="19">
        <f ca="1">ROUND(FIRE1120_raw!B19,0)</f>
        <v>3</v>
      </c>
      <c r="C19" s="19">
        <f ca="1">ROUND(FIRE1120_raw!C19,0)</f>
        <v>0</v>
      </c>
      <c r="D19" s="20">
        <f t="shared" ca="1" si="0"/>
        <v>0</v>
      </c>
      <c r="E19" s="19"/>
      <c r="F19" s="19">
        <f ca="1">ROUND(FIRE1120_raw!F19,0)</f>
        <v>26</v>
      </c>
      <c r="G19" s="19">
        <f ca="1">ROUND(FIRE1120_raw!G19,0)</f>
        <v>2</v>
      </c>
      <c r="H19" s="20">
        <f t="shared" ca="1" si="1"/>
        <v>7.1428571428571425E-2</v>
      </c>
      <c r="I19" s="19"/>
      <c r="J19" s="14">
        <f t="shared" ca="1" si="2"/>
        <v>29</v>
      </c>
      <c r="K19" s="14">
        <f t="shared" ca="1" si="2"/>
        <v>2</v>
      </c>
      <c r="L19" s="15">
        <f t="shared" ca="1" si="3"/>
        <v>6.4516129032258063E-2</v>
      </c>
      <c r="M19" s="19"/>
      <c r="N19" s="19">
        <f ca="1">ROUND(FIRE1120_raw!N19,0)</f>
        <v>0</v>
      </c>
      <c r="O19" s="19">
        <f ca="1">ROUND(FIRE1120_raw!O19,0)</f>
        <v>4</v>
      </c>
      <c r="P19" s="20">
        <f t="shared" ca="1" si="4"/>
        <v>1</v>
      </c>
      <c r="Q19" s="19"/>
      <c r="R19" s="19">
        <f ca="1">ROUND(FIRE1120_raw!R19,0)</f>
        <v>4</v>
      </c>
      <c r="S19" s="19">
        <f ca="1">ROUND(FIRE1120_raw!S19,0)</f>
        <v>10</v>
      </c>
      <c r="T19" s="20">
        <f t="shared" ca="1" si="5"/>
        <v>0.7142857142857143</v>
      </c>
      <c r="U19" s="19"/>
      <c r="V19" s="14">
        <f t="shared" ca="1" si="6"/>
        <v>33</v>
      </c>
      <c r="W19" s="14">
        <f t="shared" ca="1" si="6"/>
        <v>16</v>
      </c>
      <c r="X19" s="20">
        <f t="shared" ca="1" si="7"/>
        <v>0.32653061224489793</v>
      </c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6" customFormat="1" ht="15" customHeight="1" x14ac:dyDescent="0.35">
      <c r="A20" s="21" t="s">
        <v>22</v>
      </c>
      <c r="B20" s="19">
        <f ca="1">ROUND(FIRE1120_raw!B20,0)</f>
        <v>27</v>
      </c>
      <c r="C20" s="19">
        <f ca="1">ROUND(FIRE1120_raw!C20,0)</f>
        <v>8</v>
      </c>
      <c r="D20" s="20">
        <f t="shared" ca="1" si="0"/>
        <v>0.22857142857142856</v>
      </c>
      <c r="E20" s="19"/>
      <c r="F20" s="19">
        <f ca="1">ROUND(FIRE1120_raw!F20,0)</f>
        <v>97</v>
      </c>
      <c r="G20" s="19">
        <f ca="1">ROUND(FIRE1120_raw!G20,0)</f>
        <v>11</v>
      </c>
      <c r="H20" s="20">
        <f t="shared" ca="1" si="1"/>
        <v>0.10185185185185185</v>
      </c>
      <c r="I20" s="19"/>
      <c r="J20" s="14">
        <f t="shared" ca="1" si="2"/>
        <v>124</v>
      </c>
      <c r="K20" s="14">
        <f t="shared" ca="1" si="2"/>
        <v>19</v>
      </c>
      <c r="L20" s="15">
        <f t="shared" ca="1" si="3"/>
        <v>0.13286713286713286</v>
      </c>
      <c r="M20" s="19"/>
      <c r="N20" s="19">
        <f ca="1">ROUND(FIRE1120_raw!N20,0)</f>
        <v>1</v>
      </c>
      <c r="O20" s="19">
        <f ca="1">ROUND(FIRE1120_raw!O20,0)</f>
        <v>1</v>
      </c>
      <c r="P20" s="20">
        <f t="shared" ca="1" si="4"/>
        <v>0.5</v>
      </c>
      <c r="Q20" s="19"/>
      <c r="R20" s="19">
        <f ca="1">ROUND(FIRE1120_raw!R20,0)</f>
        <v>19</v>
      </c>
      <c r="S20" s="19">
        <f ca="1">ROUND(FIRE1120_raw!S20,0)</f>
        <v>7</v>
      </c>
      <c r="T20" s="20">
        <f t="shared" ca="1" si="5"/>
        <v>0.26923076923076922</v>
      </c>
      <c r="U20" s="19"/>
      <c r="V20" s="14">
        <f t="shared" ca="1" si="6"/>
        <v>144</v>
      </c>
      <c r="W20" s="14">
        <f t="shared" ca="1" si="6"/>
        <v>27</v>
      </c>
      <c r="X20" s="20">
        <f t="shared" ca="1" si="7"/>
        <v>0.15789473684210525</v>
      </c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6" customFormat="1" ht="15" customHeight="1" x14ac:dyDescent="0.35">
      <c r="A21" s="5" t="s">
        <v>23</v>
      </c>
      <c r="B21" s="19">
        <f ca="1">ROUND(FIRE1120_raw!B21,0)</f>
        <v>20</v>
      </c>
      <c r="C21" s="19">
        <f ca="1">ROUND(FIRE1120_raw!C21,0)</f>
        <v>1</v>
      </c>
      <c r="D21" s="20">
        <f t="shared" ca="1" si="0"/>
        <v>4.7619047619047616E-2</v>
      </c>
      <c r="E21" s="19"/>
      <c r="F21" s="19">
        <f ca="1">ROUND(FIRE1120_raw!F21,0)</f>
        <v>72</v>
      </c>
      <c r="G21" s="19">
        <f ca="1">ROUND(FIRE1120_raw!G21,0)</f>
        <v>6</v>
      </c>
      <c r="H21" s="20">
        <f t="shared" ca="1" si="1"/>
        <v>7.6923076923076927E-2</v>
      </c>
      <c r="I21" s="19"/>
      <c r="J21" s="14">
        <f t="shared" ca="1" si="2"/>
        <v>92</v>
      </c>
      <c r="K21" s="14">
        <f t="shared" ca="1" si="2"/>
        <v>7</v>
      </c>
      <c r="L21" s="15">
        <f t="shared" ca="1" si="3"/>
        <v>7.0707070707070704E-2</v>
      </c>
      <c r="M21" s="19"/>
      <c r="N21" s="19">
        <f ca="1">ROUND(FIRE1120_raw!N21,0)</f>
        <v>4</v>
      </c>
      <c r="O21" s="19">
        <f ca="1">ROUND(FIRE1120_raw!O21,0)</f>
        <v>0</v>
      </c>
      <c r="P21" s="20">
        <f t="shared" ca="1" si="4"/>
        <v>0</v>
      </c>
      <c r="Q21" s="19"/>
      <c r="R21" s="19">
        <f ca="1">ROUND(FIRE1120_raw!R21,0)</f>
        <v>10</v>
      </c>
      <c r="S21" s="19">
        <f ca="1">ROUND(FIRE1120_raw!S21,0)</f>
        <v>15</v>
      </c>
      <c r="T21" s="20">
        <f t="shared" ca="1" si="5"/>
        <v>0.6</v>
      </c>
      <c r="U21" s="19"/>
      <c r="V21" s="14">
        <f t="shared" ca="1" si="6"/>
        <v>106</v>
      </c>
      <c r="W21" s="14">
        <f t="shared" ca="1" si="6"/>
        <v>22</v>
      </c>
      <c r="X21" s="20">
        <f t="shared" ca="1" si="7"/>
        <v>0.171875</v>
      </c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6" customFormat="1" ht="15" customHeight="1" x14ac:dyDescent="0.35">
      <c r="A22" s="5" t="s">
        <v>24</v>
      </c>
      <c r="B22" s="19">
        <f ca="1">ROUND(FIRE1120_raw!B22,0)</f>
        <v>15</v>
      </c>
      <c r="C22" s="19">
        <f ca="1">ROUND(FIRE1120_raw!C22,0)</f>
        <v>7</v>
      </c>
      <c r="D22" s="20">
        <f t="shared" ca="1" si="0"/>
        <v>0.31818181818181818</v>
      </c>
      <c r="E22" s="19"/>
      <c r="F22" s="19">
        <f ca="1">ROUND(FIRE1120_raw!F22,0)</f>
        <v>25</v>
      </c>
      <c r="G22" s="19">
        <f ca="1">ROUND(FIRE1120_raw!G22,0)</f>
        <v>2</v>
      </c>
      <c r="H22" s="20">
        <f t="shared" ca="1" si="1"/>
        <v>7.407407407407407E-2</v>
      </c>
      <c r="I22" s="19"/>
      <c r="J22" s="14">
        <f t="shared" ca="1" si="2"/>
        <v>40</v>
      </c>
      <c r="K22" s="14">
        <f t="shared" ca="1" si="2"/>
        <v>9</v>
      </c>
      <c r="L22" s="15">
        <f t="shared" ca="1" si="3"/>
        <v>0.18367346938775511</v>
      </c>
      <c r="M22" s="19"/>
      <c r="N22" s="19">
        <f ca="1">ROUND(FIRE1120_raw!N22,0)</f>
        <v>0</v>
      </c>
      <c r="O22" s="19">
        <f ca="1">ROUND(FIRE1120_raw!O22,0)</f>
        <v>0</v>
      </c>
      <c r="P22" s="20" t="str">
        <f t="shared" ca="1" si="4"/>
        <v>-</v>
      </c>
      <c r="Q22" s="19"/>
      <c r="R22" s="19">
        <f ca="1">ROUND(FIRE1120_raw!R22,0)</f>
        <v>10</v>
      </c>
      <c r="S22" s="19">
        <f ca="1">ROUND(FIRE1120_raw!S22,0)</f>
        <v>8</v>
      </c>
      <c r="T22" s="20">
        <f t="shared" ca="1" si="5"/>
        <v>0.44444444444444442</v>
      </c>
      <c r="U22" s="19"/>
      <c r="V22" s="14">
        <f t="shared" ca="1" si="6"/>
        <v>50</v>
      </c>
      <c r="W22" s="14">
        <f t="shared" ca="1" si="6"/>
        <v>17</v>
      </c>
      <c r="X22" s="20">
        <f t="shared" ca="1" si="7"/>
        <v>0.2537313432835821</v>
      </c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6" customFormat="1" ht="15" customHeight="1" x14ac:dyDescent="0.35">
      <c r="A23" s="5" t="s">
        <v>25</v>
      </c>
      <c r="B23" s="19">
        <f ca="1">ROUND(FIRE1120_raw!B23,0)</f>
        <v>6</v>
      </c>
      <c r="C23" s="19">
        <f ca="1">ROUND(FIRE1120_raw!C23,0)</f>
        <v>2</v>
      </c>
      <c r="D23" s="20">
        <f t="shared" ca="1" si="0"/>
        <v>0.25</v>
      </c>
      <c r="E23" s="19"/>
      <c r="F23" s="19">
        <f ca="1">ROUND(FIRE1120_raw!F23,0)</f>
        <v>21</v>
      </c>
      <c r="G23" s="19">
        <f ca="1">ROUND(FIRE1120_raw!G23,0)</f>
        <v>1</v>
      </c>
      <c r="H23" s="20">
        <f t="shared" ca="1" si="1"/>
        <v>4.5454545454545456E-2</v>
      </c>
      <c r="I23" s="19"/>
      <c r="J23" s="14">
        <f t="shared" ca="1" si="2"/>
        <v>27</v>
      </c>
      <c r="K23" s="14">
        <f t="shared" ca="1" si="2"/>
        <v>3</v>
      </c>
      <c r="L23" s="15">
        <f t="shared" ca="1" si="3"/>
        <v>0.1</v>
      </c>
      <c r="M23" s="19"/>
      <c r="N23" s="19">
        <f ca="1">ROUND(FIRE1120_raw!N23,0)</f>
        <v>3</v>
      </c>
      <c r="O23" s="19">
        <f ca="1">ROUND(FIRE1120_raw!O23,0)</f>
        <v>1</v>
      </c>
      <c r="P23" s="20">
        <f t="shared" ca="1" si="4"/>
        <v>0.25</v>
      </c>
      <c r="Q23" s="19"/>
      <c r="R23" s="19">
        <f ca="1">ROUND(FIRE1120_raw!R23,0)</f>
        <v>4</v>
      </c>
      <c r="S23" s="19">
        <f ca="1">ROUND(FIRE1120_raw!S23,0)</f>
        <v>19</v>
      </c>
      <c r="T23" s="20">
        <f t="shared" ca="1" si="5"/>
        <v>0.82608695652173914</v>
      </c>
      <c r="U23" s="19"/>
      <c r="V23" s="14">
        <f t="shared" ca="1" si="6"/>
        <v>34</v>
      </c>
      <c r="W23" s="14">
        <f t="shared" ca="1" si="6"/>
        <v>23</v>
      </c>
      <c r="X23" s="20">
        <f t="shared" ca="1" si="7"/>
        <v>0.40350877192982454</v>
      </c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6" customFormat="1" ht="15" customHeight="1" x14ac:dyDescent="0.35">
      <c r="A24" s="5" t="s">
        <v>26</v>
      </c>
      <c r="B24" s="19">
        <f ca="1">ROUND(FIRE1120_raw!B24,0)</f>
        <v>22</v>
      </c>
      <c r="C24" s="19">
        <f ca="1">ROUND(FIRE1120_raw!C24,0)</f>
        <v>0</v>
      </c>
      <c r="D24" s="20">
        <f t="shared" ca="1" si="0"/>
        <v>0</v>
      </c>
      <c r="E24" s="19"/>
      <c r="F24" s="19">
        <f ca="1">ROUND(FIRE1120_raw!F24,0)</f>
        <v>88</v>
      </c>
      <c r="G24" s="19">
        <f ca="1">ROUND(FIRE1120_raw!G24,0)</f>
        <v>0</v>
      </c>
      <c r="H24" s="20">
        <f t="shared" ca="1" si="1"/>
        <v>0</v>
      </c>
      <c r="I24" s="19"/>
      <c r="J24" s="14">
        <f t="shared" ca="1" si="2"/>
        <v>110</v>
      </c>
      <c r="K24" s="14">
        <f t="shared" ca="1" si="2"/>
        <v>0</v>
      </c>
      <c r="L24" s="15">
        <f t="shared" ca="1" si="3"/>
        <v>0</v>
      </c>
      <c r="M24" s="19"/>
      <c r="N24" s="19">
        <f ca="1">ROUND(FIRE1120_raw!N24,0)</f>
        <v>1</v>
      </c>
      <c r="O24" s="19">
        <f ca="1">ROUND(FIRE1120_raw!O24,0)</f>
        <v>2</v>
      </c>
      <c r="P24" s="20">
        <f t="shared" ca="1" si="4"/>
        <v>0.66666666666666663</v>
      </c>
      <c r="Q24" s="19"/>
      <c r="R24" s="19">
        <f ca="1">ROUND(FIRE1120_raw!R24,0)</f>
        <v>22</v>
      </c>
      <c r="S24" s="19">
        <f ca="1">ROUND(FIRE1120_raw!S24,0)</f>
        <v>39</v>
      </c>
      <c r="T24" s="20">
        <f t="shared" ca="1" si="5"/>
        <v>0.63934426229508201</v>
      </c>
      <c r="U24" s="19"/>
      <c r="V24" s="14">
        <f t="shared" ca="1" si="6"/>
        <v>133</v>
      </c>
      <c r="W24" s="14">
        <f t="shared" ca="1" si="6"/>
        <v>41</v>
      </c>
      <c r="X24" s="20">
        <f t="shared" ca="1" si="7"/>
        <v>0.23563218390804597</v>
      </c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6" customFormat="1" ht="15" customHeight="1" x14ac:dyDescent="0.35">
      <c r="A25" s="5" t="s">
        <v>27</v>
      </c>
      <c r="B25" s="19">
        <f ca="1">ROUND(FIRE1120_raw!B25,0)</f>
        <v>16</v>
      </c>
      <c r="C25" s="19">
        <f ca="1">ROUND(FIRE1120_raw!C25,0)</f>
        <v>19</v>
      </c>
      <c r="D25" s="20">
        <f t="shared" ca="1" si="0"/>
        <v>0.54285714285714282</v>
      </c>
      <c r="E25" s="19"/>
      <c r="F25" s="19">
        <f ca="1">ROUND(FIRE1120_raw!F25,0)</f>
        <v>32</v>
      </c>
      <c r="G25" s="19">
        <f ca="1">ROUND(FIRE1120_raw!G25,0)</f>
        <v>6</v>
      </c>
      <c r="H25" s="20">
        <f t="shared" ca="1" si="1"/>
        <v>0.15789473684210525</v>
      </c>
      <c r="I25" s="19"/>
      <c r="J25" s="14">
        <f t="shared" ca="1" si="2"/>
        <v>48</v>
      </c>
      <c r="K25" s="14">
        <f t="shared" ca="1" si="2"/>
        <v>25</v>
      </c>
      <c r="L25" s="15">
        <f t="shared" ca="1" si="3"/>
        <v>0.34246575342465752</v>
      </c>
      <c r="M25" s="19"/>
      <c r="N25" s="19">
        <f ca="1">ROUND(FIRE1120_raw!N25,0)</f>
        <v>2</v>
      </c>
      <c r="O25" s="19">
        <f ca="1">ROUND(FIRE1120_raw!O25,0)</f>
        <v>4</v>
      </c>
      <c r="P25" s="20">
        <f t="shared" ca="1" si="4"/>
        <v>0.66666666666666663</v>
      </c>
      <c r="Q25" s="19"/>
      <c r="R25" s="19">
        <f ca="1">ROUND(FIRE1120_raw!R25,0)</f>
        <v>6</v>
      </c>
      <c r="S25" s="19">
        <f ca="1">ROUND(FIRE1120_raw!S25,0)</f>
        <v>3</v>
      </c>
      <c r="T25" s="20">
        <f t="shared" ca="1" si="5"/>
        <v>0.33333333333333331</v>
      </c>
      <c r="U25" s="19"/>
      <c r="V25" s="14">
        <f t="shared" ca="1" si="6"/>
        <v>56</v>
      </c>
      <c r="W25" s="14">
        <f t="shared" ca="1" si="6"/>
        <v>32</v>
      </c>
      <c r="X25" s="20">
        <f t="shared" ca="1" si="7"/>
        <v>0.36363636363636365</v>
      </c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6" customFormat="1" ht="15" customHeight="1" x14ac:dyDescent="0.35">
      <c r="A26" s="5" t="s">
        <v>28</v>
      </c>
      <c r="B26" s="19">
        <f ca="1">ROUND(FIRE1120_raw!B26,0)</f>
        <v>53</v>
      </c>
      <c r="C26" s="19">
        <f ca="1">ROUND(FIRE1120_raw!C26,0)</f>
        <v>3</v>
      </c>
      <c r="D26" s="20">
        <f t="shared" ca="1" si="0"/>
        <v>5.3571428571428568E-2</v>
      </c>
      <c r="E26" s="19"/>
      <c r="F26" s="19">
        <f ca="1">ROUND(FIRE1120_raw!F26,0)</f>
        <v>90</v>
      </c>
      <c r="G26" s="19">
        <f ca="1">ROUND(FIRE1120_raw!G26,0)</f>
        <v>9</v>
      </c>
      <c r="H26" s="20">
        <f t="shared" ca="1" si="1"/>
        <v>9.0909090909090912E-2</v>
      </c>
      <c r="I26" s="19"/>
      <c r="J26" s="14">
        <f t="shared" ca="1" si="2"/>
        <v>143</v>
      </c>
      <c r="K26" s="14">
        <f t="shared" ca="1" si="2"/>
        <v>12</v>
      </c>
      <c r="L26" s="15">
        <f t="shared" ca="1" si="3"/>
        <v>7.7419354838709681E-2</v>
      </c>
      <c r="M26" s="19"/>
      <c r="N26" s="19">
        <f ca="1">ROUND(FIRE1120_raw!N26,0)</f>
        <v>0</v>
      </c>
      <c r="O26" s="19">
        <f ca="1">ROUND(FIRE1120_raw!O26,0)</f>
        <v>2</v>
      </c>
      <c r="P26" s="20">
        <f t="shared" ca="1" si="4"/>
        <v>1</v>
      </c>
      <c r="Q26" s="19"/>
      <c r="R26" s="19">
        <f ca="1">ROUND(FIRE1120_raw!R26,0)</f>
        <v>22</v>
      </c>
      <c r="S26" s="19">
        <f ca="1">ROUND(FIRE1120_raw!S26,0)</f>
        <v>30</v>
      </c>
      <c r="T26" s="20">
        <f t="shared" ca="1" si="5"/>
        <v>0.57692307692307687</v>
      </c>
      <c r="U26" s="19"/>
      <c r="V26" s="14">
        <f t="shared" ca="1" si="6"/>
        <v>165</v>
      </c>
      <c r="W26" s="14">
        <f t="shared" ca="1" si="6"/>
        <v>44</v>
      </c>
      <c r="X26" s="20">
        <f t="shared" ca="1" si="7"/>
        <v>0.21052631578947367</v>
      </c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6" customFormat="1" ht="15" customHeight="1" x14ac:dyDescent="0.35">
      <c r="A27" s="5" t="s">
        <v>29</v>
      </c>
      <c r="B27" s="19">
        <f ca="1">ROUND(FIRE1120_raw!B27,0)</f>
        <v>18</v>
      </c>
      <c r="C27" s="19">
        <f ca="1">ROUND(FIRE1120_raw!C27,0)</f>
        <v>3</v>
      </c>
      <c r="D27" s="20">
        <f t="shared" ca="1" si="0"/>
        <v>0.14285714285714285</v>
      </c>
      <c r="E27" s="19"/>
      <c r="F27" s="19">
        <f ca="1">ROUND(FIRE1120_raw!F27,0)</f>
        <v>34</v>
      </c>
      <c r="G27" s="19">
        <f ca="1">ROUND(FIRE1120_raw!G27,0)</f>
        <v>3</v>
      </c>
      <c r="H27" s="20">
        <f t="shared" ca="1" si="1"/>
        <v>8.1081081081081086E-2</v>
      </c>
      <c r="I27" s="19"/>
      <c r="J27" s="14">
        <f t="shared" ca="1" si="2"/>
        <v>52</v>
      </c>
      <c r="K27" s="14">
        <f t="shared" ca="1" si="2"/>
        <v>6</v>
      </c>
      <c r="L27" s="15">
        <f t="shared" ca="1" si="3"/>
        <v>0.10344827586206896</v>
      </c>
      <c r="M27" s="19"/>
      <c r="N27" s="19">
        <f ca="1">ROUND(FIRE1120_raw!N27,0)</f>
        <v>1</v>
      </c>
      <c r="O27" s="19">
        <f ca="1">ROUND(FIRE1120_raw!O27,0)</f>
        <v>1</v>
      </c>
      <c r="P27" s="20">
        <f t="shared" ca="1" si="4"/>
        <v>0.5</v>
      </c>
      <c r="Q27" s="19"/>
      <c r="R27" s="19">
        <f ca="1">ROUND(FIRE1120_raw!R27,0)</f>
        <v>12</v>
      </c>
      <c r="S27" s="19">
        <f ca="1">ROUND(FIRE1120_raw!S27,0)</f>
        <v>2</v>
      </c>
      <c r="T27" s="20">
        <f t="shared" ca="1" si="5"/>
        <v>0.14285714285714285</v>
      </c>
      <c r="U27" s="19"/>
      <c r="V27" s="14">
        <f t="shared" ca="1" si="6"/>
        <v>65</v>
      </c>
      <c r="W27" s="14">
        <f t="shared" ca="1" si="6"/>
        <v>9</v>
      </c>
      <c r="X27" s="20">
        <f t="shared" ca="1" si="7"/>
        <v>0.12162162162162163</v>
      </c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s="6" customFormat="1" ht="15" customHeight="1" x14ac:dyDescent="0.35">
      <c r="A28" s="5" t="s">
        <v>30</v>
      </c>
      <c r="B28" s="19">
        <f ca="1">ROUND(FIRE1120_raw!B28,0)</f>
        <v>36</v>
      </c>
      <c r="C28" s="19">
        <f ca="1">ROUND(FIRE1120_raw!C28,0)</f>
        <v>1</v>
      </c>
      <c r="D28" s="20">
        <f t="shared" ca="1" si="0"/>
        <v>2.7027027027027029E-2</v>
      </c>
      <c r="E28" s="19"/>
      <c r="F28" s="19">
        <f ca="1">ROUND(FIRE1120_raw!F28,0)</f>
        <v>31</v>
      </c>
      <c r="G28" s="19">
        <f ca="1">ROUND(FIRE1120_raw!G28,0)</f>
        <v>4</v>
      </c>
      <c r="H28" s="20">
        <f t="shared" ca="1" si="1"/>
        <v>0.11428571428571428</v>
      </c>
      <c r="I28" s="19"/>
      <c r="J28" s="14">
        <f t="shared" ca="1" si="2"/>
        <v>67</v>
      </c>
      <c r="K28" s="14">
        <f t="shared" ca="1" si="2"/>
        <v>5</v>
      </c>
      <c r="L28" s="15">
        <f t="shared" ca="1" si="3"/>
        <v>6.9444444444444448E-2</v>
      </c>
      <c r="M28" s="19"/>
      <c r="N28" s="19">
        <f ca="1">ROUND(FIRE1120_raw!N28,0)</f>
        <v>0</v>
      </c>
      <c r="O28" s="19">
        <f ca="1">ROUND(FIRE1120_raw!O28,0)</f>
        <v>0</v>
      </c>
      <c r="P28" s="20" t="str">
        <f t="shared" ca="1" si="4"/>
        <v>-</v>
      </c>
      <c r="Q28" s="19"/>
      <c r="R28" s="19">
        <f ca="1">ROUND(FIRE1120_raw!R28,0)</f>
        <v>9</v>
      </c>
      <c r="S28" s="19">
        <f ca="1">ROUND(FIRE1120_raw!S28,0)</f>
        <v>11</v>
      </c>
      <c r="T28" s="20">
        <f t="shared" ca="1" si="5"/>
        <v>0.55000000000000004</v>
      </c>
      <c r="U28" s="19"/>
      <c r="V28" s="14">
        <f t="shared" ca="1" si="6"/>
        <v>76</v>
      </c>
      <c r="W28" s="14">
        <f t="shared" ca="1" si="6"/>
        <v>16</v>
      </c>
      <c r="X28" s="20">
        <f t="shared" ca="1" si="7"/>
        <v>0.17391304347826086</v>
      </c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6" customFormat="1" ht="15" customHeight="1" x14ac:dyDescent="0.35">
      <c r="A29" s="5" t="s">
        <v>31</v>
      </c>
      <c r="B29" s="19">
        <f ca="1">ROUND(FIRE1120_raw!B29,0)</f>
        <v>22</v>
      </c>
      <c r="C29" s="19">
        <f ca="1">ROUND(FIRE1120_raw!C29,0)</f>
        <v>0</v>
      </c>
      <c r="D29" s="20">
        <f t="shared" ca="1" si="0"/>
        <v>0</v>
      </c>
      <c r="E29" s="19"/>
      <c r="F29" s="19">
        <f ca="1">ROUND(FIRE1120_raw!F29,0)</f>
        <v>43</v>
      </c>
      <c r="G29" s="19">
        <f ca="1">ROUND(FIRE1120_raw!G29,0)</f>
        <v>3</v>
      </c>
      <c r="H29" s="20">
        <f t="shared" ca="1" si="1"/>
        <v>6.5217391304347824E-2</v>
      </c>
      <c r="I29" s="19"/>
      <c r="J29" s="14">
        <f t="shared" ca="1" si="2"/>
        <v>65</v>
      </c>
      <c r="K29" s="14">
        <f t="shared" ca="1" si="2"/>
        <v>3</v>
      </c>
      <c r="L29" s="15">
        <f t="shared" ca="1" si="3"/>
        <v>4.4117647058823532E-2</v>
      </c>
      <c r="M29" s="19"/>
      <c r="N29" s="19">
        <f ca="1">ROUND(FIRE1120_raw!N29,0)</f>
        <v>0</v>
      </c>
      <c r="O29" s="19">
        <f ca="1">ROUND(FIRE1120_raw!O29,0)</f>
        <v>2</v>
      </c>
      <c r="P29" s="20">
        <f t="shared" ca="1" si="4"/>
        <v>1</v>
      </c>
      <c r="Q29" s="19"/>
      <c r="R29" s="19">
        <f ca="1">ROUND(FIRE1120_raw!R29,0)</f>
        <v>13</v>
      </c>
      <c r="S29" s="19">
        <f ca="1">ROUND(FIRE1120_raw!S29,0)</f>
        <v>21</v>
      </c>
      <c r="T29" s="20">
        <f t="shared" ca="1" si="5"/>
        <v>0.61764705882352944</v>
      </c>
      <c r="U29" s="19"/>
      <c r="V29" s="14">
        <f t="shared" ca="1" si="6"/>
        <v>78</v>
      </c>
      <c r="W29" s="14">
        <f t="shared" ca="1" si="6"/>
        <v>26</v>
      </c>
      <c r="X29" s="20">
        <f t="shared" ca="1" si="7"/>
        <v>0.25</v>
      </c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6" customFormat="1" ht="15" customHeight="1" x14ac:dyDescent="0.35">
      <c r="A30" s="5" t="s">
        <v>32</v>
      </c>
      <c r="B30" s="19">
        <f ca="1">ROUND(FIRE1120_raw!B30,0)</f>
        <v>0</v>
      </c>
      <c r="C30" s="19">
        <f ca="1">ROUND(FIRE1120_raw!C30,0)</f>
        <v>0</v>
      </c>
      <c r="D30" s="20" t="str">
        <f t="shared" ca="1" si="0"/>
        <v>-</v>
      </c>
      <c r="E30" s="19"/>
      <c r="F30" s="19">
        <f ca="1">ROUND(FIRE1120_raw!F30,0)</f>
        <v>0</v>
      </c>
      <c r="G30" s="19">
        <f ca="1">ROUND(FIRE1120_raw!G30,0)</f>
        <v>0</v>
      </c>
      <c r="H30" s="20" t="str">
        <f t="shared" ca="1" si="1"/>
        <v>-</v>
      </c>
      <c r="I30" s="19"/>
      <c r="J30" s="14">
        <f t="shared" ca="1" si="2"/>
        <v>0</v>
      </c>
      <c r="K30" s="14">
        <f t="shared" ca="1" si="2"/>
        <v>0</v>
      </c>
      <c r="L30" s="15" t="str">
        <f t="shared" ca="1" si="3"/>
        <v>-</v>
      </c>
      <c r="M30" s="19"/>
      <c r="N30" s="19">
        <f ca="1">ROUND(FIRE1120_raw!N30,0)</f>
        <v>0</v>
      </c>
      <c r="O30" s="19">
        <f ca="1">ROUND(FIRE1120_raw!O30,0)</f>
        <v>0</v>
      </c>
      <c r="P30" s="20" t="str">
        <f t="shared" ca="1" si="4"/>
        <v>-</v>
      </c>
      <c r="Q30" s="19"/>
      <c r="R30" s="19">
        <f ca="1">ROUND(FIRE1120_raw!R30,0)</f>
        <v>2</v>
      </c>
      <c r="S30" s="19">
        <f ca="1">ROUND(FIRE1120_raw!S30,0)</f>
        <v>0</v>
      </c>
      <c r="T30" s="20">
        <f t="shared" ca="1" si="5"/>
        <v>0</v>
      </c>
      <c r="U30" s="19"/>
      <c r="V30" s="14">
        <f t="shared" ca="1" si="6"/>
        <v>2</v>
      </c>
      <c r="W30" s="14">
        <f t="shared" ca="1" si="6"/>
        <v>0</v>
      </c>
      <c r="X30" s="20">
        <f t="shared" ca="1" si="7"/>
        <v>0</v>
      </c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6" customFormat="1" ht="15" customHeight="1" x14ac:dyDescent="0.35">
      <c r="A31" s="6" t="s">
        <v>33</v>
      </c>
      <c r="B31" s="19">
        <f ca="1">ROUND(FIRE1120_raw!B31,0)</f>
        <v>25</v>
      </c>
      <c r="C31" s="19">
        <f ca="1">ROUND(FIRE1120_raw!C31,0)</f>
        <v>4</v>
      </c>
      <c r="D31" s="20">
        <f t="shared" ca="1" si="0"/>
        <v>0.13793103448275862</v>
      </c>
      <c r="E31" s="19"/>
      <c r="F31" s="19">
        <f ca="1">ROUND(FIRE1120_raw!F31,0)</f>
        <v>53</v>
      </c>
      <c r="G31" s="19">
        <f ca="1">ROUND(FIRE1120_raw!G31,0)</f>
        <v>3</v>
      </c>
      <c r="H31" s="20">
        <f t="shared" ca="1" si="1"/>
        <v>5.3571428571428568E-2</v>
      </c>
      <c r="I31" s="19"/>
      <c r="J31" s="14">
        <f t="shared" ca="1" si="2"/>
        <v>78</v>
      </c>
      <c r="K31" s="14">
        <f t="shared" ca="1" si="2"/>
        <v>7</v>
      </c>
      <c r="L31" s="15">
        <f t="shared" ca="1" si="3"/>
        <v>8.2352941176470587E-2</v>
      </c>
      <c r="M31" s="19"/>
      <c r="N31" s="19">
        <f ca="1">ROUND(FIRE1120_raw!N31,0)</f>
        <v>3</v>
      </c>
      <c r="O31" s="19">
        <f ca="1">ROUND(FIRE1120_raw!O31,0)</f>
        <v>5</v>
      </c>
      <c r="P31" s="20">
        <f t="shared" ca="1" si="4"/>
        <v>0.625</v>
      </c>
      <c r="Q31" s="19"/>
      <c r="R31" s="19">
        <f ca="1">ROUND(FIRE1120_raw!R31,0)</f>
        <v>25</v>
      </c>
      <c r="S31" s="19">
        <f ca="1">ROUND(FIRE1120_raw!S31,0)</f>
        <v>27</v>
      </c>
      <c r="T31" s="20">
        <f t="shared" ca="1" si="5"/>
        <v>0.51923076923076927</v>
      </c>
      <c r="U31" s="19"/>
      <c r="V31" s="14">
        <f t="shared" ca="1" si="6"/>
        <v>106</v>
      </c>
      <c r="W31" s="14">
        <f t="shared" ca="1" si="6"/>
        <v>39</v>
      </c>
      <c r="X31" s="20">
        <f t="shared" ca="1" si="7"/>
        <v>0.26896551724137929</v>
      </c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6" customFormat="1" ht="15" customHeight="1" x14ac:dyDescent="0.35">
      <c r="A32" s="6" t="s">
        <v>34</v>
      </c>
      <c r="B32" s="19">
        <f ca="1">ROUND(FIRE1120_raw!B32,0)</f>
        <v>51</v>
      </c>
      <c r="C32" s="19">
        <f ca="1">ROUND(FIRE1120_raw!C32,0)</f>
        <v>5</v>
      </c>
      <c r="D32" s="20">
        <f t="shared" ca="1" si="0"/>
        <v>8.9285714285714288E-2</v>
      </c>
      <c r="E32" s="19"/>
      <c r="F32" s="19">
        <f ca="1">ROUND(FIRE1120_raw!F32,0)</f>
        <v>53</v>
      </c>
      <c r="G32" s="19">
        <f ca="1">ROUND(FIRE1120_raw!G32,0)</f>
        <v>4</v>
      </c>
      <c r="H32" s="20">
        <f t="shared" ca="1" si="1"/>
        <v>7.0175438596491224E-2</v>
      </c>
      <c r="I32" s="19"/>
      <c r="J32" s="14">
        <f t="shared" ca="1" si="2"/>
        <v>104</v>
      </c>
      <c r="K32" s="14">
        <f t="shared" ca="1" si="2"/>
        <v>9</v>
      </c>
      <c r="L32" s="15">
        <f t="shared" ca="1" si="3"/>
        <v>7.9646017699115043E-2</v>
      </c>
      <c r="M32" s="19"/>
      <c r="N32" s="19">
        <f ca="1">ROUND(FIRE1120_raw!N32,0)</f>
        <v>0</v>
      </c>
      <c r="O32" s="19">
        <f ca="1">ROUND(FIRE1120_raw!O32,0)</f>
        <v>0</v>
      </c>
      <c r="P32" s="20" t="str">
        <f t="shared" ca="1" si="4"/>
        <v>-</v>
      </c>
      <c r="Q32" s="19"/>
      <c r="R32" s="19">
        <f ca="1">ROUND(FIRE1120_raw!R32,0)</f>
        <v>24</v>
      </c>
      <c r="S32" s="19">
        <f ca="1">ROUND(FIRE1120_raw!S32,0)</f>
        <v>21</v>
      </c>
      <c r="T32" s="20">
        <f t="shared" ca="1" si="5"/>
        <v>0.46666666666666667</v>
      </c>
      <c r="U32" s="19"/>
      <c r="V32" s="14">
        <f t="shared" ca="1" si="6"/>
        <v>128</v>
      </c>
      <c r="W32" s="14">
        <f t="shared" ca="1" si="6"/>
        <v>30</v>
      </c>
      <c r="X32" s="20">
        <f t="shared" ca="1" si="7"/>
        <v>0.189873417721519</v>
      </c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6" customFormat="1" ht="15" customHeight="1" x14ac:dyDescent="0.35">
      <c r="A33" s="5" t="s">
        <v>35</v>
      </c>
      <c r="B33" s="19">
        <f ca="1">ROUND(FIRE1120_raw!B33,0)</f>
        <v>21</v>
      </c>
      <c r="C33" s="19">
        <f ca="1">ROUND(FIRE1120_raw!C33,0)</f>
        <v>4</v>
      </c>
      <c r="D33" s="20">
        <f t="shared" ca="1" si="0"/>
        <v>0.16</v>
      </c>
      <c r="E33" s="19"/>
      <c r="F33" s="19">
        <f ca="1">ROUND(FIRE1120_raw!F33,0)</f>
        <v>25</v>
      </c>
      <c r="G33" s="19">
        <f ca="1">ROUND(FIRE1120_raw!G33,0)</f>
        <v>2</v>
      </c>
      <c r="H33" s="20">
        <f t="shared" ca="1" si="1"/>
        <v>7.407407407407407E-2</v>
      </c>
      <c r="I33" s="19"/>
      <c r="J33" s="14">
        <f t="shared" ca="1" si="2"/>
        <v>46</v>
      </c>
      <c r="K33" s="14">
        <f t="shared" ca="1" si="2"/>
        <v>6</v>
      </c>
      <c r="L33" s="15">
        <f t="shared" ca="1" si="3"/>
        <v>0.11538461538461539</v>
      </c>
      <c r="M33" s="19"/>
      <c r="N33" s="19">
        <f ca="1">ROUND(FIRE1120_raw!N33,0)</f>
        <v>2</v>
      </c>
      <c r="O33" s="19">
        <f ca="1">ROUND(FIRE1120_raw!O33,0)</f>
        <v>0</v>
      </c>
      <c r="P33" s="20">
        <f t="shared" ca="1" si="4"/>
        <v>0</v>
      </c>
      <c r="Q33" s="19"/>
      <c r="R33" s="19">
        <f ca="1">ROUND(FIRE1120_raw!R33,0)</f>
        <v>2</v>
      </c>
      <c r="S33" s="19">
        <f ca="1">ROUND(FIRE1120_raw!S33,0)</f>
        <v>10</v>
      </c>
      <c r="T33" s="20">
        <f t="shared" ca="1" si="5"/>
        <v>0.83333333333333337</v>
      </c>
      <c r="U33" s="19"/>
      <c r="V33" s="14">
        <f t="shared" ca="1" si="6"/>
        <v>50</v>
      </c>
      <c r="W33" s="14">
        <f t="shared" ca="1" si="6"/>
        <v>16</v>
      </c>
      <c r="X33" s="20">
        <f t="shared" ca="1" si="7"/>
        <v>0.24242424242424243</v>
      </c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6" customFormat="1" ht="15" customHeight="1" x14ac:dyDescent="0.35">
      <c r="A34" s="6" t="s">
        <v>36</v>
      </c>
      <c r="B34" s="19">
        <f ca="1">ROUND(FIRE1120_raw!B34,0)</f>
        <v>9</v>
      </c>
      <c r="C34" s="19">
        <f ca="1">ROUND(FIRE1120_raw!C34,0)</f>
        <v>1</v>
      </c>
      <c r="D34" s="20">
        <f t="shared" ca="1" si="0"/>
        <v>0.1</v>
      </c>
      <c r="E34" s="19"/>
      <c r="F34" s="19">
        <f ca="1">ROUND(FIRE1120_raw!F34,0)</f>
        <v>41</v>
      </c>
      <c r="G34" s="19">
        <f ca="1">ROUND(FIRE1120_raw!G34,0)</f>
        <v>4</v>
      </c>
      <c r="H34" s="20">
        <f t="shared" ca="1" si="1"/>
        <v>8.8888888888888892E-2</v>
      </c>
      <c r="I34" s="19"/>
      <c r="J34" s="14">
        <f t="shared" ca="1" si="2"/>
        <v>50</v>
      </c>
      <c r="K34" s="14">
        <f t="shared" ca="1" si="2"/>
        <v>5</v>
      </c>
      <c r="L34" s="15">
        <f t="shared" ca="1" si="3"/>
        <v>9.0909090909090912E-2</v>
      </c>
      <c r="M34" s="19"/>
      <c r="N34" s="19">
        <f ca="1">ROUND(FIRE1120_raw!N34,0)</f>
        <v>0</v>
      </c>
      <c r="O34" s="19">
        <f ca="1">ROUND(FIRE1120_raw!O34,0)</f>
        <v>2</v>
      </c>
      <c r="P34" s="20">
        <f t="shared" ca="1" si="4"/>
        <v>1</v>
      </c>
      <c r="Q34" s="19"/>
      <c r="R34" s="19">
        <f ca="1">ROUND(FIRE1120_raw!R34,0)</f>
        <v>2</v>
      </c>
      <c r="S34" s="19">
        <f ca="1">ROUND(FIRE1120_raw!S34,0)</f>
        <v>1</v>
      </c>
      <c r="T34" s="20">
        <f t="shared" ca="1" si="5"/>
        <v>0.33333333333333331</v>
      </c>
      <c r="U34" s="19"/>
      <c r="V34" s="14">
        <f t="shared" ca="1" si="6"/>
        <v>52</v>
      </c>
      <c r="W34" s="14">
        <f t="shared" ca="1" si="6"/>
        <v>8</v>
      </c>
      <c r="X34" s="20">
        <f t="shared" ca="1" si="7"/>
        <v>0.13333333333333333</v>
      </c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s="6" customFormat="1" ht="15" customHeight="1" x14ac:dyDescent="0.35">
      <c r="A35" s="6" t="s">
        <v>37</v>
      </c>
      <c r="B35" s="19">
        <f ca="1">ROUND(FIRE1120_raw!B35,0)</f>
        <v>19</v>
      </c>
      <c r="C35" s="19">
        <f ca="1">ROUND(FIRE1120_raw!C35,0)</f>
        <v>0</v>
      </c>
      <c r="D35" s="20">
        <f t="shared" ca="1" si="0"/>
        <v>0</v>
      </c>
      <c r="E35" s="19"/>
      <c r="F35" s="19">
        <f ca="1">ROUND(FIRE1120_raw!F35,0)</f>
        <v>48</v>
      </c>
      <c r="G35" s="19">
        <f ca="1">ROUND(FIRE1120_raw!G35,0)</f>
        <v>8</v>
      </c>
      <c r="H35" s="20">
        <f t="shared" ca="1" si="1"/>
        <v>0.14285714285714285</v>
      </c>
      <c r="I35" s="19"/>
      <c r="J35" s="14">
        <f t="shared" ca="1" si="2"/>
        <v>67</v>
      </c>
      <c r="K35" s="14">
        <f t="shared" ca="1" si="2"/>
        <v>8</v>
      </c>
      <c r="L35" s="15">
        <f t="shared" ca="1" si="3"/>
        <v>0.10666666666666667</v>
      </c>
      <c r="M35" s="19"/>
      <c r="N35" s="19">
        <f ca="1">ROUND(FIRE1120_raw!N35,0)</f>
        <v>2</v>
      </c>
      <c r="O35" s="19">
        <f ca="1">ROUND(FIRE1120_raw!O35,0)</f>
        <v>2</v>
      </c>
      <c r="P35" s="20">
        <f t="shared" ca="1" si="4"/>
        <v>0.5</v>
      </c>
      <c r="Q35" s="19"/>
      <c r="R35" s="19">
        <f ca="1">ROUND(FIRE1120_raw!R35,0)</f>
        <v>6</v>
      </c>
      <c r="S35" s="19">
        <f ca="1">ROUND(FIRE1120_raw!S35,0)</f>
        <v>10</v>
      </c>
      <c r="T35" s="20">
        <f t="shared" ca="1" si="5"/>
        <v>0.625</v>
      </c>
      <c r="U35" s="19"/>
      <c r="V35" s="14">
        <f t="shared" ca="1" si="6"/>
        <v>75</v>
      </c>
      <c r="W35" s="14">
        <f t="shared" ca="1" si="6"/>
        <v>20</v>
      </c>
      <c r="X35" s="20">
        <f t="shared" ca="1" si="7"/>
        <v>0.21052631578947367</v>
      </c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s="6" customFormat="1" ht="15" customHeight="1" x14ac:dyDescent="0.35">
      <c r="A36" s="5" t="s">
        <v>38</v>
      </c>
      <c r="B36" s="19">
        <f ca="1">ROUND(FIRE1120_raw!B36,0)</f>
        <v>0</v>
      </c>
      <c r="C36" s="19">
        <f ca="1">ROUND(FIRE1120_raw!C36,0)</f>
        <v>0</v>
      </c>
      <c r="D36" s="20" t="str">
        <f t="shared" ca="1" si="0"/>
        <v>-</v>
      </c>
      <c r="E36" s="19"/>
      <c r="F36" s="19">
        <f ca="1">ROUND(FIRE1120_raw!F36,0)</f>
        <v>0</v>
      </c>
      <c r="G36" s="19">
        <f ca="1">ROUND(FIRE1120_raw!G36,0)</f>
        <v>0</v>
      </c>
      <c r="H36" s="20" t="str">
        <f t="shared" ca="1" si="1"/>
        <v>-</v>
      </c>
      <c r="I36" s="19"/>
      <c r="J36" s="14">
        <f t="shared" ca="1" si="2"/>
        <v>0</v>
      </c>
      <c r="K36" s="14">
        <f t="shared" ca="1" si="2"/>
        <v>0</v>
      </c>
      <c r="L36" s="15" t="str">
        <f t="shared" ca="1" si="3"/>
        <v>-</v>
      </c>
      <c r="M36" s="19"/>
      <c r="N36" s="19">
        <f ca="1">ROUND(FIRE1120_raw!N36,0)</f>
        <v>4</v>
      </c>
      <c r="O36" s="19">
        <f ca="1">ROUND(FIRE1120_raw!O36,0)</f>
        <v>6</v>
      </c>
      <c r="P36" s="20">
        <f t="shared" ca="1" si="4"/>
        <v>0.6</v>
      </c>
      <c r="Q36" s="19"/>
      <c r="R36" s="19">
        <f ca="1">ROUND(FIRE1120_raw!R36,0)</f>
        <v>0</v>
      </c>
      <c r="S36" s="19">
        <f ca="1">ROUND(FIRE1120_raw!S36,0)</f>
        <v>0</v>
      </c>
      <c r="T36" s="20" t="str">
        <f t="shared" ca="1" si="5"/>
        <v>-</v>
      </c>
      <c r="U36" s="19"/>
      <c r="V36" s="14">
        <f t="shared" ca="1" si="6"/>
        <v>4</v>
      </c>
      <c r="W36" s="14">
        <f t="shared" ca="1" si="6"/>
        <v>6</v>
      </c>
      <c r="X36" s="20">
        <f t="shared" ca="1" si="7"/>
        <v>0.6</v>
      </c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s="6" customFormat="1" ht="15" customHeight="1" x14ac:dyDescent="0.35">
      <c r="A37" s="6" t="s">
        <v>39</v>
      </c>
      <c r="B37" s="19">
        <f ca="1">ROUND(FIRE1120_raw!B37,0)</f>
        <v>4</v>
      </c>
      <c r="C37" s="19">
        <f ca="1">ROUND(FIRE1120_raw!C37,0)</f>
        <v>0</v>
      </c>
      <c r="D37" s="20">
        <f t="shared" ca="1" si="0"/>
        <v>0</v>
      </c>
      <c r="E37" s="19"/>
      <c r="F37" s="19">
        <f ca="1">ROUND(FIRE1120_raw!F37,0)</f>
        <v>50</v>
      </c>
      <c r="G37" s="19">
        <f ca="1">ROUND(FIRE1120_raw!G37,0)</f>
        <v>3</v>
      </c>
      <c r="H37" s="20">
        <f t="shared" ca="1" si="1"/>
        <v>5.6603773584905662E-2</v>
      </c>
      <c r="I37" s="19"/>
      <c r="J37" s="14">
        <f t="shared" ca="1" si="2"/>
        <v>54</v>
      </c>
      <c r="K37" s="14">
        <f t="shared" ca="1" si="2"/>
        <v>3</v>
      </c>
      <c r="L37" s="15">
        <f t="shared" ca="1" si="3"/>
        <v>5.2631578947368418E-2</v>
      </c>
      <c r="M37" s="19"/>
      <c r="N37" s="19">
        <f ca="1">ROUND(FIRE1120_raw!N37,0)</f>
        <v>1</v>
      </c>
      <c r="O37" s="19">
        <f ca="1">ROUND(FIRE1120_raw!O37,0)</f>
        <v>2</v>
      </c>
      <c r="P37" s="20">
        <f t="shared" ca="1" si="4"/>
        <v>0.66666666666666663</v>
      </c>
      <c r="Q37" s="19"/>
      <c r="R37" s="19">
        <f ca="1">ROUND(FIRE1120_raw!R37,0)</f>
        <v>8</v>
      </c>
      <c r="S37" s="19">
        <f ca="1">ROUND(FIRE1120_raw!S37,0)</f>
        <v>12</v>
      </c>
      <c r="T37" s="20">
        <f t="shared" ca="1" si="5"/>
        <v>0.6</v>
      </c>
      <c r="U37" s="19"/>
      <c r="V37" s="14">
        <f t="shared" ca="1" si="6"/>
        <v>63</v>
      </c>
      <c r="W37" s="14">
        <f t="shared" ca="1" si="6"/>
        <v>17</v>
      </c>
      <c r="X37" s="20">
        <f t="shared" ca="1" si="7"/>
        <v>0.21249999999999999</v>
      </c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s="6" customFormat="1" ht="15" customHeight="1" x14ac:dyDescent="0.35">
      <c r="A38" s="6" t="s">
        <v>40</v>
      </c>
      <c r="B38" s="19">
        <f ca="1">ROUND(FIRE1120_raw!B38,0)</f>
        <v>10</v>
      </c>
      <c r="C38" s="19">
        <f ca="1">ROUND(FIRE1120_raw!C38,0)</f>
        <v>3</v>
      </c>
      <c r="D38" s="20">
        <f t="shared" ca="1" si="0"/>
        <v>0.23076923076923078</v>
      </c>
      <c r="E38" s="19"/>
      <c r="F38" s="19">
        <f ca="1">ROUND(FIRE1120_raw!F38,0)</f>
        <v>31</v>
      </c>
      <c r="G38" s="19">
        <f ca="1">ROUND(FIRE1120_raw!G38,0)</f>
        <v>3</v>
      </c>
      <c r="H38" s="20">
        <f t="shared" ca="1" si="1"/>
        <v>8.8235294117647065E-2</v>
      </c>
      <c r="I38" s="19"/>
      <c r="J38" s="14">
        <f t="shared" ca="1" si="2"/>
        <v>41</v>
      </c>
      <c r="K38" s="14">
        <f t="shared" ca="1" si="2"/>
        <v>6</v>
      </c>
      <c r="L38" s="15">
        <f t="shared" ca="1" si="3"/>
        <v>0.1276595744680851</v>
      </c>
      <c r="M38" s="19"/>
      <c r="N38" s="19">
        <f ca="1">ROUND(FIRE1120_raw!N38,0)</f>
        <v>0</v>
      </c>
      <c r="O38" s="19">
        <f ca="1">ROUND(FIRE1120_raw!O38,0)</f>
        <v>0</v>
      </c>
      <c r="P38" s="20" t="str">
        <f t="shared" ca="1" si="4"/>
        <v>-</v>
      </c>
      <c r="Q38" s="19"/>
      <c r="R38" s="19">
        <f ca="1">ROUND(FIRE1120_raw!R38,0)</f>
        <v>6</v>
      </c>
      <c r="S38" s="19">
        <f ca="1">ROUND(FIRE1120_raw!S38,0)</f>
        <v>4</v>
      </c>
      <c r="T38" s="20">
        <f t="shared" ca="1" si="5"/>
        <v>0.4</v>
      </c>
      <c r="U38" s="19"/>
      <c r="V38" s="14">
        <f t="shared" ca="1" si="6"/>
        <v>47</v>
      </c>
      <c r="W38" s="14">
        <f t="shared" ca="1" si="6"/>
        <v>10</v>
      </c>
      <c r="X38" s="20">
        <f t="shared" ca="1" si="7"/>
        <v>0.17543859649122806</v>
      </c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s="6" customFormat="1" ht="15" customHeight="1" x14ac:dyDescent="0.35">
      <c r="A39" s="6" t="s">
        <v>41</v>
      </c>
      <c r="B39" s="19">
        <f ca="1">ROUND(FIRE1120_raw!B39,0)</f>
        <v>1</v>
      </c>
      <c r="C39" s="19">
        <f ca="1">ROUND(FIRE1120_raw!C39,0)</f>
        <v>0</v>
      </c>
      <c r="D39" s="20">
        <f t="shared" ca="1" si="0"/>
        <v>0</v>
      </c>
      <c r="E39" s="19"/>
      <c r="F39" s="19">
        <f ca="1">ROUND(FIRE1120_raw!F39,0)</f>
        <v>18</v>
      </c>
      <c r="G39" s="19">
        <f ca="1">ROUND(FIRE1120_raw!G39,0)</f>
        <v>0</v>
      </c>
      <c r="H39" s="20">
        <f t="shared" ca="1" si="1"/>
        <v>0</v>
      </c>
      <c r="I39" s="19"/>
      <c r="J39" s="14">
        <f t="shared" ca="1" si="2"/>
        <v>19</v>
      </c>
      <c r="K39" s="14">
        <f t="shared" ca="1" si="2"/>
        <v>0</v>
      </c>
      <c r="L39" s="15">
        <f t="shared" ca="1" si="3"/>
        <v>0</v>
      </c>
      <c r="M39" s="19"/>
      <c r="N39" s="19">
        <f ca="1">ROUND(FIRE1120_raw!N39,0)</f>
        <v>0</v>
      </c>
      <c r="O39" s="19">
        <f ca="1">ROUND(FIRE1120_raw!O39,0)</f>
        <v>1</v>
      </c>
      <c r="P39" s="20">
        <f t="shared" ca="1" si="4"/>
        <v>1</v>
      </c>
      <c r="Q39" s="19"/>
      <c r="R39" s="19">
        <f ca="1">ROUND(FIRE1120_raw!R39,0)</f>
        <v>1</v>
      </c>
      <c r="S39" s="19">
        <f ca="1">ROUND(FIRE1120_raw!S39,0)</f>
        <v>3</v>
      </c>
      <c r="T39" s="20">
        <f t="shared" ca="1" si="5"/>
        <v>0.75</v>
      </c>
      <c r="U39" s="19"/>
      <c r="V39" s="14">
        <f t="shared" ca="1" si="6"/>
        <v>20</v>
      </c>
      <c r="W39" s="14">
        <f t="shared" ca="1" si="6"/>
        <v>4</v>
      </c>
      <c r="X39" s="20">
        <f t="shared" ca="1" si="7"/>
        <v>0.16666666666666666</v>
      </c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s="6" customFormat="1" ht="15" customHeight="1" x14ac:dyDescent="0.35">
      <c r="A40" s="5" t="s">
        <v>42</v>
      </c>
      <c r="B40" s="19">
        <f ca="1">ROUND(FIRE1120_raw!B40,0)</f>
        <v>13</v>
      </c>
      <c r="C40" s="19">
        <f ca="1">ROUND(FIRE1120_raw!C40,0)</f>
        <v>0</v>
      </c>
      <c r="D40" s="20">
        <f t="shared" ca="1" si="0"/>
        <v>0</v>
      </c>
      <c r="E40" s="19"/>
      <c r="F40" s="19">
        <f ca="1">ROUND(FIRE1120_raw!F40,0)</f>
        <v>32</v>
      </c>
      <c r="G40" s="19">
        <f ca="1">ROUND(FIRE1120_raw!G40,0)</f>
        <v>4</v>
      </c>
      <c r="H40" s="20">
        <f t="shared" ca="1" si="1"/>
        <v>0.1111111111111111</v>
      </c>
      <c r="I40" s="19"/>
      <c r="J40" s="14">
        <f t="shared" ca="1" si="2"/>
        <v>45</v>
      </c>
      <c r="K40" s="14">
        <f t="shared" ca="1" si="2"/>
        <v>4</v>
      </c>
      <c r="L40" s="15">
        <f t="shared" ca="1" si="3"/>
        <v>8.1632653061224483E-2</v>
      </c>
      <c r="M40" s="19"/>
      <c r="N40" s="19">
        <f ca="1">ROUND(FIRE1120_raw!N40,0)</f>
        <v>1</v>
      </c>
      <c r="O40" s="19">
        <f ca="1">ROUND(FIRE1120_raw!O40,0)</f>
        <v>0</v>
      </c>
      <c r="P40" s="20">
        <f t="shared" ca="1" si="4"/>
        <v>0</v>
      </c>
      <c r="Q40" s="19"/>
      <c r="R40" s="19">
        <f ca="1">ROUND(FIRE1120_raw!R40,0)</f>
        <v>8</v>
      </c>
      <c r="S40" s="19">
        <f ca="1">ROUND(FIRE1120_raw!S40,0)</f>
        <v>11</v>
      </c>
      <c r="T40" s="20">
        <f t="shared" ca="1" si="5"/>
        <v>0.57894736842105265</v>
      </c>
      <c r="U40" s="19"/>
      <c r="V40" s="14">
        <f t="shared" ca="1" si="6"/>
        <v>54</v>
      </c>
      <c r="W40" s="14">
        <f t="shared" ca="1" si="6"/>
        <v>15</v>
      </c>
      <c r="X40" s="20">
        <f t="shared" ca="1" si="7"/>
        <v>0.21739130434782608</v>
      </c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s="6" customFormat="1" ht="15" customHeight="1" x14ac:dyDescent="0.35">
      <c r="A41" s="5" t="s">
        <v>43</v>
      </c>
      <c r="B41" s="19">
        <f ca="1">ROUND(FIRE1120_raw!B41,0)</f>
        <v>0</v>
      </c>
      <c r="C41" s="19">
        <f ca="1">ROUND(FIRE1120_raw!C41,0)</f>
        <v>0</v>
      </c>
      <c r="D41" s="20" t="str">
        <f t="shared" ca="1" si="0"/>
        <v>-</v>
      </c>
      <c r="E41" s="19"/>
      <c r="F41" s="19">
        <f ca="1">ROUND(FIRE1120_raw!F41,0)</f>
        <v>70</v>
      </c>
      <c r="G41" s="19">
        <f ca="1">ROUND(FIRE1120_raw!G41,0)</f>
        <v>4</v>
      </c>
      <c r="H41" s="20">
        <f t="shared" ca="1" si="1"/>
        <v>5.4054054054054057E-2</v>
      </c>
      <c r="I41" s="19"/>
      <c r="J41" s="14">
        <f t="shared" ca="1" si="2"/>
        <v>70</v>
      </c>
      <c r="K41" s="14">
        <f t="shared" ca="1" si="2"/>
        <v>4</v>
      </c>
      <c r="L41" s="15">
        <f t="shared" ca="1" si="3"/>
        <v>5.4054054054054057E-2</v>
      </c>
      <c r="M41" s="19"/>
      <c r="N41" s="19">
        <f ca="1">ROUND(FIRE1120_raw!N41,0)</f>
        <v>0</v>
      </c>
      <c r="O41" s="19">
        <f ca="1">ROUND(FIRE1120_raw!O41,0)</f>
        <v>0</v>
      </c>
      <c r="P41" s="20" t="str">
        <f t="shared" ca="1" si="4"/>
        <v>-</v>
      </c>
      <c r="Q41" s="19"/>
      <c r="R41" s="19">
        <f ca="1">ROUND(FIRE1120_raw!R41,0)</f>
        <v>2</v>
      </c>
      <c r="S41" s="19">
        <f ca="1">ROUND(FIRE1120_raw!S41,0)</f>
        <v>2</v>
      </c>
      <c r="T41" s="20">
        <f t="shared" ca="1" si="5"/>
        <v>0.5</v>
      </c>
      <c r="U41" s="19"/>
      <c r="V41" s="14">
        <f t="shared" ca="1" si="6"/>
        <v>72</v>
      </c>
      <c r="W41" s="14">
        <f t="shared" ca="1" si="6"/>
        <v>6</v>
      </c>
      <c r="X41" s="20">
        <f t="shared" ca="1" si="7"/>
        <v>7.6923076923076927E-2</v>
      </c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s="6" customFormat="1" ht="15" customHeight="1" x14ac:dyDescent="0.35">
      <c r="A42" s="5" t="s">
        <v>44</v>
      </c>
      <c r="B42" s="19">
        <f ca="1">ROUND(FIRE1120_raw!B42,0)</f>
        <v>4</v>
      </c>
      <c r="C42" s="19">
        <f ca="1">ROUND(FIRE1120_raw!C42,0)</f>
        <v>1</v>
      </c>
      <c r="D42" s="20">
        <f t="shared" ca="1" si="0"/>
        <v>0.2</v>
      </c>
      <c r="E42" s="19"/>
      <c r="F42" s="19">
        <f ca="1">ROUND(FIRE1120_raw!F42,0)</f>
        <v>22</v>
      </c>
      <c r="G42" s="19">
        <f ca="1">ROUND(FIRE1120_raw!G42,0)</f>
        <v>4</v>
      </c>
      <c r="H42" s="20">
        <f t="shared" ca="1" si="1"/>
        <v>0.15384615384615385</v>
      </c>
      <c r="I42" s="19"/>
      <c r="J42" s="14">
        <f t="shared" ca="1" si="2"/>
        <v>26</v>
      </c>
      <c r="K42" s="14">
        <f t="shared" ca="1" si="2"/>
        <v>5</v>
      </c>
      <c r="L42" s="15">
        <f t="shared" ca="1" si="3"/>
        <v>0.16129032258064516</v>
      </c>
      <c r="M42" s="19"/>
      <c r="N42" s="19">
        <f ca="1">ROUND(FIRE1120_raw!N42,0)</f>
        <v>0</v>
      </c>
      <c r="O42" s="19">
        <f ca="1">ROUND(FIRE1120_raw!O42,0)</f>
        <v>1</v>
      </c>
      <c r="P42" s="20">
        <f t="shared" ca="1" si="4"/>
        <v>1</v>
      </c>
      <c r="Q42" s="19"/>
      <c r="R42" s="19">
        <f ca="1">ROUND(FIRE1120_raw!R42,0)</f>
        <v>3</v>
      </c>
      <c r="S42" s="19">
        <f ca="1">ROUND(FIRE1120_raw!S42,0)</f>
        <v>6</v>
      </c>
      <c r="T42" s="20">
        <f t="shared" ca="1" si="5"/>
        <v>0.66666666666666663</v>
      </c>
      <c r="U42" s="19"/>
      <c r="V42" s="14">
        <f t="shared" ca="1" si="6"/>
        <v>29</v>
      </c>
      <c r="W42" s="14">
        <f t="shared" ca="1" si="6"/>
        <v>12</v>
      </c>
      <c r="X42" s="20">
        <f t="shared" ca="1" si="7"/>
        <v>0.29268292682926828</v>
      </c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s="6" customFormat="1" ht="15" customHeight="1" x14ac:dyDescent="0.35">
      <c r="A43" s="5" t="s">
        <v>45</v>
      </c>
      <c r="B43" s="19">
        <f ca="1">ROUND(FIRE1120_raw!B43,0)</f>
        <v>6</v>
      </c>
      <c r="C43" s="19">
        <f ca="1">ROUND(FIRE1120_raw!C43,0)</f>
        <v>2</v>
      </c>
      <c r="D43" s="20">
        <f t="shared" ca="1" si="0"/>
        <v>0.25</v>
      </c>
      <c r="E43" s="19"/>
      <c r="F43" s="19">
        <f ca="1">ROUND(FIRE1120_raw!F43,0)</f>
        <v>14</v>
      </c>
      <c r="G43" s="19">
        <f ca="1">ROUND(FIRE1120_raw!G43,0)</f>
        <v>2</v>
      </c>
      <c r="H43" s="20">
        <f t="shared" ca="1" si="1"/>
        <v>0.125</v>
      </c>
      <c r="I43" s="19"/>
      <c r="J43" s="14">
        <f t="shared" ca="1" si="2"/>
        <v>20</v>
      </c>
      <c r="K43" s="14">
        <f t="shared" ca="1" si="2"/>
        <v>4</v>
      </c>
      <c r="L43" s="15">
        <f t="shared" ca="1" si="3"/>
        <v>0.16666666666666666</v>
      </c>
      <c r="M43" s="19"/>
      <c r="N43" s="19">
        <f ca="1">ROUND(FIRE1120_raw!N43,0)</f>
        <v>0</v>
      </c>
      <c r="O43" s="19">
        <f ca="1">ROUND(FIRE1120_raw!O43,0)</f>
        <v>0</v>
      </c>
      <c r="P43" s="20" t="str">
        <f t="shared" ca="1" si="4"/>
        <v>-</v>
      </c>
      <c r="Q43" s="19"/>
      <c r="R43" s="19">
        <f ca="1">ROUND(FIRE1120_raw!R43,0)</f>
        <v>7</v>
      </c>
      <c r="S43" s="19">
        <f ca="1">ROUND(FIRE1120_raw!S43,0)</f>
        <v>3</v>
      </c>
      <c r="T43" s="20">
        <f t="shared" ca="1" si="5"/>
        <v>0.3</v>
      </c>
      <c r="U43" s="19"/>
      <c r="V43" s="14">
        <f t="shared" ca="1" si="6"/>
        <v>27</v>
      </c>
      <c r="W43" s="14">
        <f t="shared" ca="1" si="6"/>
        <v>7</v>
      </c>
      <c r="X43" s="20">
        <f t="shared" ca="1" si="7"/>
        <v>0.20588235294117646</v>
      </c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s="6" customFormat="1" ht="15" customHeight="1" x14ac:dyDescent="0.35">
      <c r="A44" s="5" t="s">
        <v>46</v>
      </c>
      <c r="B44" s="19">
        <f ca="1">ROUND(FIRE1120_raw!B44,0)</f>
        <v>2</v>
      </c>
      <c r="C44" s="19">
        <f ca="1">ROUND(FIRE1120_raw!C44,0)</f>
        <v>0</v>
      </c>
      <c r="D44" s="20">
        <f t="shared" ca="1" si="0"/>
        <v>0</v>
      </c>
      <c r="E44" s="19"/>
      <c r="F44" s="19">
        <f ca="1">ROUND(FIRE1120_raw!F44,0)</f>
        <v>45</v>
      </c>
      <c r="G44" s="19">
        <f ca="1">ROUND(FIRE1120_raw!G44,0)</f>
        <v>4</v>
      </c>
      <c r="H44" s="20">
        <f t="shared" ca="1" si="1"/>
        <v>8.1632653061224483E-2</v>
      </c>
      <c r="I44" s="19"/>
      <c r="J44" s="14">
        <f t="shared" ca="1" si="2"/>
        <v>47</v>
      </c>
      <c r="K44" s="14">
        <f t="shared" ca="1" si="2"/>
        <v>4</v>
      </c>
      <c r="L44" s="15">
        <f t="shared" ca="1" si="3"/>
        <v>7.8431372549019607E-2</v>
      </c>
      <c r="M44" s="19"/>
      <c r="N44" s="19">
        <f ca="1">ROUND(FIRE1120_raw!N44,0)</f>
        <v>0</v>
      </c>
      <c r="O44" s="19">
        <f ca="1">ROUND(FIRE1120_raw!O44,0)</f>
        <v>0</v>
      </c>
      <c r="P44" s="20" t="str">
        <f t="shared" ca="1" si="4"/>
        <v>-</v>
      </c>
      <c r="Q44" s="19"/>
      <c r="R44" s="19">
        <f ca="1">ROUND(FIRE1120_raw!R44,0)</f>
        <v>4</v>
      </c>
      <c r="S44" s="19">
        <f ca="1">ROUND(FIRE1120_raw!S44,0)</f>
        <v>2</v>
      </c>
      <c r="T44" s="20">
        <f t="shared" ca="1" si="5"/>
        <v>0.33333333333333331</v>
      </c>
      <c r="U44" s="19"/>
      <c r="V44" s="14">
        <f t="shared" ca="1" si="6"/>
        <v>51</v>
      </c>
      <c r="W44" s="14">
        <f t="shared" ca="1" si="6"/>
        <v>6</v>
      </c>
      <c r="X44" s="20">
        <f t="shared" ca="1" si="7"/>
        <v>0.10526315789473684</v>
      </c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6" customFormat="1" ht="15" customHeight="1" x14ac:dyDescent="0.35">
      <c r="A45" s="5" t="s">
        <v>47</v>
      </c>
      <c r="B45" s="19">
        <f ca="1">ROUND(FIRE1120_raw!B45,0)</f>
        <v>8</v>
      </c>
      <c r="C45" s="19">
        <f ca="1">ROUND(FIRE1120_raw!C45,0)</f>
        <v>0</v>
      </c>
      <c r="D45" s="20">
        <f t="shared" ca="1" si="0"/>
        <v>0</v>
      </c>
      <c r="E45" s="19"/>
      <c r="F45" s="19">
        <f ca="1">ROUND(FIRE1120_raw!F45,0)</f>
        <v>9</v>
      </c>
      <c r="G45" s="19">
        <f ca="1">ROUND(FIRE1120_raw!G45,0)</f>
        <v>0</v>
      </c>
      <c r="H45" s="20">
        <f t="shared" ca="1" si="1"/>
        <v>0</v>
      </c>
      <c r="I45" s="19"/>
      <c r="J45" s="14">
        <f t="shared" ca="1" si="2"/>
        <v>17</v>
      </c>
      <c r="K45" s="14">
        <f t="shared" ca="1" si="2"/>
        <v>0</v>
      </c>
      <c r="L45" s="15">
        <f t="shared" ca="1" si="3"/>
        <v>0</v>
      </c>
      <c r="M45" s="19"/>
      <c r="N45" s="19">
        <f ca="1">ROUND(FIRE1120_raw!N45,0)</f>
        <v>0</v>
      </c>
      <c r="O45" s="19">
        <f ca="1">ROUND(FIRE1120_raw!O45,0)</f>
        <v>3</v>
      </c>
      <c r="P45" s="20">
        <f t="shared" ca="1" si="4"/>
        <v>1</v>
      </c>
      <c r="Q45" s="19"/>
      <c r="R45" s="19">
        <f ca="1">ROUND(FIRE1120_raw!R45,0)</f>
        <v>1</v>
      </c>
      <c r="S45" s="19">
        <f ca="1">ROUND(FIRE1120_raw!S45,0)</f>
        <v>0</v>
      </c>
      <c r="T45" s="20">
        <f t="shared" ca="1" si="5"/>
        <v>0</v>
      </c>
      <c r="U45" s="19"/>
      <c r="V45" s="14">
        <f t="shared" ca="1" si="6"/>
        <v>18</v>
      </c>
      <c r="W45" s="14">
        <f t="shared" ca="1" si="6"/>
        <v>3</v>
      </c>
      <c r="X45" s="20">
        <f t="shared" ca="1" si="7"/>
        <v>0.14285714285714285</v>
      </c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s="6" customFormat="1" ht="15" customHeight="1" x14ac:dyDescent="0.35">
      <c r="A46" s="5" t="s">
        <v>48</v>
      </c>
      <c r="B46" s="19">
        <f ca="1">ROUND(FIRE1120_raw!B46,0)</f>
        <v>26</v>
      </c>
      <c r="C46" s="19">
        <f ca="1">ROUND(FIRE1120_raw!C46,0)</f>
        <v>5</v>
      </c>
      <c r="D46" s="20">
        <f t="shared" ca="1" si="0"/>
        <v>0.16129032258064516</v>
      </c>
      <c r="E46" s="19"/>
      <c r="F46" s="19">
        <f ca="1">ROUND(FIRE1120_raw!F46,0)</f>
        <v>18</v>
      </c>
      <c r="G46" s="19">
        <f ca="1">ROUND(FIRE1120_raw!G46,0)</f>
        <v>2</v>
      </c>
      <c r="H46" s="20">
        <f t="shared" ca="1" si="1"/>
        <v>0.1</v>
      </c>
      <c r="I46" s="19"/>
      <c r="J46" s="14">
        <f t="shared" ca="1" si="2"/>
        <v>44</v>
      </c>
      <c r="K46" s="14">
        <f t="shared" ca="1" si="2"/>
        <v>7</v>
      </c>
      <c r="L46" s="15">
        <f t="shared" ca="1" si="3"/>
        <v>0.13725490196078433</v>
      </c>
      <c r="M46" s="19"/>
      <c r="N46" s="19">
        <f ca="1">ROUND(FIRE1120_raw!N46,0)</f>
        <v>0</v>
      </c>
      <c r="O46" s="19">
        <f ca="1">ROUND(FIRE1120_raw!O46,0)</f>
        <v>3</v>
      </c>
      <c r="P46" s="20">
        <f t="shared" ca="1" si="4"/>
        <v>1</v>
      </c>
      <c r="Q46" s="19"/>
      <c r="R46" s="19">
        <f ca="1">ROUND(FIRE1120_raw!R46,0)</f>
        <v>9</v>
      </c>
      <c r="S46" s="19">
        <f ca="1">ROUND(FIRE1120_raw!S46,0)</f>
        <v>11</v>
      </c>
      <c r="T46" s="20">
        <f t="shared" ca="1" si="5"/>
        <v>0.55000000000000004</v>
      </c>
      <c r="U46" s="19"/>
      <c r="V46" s="14">
        <f t="shared" ca="1" si="6"/>
        <v>53</v>
      </c>
      <c r="W46" s="14">
        <f t="shared" ca="1" si="6"/>
        <v>21</v>
      </c>
      <c r="X46" s="20">
        <f t="shared" ca="1" si="7"/>
        <v>0.28378378378378377</v>
      </c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s="6" customFormat="1" ht="15" customHeight="1" x14ac:dyDescent="0.35">
      <c r="A47" s="5" t="s">
        <v>49</v>
      </c>
      <c r="B47" s="19">
        <f ca="1">ROUND(FIRE1120_raw!B47,0)</f>
        <v>18</v>
      </c>
      <c r="C47" s="19">
        <f ca="1">ROUND(FIRE1120_raw!C47,0)</f>
        <v>6</v>
      </c>
      <c r="D47" s="20">
        <f t="shared" ca="1" si="0"/>
        <v>0.25</v>
      </c>
      <c r="E47" s="19"/>
      <c r="F47" s="19">
        <f ca="1">ROUND(FIRE1120_raw!F47,0)</f>
        <v>45</v>
      </c>
      <c r="G47" s="19">
        <f ca="1">ROUND(FIRE1120_raw!G47,0)</f>
        <v>2</v>
      </c>
      <c r="H47" s="20">
        <f t="shared" ca="1" si="1"/>
        <v>4.2553191489361701E-2</v>
      </c>
      <c r="I47" s="19"/>
      <c r="J47" s="14">
        <f t="shared" ca="1" si="2"/>
        <v>63</v>
      </c>
      <c r="K47" s="14">
        <f t="shared" ca="1" si="2"/>
        <v>8</v>
      </c>
      <c r="L47" s="15">
        <f t="shared" ca="1" si="3"/>
        <v>0.11267605633802817</v>
      </c>
      <c r="M47" s="19"/>
      <c r="N47" s="19">
        <f ca="1">ROUND(FIRE1120_raw!N47,0)</f>
        <v>0</v>
      </c>
      <c r="O47" s="19">
        <f ca="1">ROUND(FIRE1120_raw!O47,0)</f>
        <v>0</v>
      </c>
      <c r="P47" s="20" t="str">
        <f t="shared" ca="1" si="4"/>
        <v>-</v>
      </c>
      <c r="Q47" s="19"/>
      <c r="R47" s="19">
        <f ca="1">ROUND(FIRE1120_raw!R47,0)</f>
        <v>5</v>
      </c>
      <c r="S47" s="19">
        <f ca="1">ROUND(FIRE1120_raw!S47,0)</f>
        <v>5</v>
      </c>
      <c r="T47" s="20">
        <f t="shared" ca="1" si="5"/>
        <v>0.5</v>
      </c>
      <c r="U47" s="19"/>
      <c r="V47" s="14">
        <f t="shared" ca="1" si="6"/>
        <v>68</v>
      </c>
      <c r="W47" s="14">
        <f t="shared" ca="1" si="6"/>
        <v>13</v>
      </c>
      <c r="X47" s="20">
        <f t="shared" ca="1" si="7"/>
        <v>0.16049382716049382</v>
      </c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s="6" customFormat="1" ht="15" customHeight="1" x14ac:dyDescent="0.35">
      <c r="A48" s="5" t="s">
        <v>50</v>
      </c>
      <c r="B48" s="19">
        <f ca="1">ROUND(FIRE1120_raw!B48,0)</f>
        <v>0</v>
      </c>
      <c r="C48" s="19">
        <f ca="1">ROUND(FIRE1120_raw!C48,0)</f>
        <v>0</v>
      </c>
      <c r="D48" s="20" t="str">
        <f t="shared" ref="D48" ca="1" si="8">IF(B48+C48=0,"-",(C48/(B48+C48)))</f>
        <v>-</v>
      </c>
      <c r="E48" s="19"/>
      <c r="F48" s="19">
        <f ca="1">ROUND(FIRE1120_raw!F48,0)</f>
        <v>2</v>
      </c>
      <c r="G48" s="19">
        <f ca="1">ROUND(FIRE1120_raw!G48,0)</f>
        <v>0</v>
      </c>
      <c r="H48" s="20">
        <f t="shared" ref="H48" ca="1" si="9">IF(F48+G48=0,"-",(G48/(F48+G48)))</f>
        <v>0</v>
      </c>
      <c r="I48" s="19"/>
      <c r="J48" s="14">
        <f t="shared" ref="J48" ca="1" si="10">B48+F48</f>
        <v>2</v>
      </c>
      <c r="K48" s="14">
        <f t="shared" ref="K48" ca="1" si="11">C48+G48</f>
        <v>0</v>
      </c>
      <c r="L48" s="15">
        <f t="shared" ref="L48" ca="1" si="12">IF(J48+K48=0,"-",(K48/(J48+K48)))</f>
        <v>0</v>
      </c>
      <c r="M48" s="19"/>
      <c r="N48" s="19">
        <f ca="1">ROUND(FIRE1120_raw!N48,0)</f>
        <v>0</v>
      </c>
      <c r="O48" s="19">
        <f ca="1">ROUND(FIRE1120_raw!O48,0)</f>
        <v>0</v>
      </c>
      <c r="P48" s="20" t="str">
        <f t="shared" ref="P48" ca="1" si="13">IF(N48+O48=0,"-",(O48/(N48+O48)))</f>
        <v>-</v>
      </c>
      <c r="Q48" s="19"/>
      <c r="R48" s="19">
        <f ca="1">ROUND(FIRE1120_raw!R48,0)</f>
        <v>0</v>
      </c>
      <c r="S48" s="19">
        <f ca="1">ROUND(FIRE1120_raw!S48,0)</f>
        <v>0</v>
      </c>
      <c r="T48" s="20" t="str">
        <f t="shared" ref="T48" ca="1" si="14">IF(R48+S48=0,"-",(S48/(R48+S48)))</f>
        <v>-</v>
      </c>
      <c r="U48" s="19"/>
      <c r="V48" s="14">
        <f t="shared" ref="V48" ca="1" si="15">J48+N48+R48</f>
        <v>2</v>
      </c>
      <c r="W48" s="14">
        <f t="shared" ref="W48" ca="1" si="16">K48+O48+S48</f>
        <v>0</v>
      </c>
      <c r="X48" s="20">
        <f t="shared" ref="X48" ca="1" si="17">IF(V48+W48=0,"-",(W48/(V48+W48)))</f>
        <v>0</v>
      </c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s="6" customFormat="1" ht="15" customHeight="1" x14ac:dyDescent="0.35">
      <c r="A49" s="22" t="s">
        <v>51</v>
      </c>
      <c r="B49" s="14">
        <f ca="1">SUM(B50:B56)</f>
        <v>374</v>
      </c>
      <c r="C49" s="14">
        <f ca="1">SUM(C50:C56)</f>
        <v>66</v>
      </c>
      <c r="D49" s="15">
        <f t="shared" ca="1" si="0"/>
        <v>0.15</v>
      </c>
      <c r="E49" s="14"/>
      <c r="F49" s="14">
        <f ca="1">SUM(F50:F56)</f>
        <v>49</v>
      </c>
      <c r="G49" s="14">
        <f ca="1">SUM(G50:G56)</f>
        <v>6</v>
      </c>
      <c r="H49" s="15">
        <f t="shared" ca="1" si="1"/>
        <v>0.10909090909090909</v>
      </c>
      <c r="I49" s="14"/>
      <c r="J49" s="14">
        <f ca="1">SUM(J50:J56)</f>
        <v>423</v>
      </c>
      <c r="K49" s="14">
        <f ca="1">SUM(K50:K56)</f>
        <v>72</v>
      </c>
      <c r="L49" s="15">
        <f t="shared" ca="1" si="3"/>
        <v>0.14545454545454545</v>
      </c>
      <c r="M49" s="14"/>
      <c r="N49" s="14">
        <f ca="1">SUM(N50:N56)</f>
        <v>9</v>
      </c>
      <c r="O49" s="14">
        <f ca="1">SUM(O50:O56)</f>
        <v>24</v>
      </c>
      <c r="P49" s="15">
        <f t="shared" ca="1" si="4"/>
        <v>0.72727272727272729</v>
      </c>
      <c r="Q49" s="14"/>
      <c r="R49" s="14">
        <f ca="1">SUM(R50:R56)</f>
        <v>147</v>
      </c>
      <c r="S49" s="14">
        <f ca="1">SUM(S50:S56)</f>
        <v>155</v>
      </c>
      <c r="T49" s="15">
        <f t="shared" ca="1" si="5"/>
        <v>0.51324503311258274</v>
      </c>
      <c r="U49" s="14"/>
      <c r="V49" s="14">
        <f ca="1">SUM(V50:V56)</f>
        <v>579</v>
      </c>
      <c r="W49" s="14">
        <f ca="1">SUM(W50:W56)</f>
        <v>251</v>
      </c>
      <c r="X49" s="15">
        <f t="shared" ca="1" si="7"/>
        <v>0.30240963855421688</v>
      </c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s="6" customFormat="1" ht="15" customHeight="1" x14ac:dyDescent="0.35">
      <c r="A50" s="5" t="s">
        <v>52</v>
      </c>
      <c r="B50" s="19">
        <f ca="1">ROUND(FIRE1120_raw!B50,0)</f>
        <v>38</v>
      </c>
      <c r="C50" s="19">
        <f ca="1">ROUND(FIRE1120_raw!C50,0)</f>
        <v>17</v>
      </c>
      <c r="D50" s="20">
        <f t="shared" ca="1" si="0"/>
        <v>0.30909090909090908</v>
      </c>
      <c r="E50" s="19"/>
      <c r="F50" s="19">
        <f ca="1">ROUND(FIRE1120_raw!F50,0)</f>
        <v>0</v>
      </c>
      <c r="G50" s="19">
        <f ca="1">ROUND(FIRE1120_raw!G50,0)</f>
        <v>0</v>
      </c>
      <c r="H50" s="20" t="str">
        <f t="shared" ca="1" si="1"/>
        <v>-</v>
      </c>
      <c r="I50" s="19"/>
      <c r="J50" s="14">
        <f t="shared" ca="1" si="2"/>
        <v>38</v>
      </c>
      <c r="K50" s="14">
        <f t="shared" ca="1" si="2"/>
        <v>17</v>
      </c>
      <c r="L50" s="15">
        <f t="shared" ca="1" si="3"/>
        <v>0.30909090909090908</v>
      </c>
      <c r="M50" s="19"/>
      <c r="N50" s="19">
        <f ca="1">ROUND(FIRE1120_raw!N50,0)</f>
        <v>0</v>
      </c>
      <c r="O50" s="19">
        <f ca="1">ROUND(FIRE1120_raw!O50,0)</f>
        <v>0</v>
      </c>
      <c r="P50" s="20" t="str">
        <f t="shared" ca="1" si="4"/>
        <v>-</v>
      </c>
      <c r="Q50" s="19"/>
      <c r="R50" s="19">
        <f ca="1">ROUND(FIRE1120_raw!R50,0)</f>
        <v>43</v>
      </c>
      <c r="S50" s="19">
        <f ca="1">ROUND(FIRE1120_raw!S50,0)</f>
        <v>37</v>
      </c>
      <c r="T50" s="20">
        <f t="shared" ca="1" si="5"/>
        <v>0.46250000000000002</v>
      </c>
      <c r="U50" s="19"/>
      <c r="V50" s="14">
        <f t="shared" ref="V50:W55" ca="1" si="18">J50+N50+R50</f>
        <v>81</v>
      </c>
      <c r="W50" s="14">
        <f t="shared" ca="1" si="18"/>
        <v>54</v>
      </c>
      <c r="X50" s="20">
        <f t="shared" ca="1" si="7"/>
        <v>0.4</v>
      </c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s="6" customFormat="1" ht="15" customHeight="1" x14ac:dyDescent="0.35">
      <c r="A51" s="5" t="s">
        <v>53</v>
      </c>
      <c r="B51" s="19">
        <f ca="1">ROUND(FIRE1120_raw!B51,0)</f>
        <v>26</v>
      </c>
      <c r="C51" s="19">
        <f ca="1">ROUND(FIRE1120_raw!C51,0)</f>
        <v>6</v>
      </c>
      <c r="D51" s="20">
        <f t="shared" ca="1" si="0"/>
        <v>0.1875</v>
      </c>
      <c r="E51" s="19"/>
      <c r="F51" s="19">
        <f ca="1">ROUND(FIRE1120_raw!F51,0)</f>
        <v>13</v>
      </c>
      <c r="G51" s="19">
        <f ca="1">ROUND(FIRE1120_raw!G51,0)</f>
        <v>3</v>
      </c>
      <c r="H51" s="20">
        <f t="shared" ca="1" si="1"/>
        <v>0.1875</v>
      </c>
      <c r="I51" s="19"/>
      <c r="J51" s="14">
        <f t="shared" ca="1" si="2"/>
        <v>39</v>
      </c>
      <c r="K51" s="14">
        <f t="shared" ca="1" si="2"/>
        <v>9</v>
      </c>
      <c r="L51" s="15">
        <f t="shared" ca="1" si="3"/>
        <v>0.1875</v>
      </c>
      <c r="M51" s="19"/>
      <c r="N51" s="19">
        <f ca="1">ROUND(FIRE1120_raw!N51,0)</f>
        <v>1</v>
      </c>
      <c r="O51" s="19">
        <f ca="1">ROUND(FIRE1120_raw!O51,0)</f>
        <v>6</v>
      </c>
      <c r="P51" s="20">
        <f t="shared" ca="1" si="4"/>
        <v>0.8571428571428571</v>
      </c>
      <c r="Q51" s="19"/>
      <c r="R51" s="19">
        <f ca="1">ROUND(FIRE1120_raw!R51,0)</f>
        <v>13</v>
      </c>
      <c r="S51" s="19">
        <f ca="1">ROUND(FIRE1120_raw!S51,0)</f>
        <v>4</v>
      </c>
      <c r="T51" s="20">
        <f t="shared" ca="1" si="5"/>
        <v>0.23529411764705882</v>
      </c>
      <c r="U51" s="19"/>
      <c r="V51" s="14">
        <f t="shared" ca="1" si="18"/>
        <v>53</v>
      </c>
      <c r="W51" s="14">
        <f t="shared" ca="1" si="18"/>
        <v>19</v>
      </c>
      <c r="X51" s="20">
        <f t="shared" ca="1" si="7"/>
        <v>0.2638888888888889</v>
      </c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s="6" customFormat="1" ht="15" customHeight="1" x14ac:dyDescent="0.35">
      <c r="A52" s="5" t="s">
        <v>54</v>
      </c>
      <c r="B52" s="19">
        <f ca="1">ROUND(FIRE1120_raw!B52,0)</f>
        <v>30</v>
      </c>
      <c r="C52" s="19">
        <f ca="1">ROUND(FIRE1120_raw!C52,0)</f>
        <v>2</v>
      </c>
      <c r="D52" s="20">
        <f t="shared" ca="1" si="0"/>
        <v>6.25E-2</v>
      </c>
      <c r="E52" s="19"/>
      <c r="F52" s="19">
        <f ca="1">ROUND(FIRE1120_raw!F52,0)</f>
        <v>24</v>
      </c>
      <c r="G52" s="19">
        <f ca="1">ROUND(FIRE1120_raw!G52,0)</f>
        <v>2</v>
      </c>
      <c r="H52" s="20">
        <f t="shared" ca="1" si="1"/>
        <v>7.6923076923076927E-2</v>
      </c>
      <c r="I52" s="19"/>
      <c r="J52" s="14">
        <f t="shared" ca="1" si="2"/>
        <v>54</v>
      </c>
      <c r="K52" s="14">
        <f t="shared" ca="1" si="2"/>
        <v>4</v>
      </c>
      <c r="L52" s="15">
        <f t="shared" ca="1" si="3"/>
        <v>6.8965517241379309E-2</v>
      </c>
      <c r="M52" s="19"/>
      <c r="N52" s="19">
        <f ca="1">ROUND(FIRE1120_raw!N52,0)</f>
        <v>1</v>
      </c>
      <c r="O52" s="19">
        <f ca="1">ROUND(FIRE1120_raw!O52,0)</f>
        <v>2</v>
      </c>
      <c r="P52" s="20">
        <f t="shared" ca="1" si="4"/>
        <v>0.66666666666666663</v>
      </c>
      <c r="Q52" s="19"/>
      <c r="R52" s="19">
        <f ca="1">ROUND(FIRE1120_raw!R52,0)</f>
        <v>16</v>
      </c>
      <c r="S52" s="19">
        <f ca="1">ROUND(FIRE1120_raw!S52,0)</f>
        <v>21</v>
      </c>
      <c r="T52" s="20">
        <f t="shared" ca="1" si="5"/>
        <v>0.56756756756756754</v>
      </c>
      <c r="U52" s="19"/>
      <c r="V52" s="14">
        <f t="shared" ca="1" si="18"/>
        <v>71</v>
      </c>
      <c r="W52" s="14">
        <f t="shared" ca="1" si="18"/>
        <v>27</v>
      </c>
      <c r="X52" s="20">
        <f t="shared" ca="1" si="7"/>
        <v>0.27551020408163263</v>
      </c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s="6" customFormat="1" ht="15" customHeight="1" x14ac:dyDescent="0.35">
      <c r="A53" s="2" t="s">
        <v>55</v>
      </c>
      <c r="B53" s="19">
        <f ca="1">ROUND(FIRE1120_raw!B53,0)</f>
        <v>4</v>
      </c>
      <c r="C53" s="19">
        <f ca="1">ROUND(FIRE1120_raw!C53,0)</f>
        <v>2</v>
      </c>
      <c r="D53" s="20">
        <f t="shared" ca="1" si="0"/>
        <v>0.33333333333333331</v>
      </c>
      <c r="E53" s="19"/>
      <c r="F53" s="19">
        <f ca="1">ROUND(FIRE1120_raw!F53,0)</f>
        <v>5</v>
      </c>
      <c r="G53" s="19">
        <f ca="1">ROUND(FIRE1120_raw!G53,0)</f>
        <v>1</v>
      </c>
      <c r="H53" s="20">
        <f t="shared" ca="1" si="1"/>
        <v>0.16666666666666666</v>
      </c>
      <c r="I53" s="19"/>
      <c r="J53" s="14">
        <f t="shared" ca="1" si="2"/>
        <v>9</v>
      </c>
      <c r="K53" s="14">
        <f t="shared" ca="1" si="2"/>
        <v>3</v>
      </c>
      <c r="L53" s="15">
        <f t="shared" ca="1" si="3"/>
        <v>0.25</v>
      </c>
      <c r="M53" s="19"/>
      <c r="N53" s="19">
        <f ca="1">ROUND(FIRE1120_raw!N53,0)</f>
        <v>0</v>
      </c>
      <c r="O53" s="19">
        <f ca="1">ROUND(FIRE1120_raw!O53,0)</f>
        <v>1</v>
      </c>
      <c r="P53" s="20">
        <f t="shared" ca="1" si="4"/>
        <v>1</v>
      </c>
      <c r="Q53" s="19"/>
      <c r="R53" s="19">
        <f ca="1">ROUND(FIRE1120_raw!R53,0)</f>
        <v>12</v>
      </c>
      <c r="S53" s="19">
        <f ca="1">ROUND(FIRE1120_raw!S53,0)</f>
        <v>13</v>
      </c>
      <c r="T53" s="20">
        <f t="shared" ca="1" si="5"/>
        <v>0.52</v>
      </c>
      <c r="U53" s="19"/>
      <c r="V53" s="14">
        <f t="shared" ca="1" si="18"/>
        <v>21</v>
      </c>
      <c r="W53" s="14">
        <f t="shared" ca="1" si="18"/>
        <v>17</v>
      </c>
      <c r="X53" s="20">
        <f t="shared" ca="1" si="7"/>
        <v>0.44736842105263158</v>
      </c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s="6" customFormat="1" ht="15" customHeight="1" x14ac:dyDescent="0.35">
      <c r="A54" s="2" t="s">
        <v>56</v>
      </c>
      <c r="B54" s="19">
        <f ca="1">ROUND(FIRE1120_raw!B54,0)</f>
        <v>57</v>
      </c>
      <c r="C54" s="19">
        <f ca="1">ROUND(FIRE1120_raw!C54,0)</f>
        <v>16</v>
      </c>
      <c r="D54" s="20">
        <f t="shared" ca="1" si="0"/>
        <v>0.21917808219178081</v>
      </c>
      <c r="E54" s="19"/>
      <c r="F54" s="19">
        <f ca="1">ROUND(FIRE1120_raw!F54,0)</f>
        <v>0</v>
      </c>
      <c r="G54" s="19">
        <f ca="1">ROUND(FIRE1120_raw!G54,0)</f>
        <v>0</v>
      </c>
      <c r="H54" s="20" t="str">
        <f t="shared" ca="1" si="1"/>
        <v>-</v>
      </c>
      <c r="I54" s="19"/>
      <c r="J54" s="14">
        <f t="shared" ca="1" si="2"/>
        <v>57</v>
      </c>
      <c r="K54" s="14">
        <f t="shared" ca="1" si="2"/>
        <v>16</v>
      </c>
      <c r="L54" s="15">
        <f t="shared" ca="1" si="3"/>
        <v>0.21917808219178081</v>
      </c>
      <c r="M54" s="19"/>
      <c r="N54" s="19">
        <f ca="1">ROUND(FIRE1120_raw!N54,0)</f>
        <v>0</v>
      </c>
      <c r="O54" s="19">
        <f ca="1">ROUND(FIRE1120_raw!O54,0)</f>
        <v>2</v>
      </c>
      <c r="P54" s="20">
        <f t="shared" ca="1" si="4"/>
        <v>1</v>
      </c>
      <c r="Q54" s="19"/>
      <c r="R54" s="19">
        <f ca="1">ROUND(FIRE1120_raw!R54,0)</f>
        <v>5</v>
      </c>
      <c r="S54" s="19">
        <f ca="1">ROUND(FIRE1120_raw!S54,0)</f>
        <v>14</v>
      </c>
      <c r="T54" s="20">
        <f t="shared" ca="1" si="5"/>
        <v>0.73684210526315785</v>
      </c>
      <c r="U54" s="19"/>
      <c r="V54" s="14">
        <f t="shared" ca="1" si="18"/>
        <v>62</v>
      </c>
      <c r="W54" s="14">
        <f t="shared" ca="1" si="18"/>
        <v>32</v>
      </c>
      <c r="X54" s="20">
        <f t="shared" ca="1" si="7"/>
        <v>0.34042553191489361</v>
      </c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s="6" customFormat="1" ht="15" customHeight="1" x14ac:dyDescent="0.35">
      <c r="A55" s="2" t="s">
        <v>57</v>
      </c>
      <c r="B55" s="19">
        <f ca="1">ROUND(FIRE1120_raw!B55,0)</f>
        <v>35</v>
      </c>
      <c r="C55" s="19">
        <f ca="1">ROUND(FIRE1120_raw!C55,0)</f>
        <v>1</v>
      </c>
      <c r="D55" s="20">
        <f t="shared" ca="1" si="0"/>
        <v>2.7777777777777776E-2</v>
      </c>
      <c r="E55" s="19"/>
      <c r="F55" s="19">
        <f ca="1">ROUND(FIRE1120_raw!F55,0)</f>
        <v>7</v>
      </c>
      <c r="G55" s="19">
        <f ca="1">ROUND(FIRE1120_raw!G55,0)</f>
        <v>0</v>
      </c>
      <c r="H55" s="20">
        <f t="shared" ca="1" si="1"/>
        <v>0</v>
      </c>
      <c r="I55" s="19"/>
      <c r="J55" s="14">
        <f t="shared" ca="1" si="2"/>
        <v>42</v>
      </c>
      <c r="K55" s="14">
        <f t="shared" ca="1" si="2"/>
        <v>1</v>
      </c>
      <c r="L55" s="15">
        <f t="shared" ca="1" si="3"/>
        <v>2.3255813953488372E-2</v>
      </c>
      <c r="M55" s="19"/>
      <c r="N55" s="19">
        <f ca="1">ROUND(FIRE1120_raw!N55,0)</f>
        <v>0</v>
      </c>
      <c r="O55" s="19">
        <f ca="1">ROUND(FIRE1120_raw!O55,0)</f>
        <v>0</v>
      </c>
      <c r="P55" s="20" t="str">
        <f t="shared" ca="1" si="4"/>
        <v>-</v>
      </c>
      <c r="Q55" s="19"/>
      <c r="R55" s="19">
        <f ca="1">ROUND(FIRE1120_raw!R55,0)</f>
        <v>25</v>
      </c>
      <c r="S55" s="19">
        <f ca="1">ROUND(FIRE1120_raw!S55,0)</f>
        <v>25</v>
      </c>
      <c r="T55" s="20">
        <f t="shared" ca="1" si="5"/>
        <v>0.5</v>
      </c>
      <c r="U55" s="19"/>
      <c r="V55" s="14">
        <f t="shared" ca="1" si="18"/>
        <v>67</v>
      </c>
      <c r="W55" s="14">
        <f t="shared" ca="1" si="18"/>
        <v>26</v>
      </c>
      <c r="X55" s="20">
        <f t="shared" ca="1" si="7"/>
        <v>0.27956989247311825</v>
      </c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s="6" customFormat="1" ht="15" customHeight="1" thickBot="1" x14ac:dyDescent="0.4">
      <c r="A56" s="23" t="s">
        <v>58</v>
      </c>
      <c r="B56" s="24">
        <f ca="1">ROUND(FIRE1120_raw!B56,0)</f>
        <v>184</v>
      </c>
      <c r="C56" s="24">
        <f ca="1">ROUND(FIRE1120_raw!C56,0)</f>
        <v>22</v>
      </c>
      <c r="D56" s="39">
        <f t="shared" ref="D56" ca="1" si="19">IF(B56+C56=0,"-",(C56/(B56+C56)))</f>
        <v>0.10679611650485436</v>
      </c>
      <c r="E56" s="24"/>
      <c r="F56" s="24">
        <f ca="1">ROUND(FIRE1120_raw!F56,0)</f>
        <v>0</v>
      </c>
      <c r="G56" s="24">
        <f ca="1">ROUND(FIRE1120_raw!G56,0)</f>
        <v>0</v>
      </c>
      <c r="H56" s="39" t="str">
        <f t="shared" ref="H56" ca="1" si="20">IF(F56+G56=0,"-",(G56/(F56+G56)))</f>
        <v>-</v>
      </c>
      <c r="I56" s="24"/>
      <c r="J56" s="25">
        <f t="shared" ref="J56" ca="1" si="21">B56+F56</f>
        <v>184</v>
      </c>
      <c r="K56" s="25">
        <f t="shared" ref="K56" ca="1" si="22">C56+G56</f>
        <v>22</v>
      </c>
      <c r="L56" s="26">
        <f t="shared" ref="L56" ca="1" si="23">IF(J56+K56=0,"-",(K56/(J56+K56)))</f>
        <v>0.10679611650485436</v>
      </c>
      <c r="M56" s="24"/>
      <c r="N56" s="24">
        <f ca="1">ROUND(FIRE1120_raw!N56,0)</f>
        <v>7</v>
      </c>
      <c r="O56" s="24">
        <f ca="1">ROUND(FIRE1120_raw!O56,0)</f>
        <v>13</v>
      </c>
      <c r="P56" s="39">
        <f t="shared" ref="P56" ca="1" si="24">IF(N56+O56=0,"-",(O56/(N56+O56)))</f>
        <v>0.65</v>
      </c>
      <c r="Q56" s="24"/>
      <c r="R56" s="24">
        <f ca="1">ROUND(FIRE1120_raw!R56,0)</f>
        <v>33</v>
      </c>
      <c r="S56" s="24">
        <f ca="1">ROUND(FIRE1120_raw!S56,0)</f>
        <v>41</v>
      </c>
      <c r="T56" s="39">
        <f t="shared" ref="T56" ca="1" si="25">IF(R56+S56=0,"-",(S56/(R56+S56)))</f>
        <v>0.55405405405405406</v>
      </c>
      <c r="U56" s="24"/>
      <c r="V56" s="25">
        <f t="shared" ref="V56" ca="1" si="26">J56+N56+R56</f>
        <v>224</v>
      </c>
      <c r="W56" s="25">
        <f t="shared" ref="W56" ca="1" si="27">K56+O56+S56</f>
        <v>76</v>
      </c>
      <c r="X56" s="39">
        <f t="shared" ref="X56" ca="1" si="28">IF(V56+W56=0,"-",(W56/(V56+W56)))</f>
        <v>0.25333333333333335</v>
      </c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s="6" customFormat="1" ht="15" customHeight="1" x14ac:dyDescent="0.35">
      <c r="A57" s="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x14ac:dyDescent="0.35">
      <c r="A58" s="41" t="s">
        <v>59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33" x14ac:dyDescent="0.35">
      <c r="A59" s="48" t="s">
        <v>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33" x14ac:dyDescent="0.35">
      <c r="A60" s="42"/>
    </row>
    <row r="61" spans="1:33" x14ac:dyDescent="0.35">
      <c r="A61" s="28" t="s">
        <v>60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33" ht="15" customHeight="1" x14ac:dyDescent="0.35">
      <c r="A62" s="50" t="s">
        <v>61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33" x14ac:dyDescent="0.3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33" x14ac:dyDescent="0.35">
      <c r="A64" s="5" t="s">
        <v>62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x14ac:dyDescent="0.35">
      <c r="A65" s="30" t="s">
        <v>63</v>
      </c>
    </row>
    <row r="66" spans="1:24" x14ac:dyDescent="0.3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x14ac:dyDescent="0.35">
      <c r="A67" s="41" t="s">
        <v>64</v>
      </c>
      <c r="X67" s="6"/>
    </row>
    <row r="69" spans="1:24" x14ac:dyDescent="0.35">
      <c r="A69" s="5" t="s">
        <v>77</v>
      </c>
      <c r="X69" s="45" t="s">
        <v>66</v>
      </c>
    </row>
    <row r="70" spans="1:24" x14ac:dyDescent="0.35">
      <c r="A70" s="47" t="s">
        <v>78</v>
      </c>
      <c r="X70" s="46" t="s">
        <v>76</v>
      </c>
    </row>
    <row r="71" spans="1:24" x14ac:dyDescent="0.35">
      <c r="X71" s="31"/>
    </row>
    <row r="95" spans="26:26" x14ac:dyDescent="0.35">
      <c r="Z95" s="5" t="s">
        <v>73</v>
      </c>
    </row>
    <row r="96" spans="26:26" x14ac:dyDescent="0.35">
      <c r="Z96" s="5" t="s">
        <v>74</v>
      </c>
    </row>
  </sheetData>
  <mergeCells count="10">
    <mergeCell ref="A62:X62"/>
    <mergeCell ref="A1:X1"/>
    <mergeCell ref="A4:L4"/>
    <mergeCell ref="B6:D6"/>
    <mergeCell ref="F6:H6"/>
    <mergeCell ref="J6:L6"/>
    <mergeCell ref="N6:P6"/>
    <mergeCell ref="R6:T6"/>
    <mergeCell ref="V6:X6"/>
    <mergeCell ref="A59:X59"/>
  </mergeCells>
  <dataValidations count="1">
    <dataValidation type="list" allowBlank="1" showInputMessage="1" showErrorMessage="1" sqref="A4:L4" xr:uid="{00000000-0002-0000-0300-000000000000}">
      <formula1>$Z$95:$Z$96</formula1>
    </dataValidation>
  </dataValidations>
  <hyperlinks>
    <hyperlink ref="A65" r:id="rId1" xr:uid="{00000000-0004-0000-0300-000000000000}"/>
    <hyperlink ref="X69" r:id="rId2" xr:uid="{00000000-0004-0000-0300-000001000000}"/>
    <hyperlink ref="A70" r:id="rId3" xr:uid="{00000000-0004-0000-0300-000002000000}"/>
  </hyperlinks>
  <pageMargins left="0.7" right="0.7" top="0.75" bottom="0.75" header="0.3" footer="0.3"/>
  <pageSetup paperSize="9" orientation="portrait" r:id="rId4"/>
  <ignoredErrors>
    <ignoredError sqref="J49:K49 V49:W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(2016-17)</vt:lpstr>
      <vt:lpstr>(2017-18)</vt:lpstr>
      <vt:lpstr>FIRE1120_raw</vt:lpstr>
      <vt:lpstr>FIRE1120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STATISTICS TABLE 1120: Staff joining fire authorities (headcount1), </dc:title>
  <dc:creator/>
  <cp:keywords>fire,TABLE 1120,  staff, joining, authorities, headcount, gender</cp:keywords>
  <cp:lastModifiedBy/>
  <dcterms:created xsi:type="dcterms:W3CDTF">2019-01-14T19:26:44Z</dcterms:created>
  <dcterms:modified xsi:type="dcterms:W3CDTF">2019-01-14T19:29:51Z</dcterms:modified>
</cp:coreProperties>
</file>