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 codeName="ThisWorkbook"/>
  <xr:revisionPtr revIDLastSave="0" documentId="8_{EB37BBEB-F7B9-4FAE-A0D2-9677E8DACB38}" xr6:coauthVersionLast="31" xr6:coauthVersionMax="31" xr10:uidLastSave="{00000000-0000-0000-0000-000000000000}"/>
  <workbookProtection workbookAlgorithmName="SHA-512" workbookHashValue="aY7TkFqLn7zxSLKSjNSJ5f/NXZoklzDzNcnNyk8SL/ZVugX9cMXOPgxfnZE5B5dEow+gv34ozPu9EblVqwi3Kg==" workbookSaltValue="043cR/ouFBR86Acv+7gAcg==" workbookSpinCount="100000" lockStructure="1"/>
  <bookViews>
    <workbookView xWindow="0" yWindow="0" windowWidth="22580" windowHeight="7740" tabRatio="777" firstSheet="12" activeTab="12" xr2:uid="{00000000-000D-0000-FFFF-FFFF00000000}"/>
  </bookViews>
  <sheets>
    <sheet name="(2010-11)" sheetId="18" state="hidden" r:id="rId1"/>
    <sheet name="(2011-12)" sheetId="17" state="hidden" r:id="rId2"/>
    <sheet name="(2012-13)" sheetId="16" state="hidden" r:id="rId3"/>
    <sheet name="(2013-14)" sheetId="13" state="hidden" r:id="rId4"/>
    <sheet name="(2014-15)" sheetId="12" state="hidden" r:id="rId5"/>
    <sheet name="2015-16_working" sheetId="14" state="hidden" r:id="rId6"/>
    <sheet name="(2015-16)" sheetId="15" state="hidden" r:id="rId7"/>
    <sheet name="2016-17_working" sheetId="19" state="hidden" r:id="rId8"/>
    <sheet name="(2016-17)" sheetId="20" state="hidden" r:id="rId9"/>
    <sheet name="2017-18_working" sheetId="21" state="hidden" r:id="rId10"/>
    <sheet name="(2017-18)" sheetId="22" state="hidden" r:id="rId11"/>
    <sheet name="FIRE1202 raw" sheetId="1" state="hidden" r:id="rId12"/>
    <sheet name="FIRE1202" sheetId="11" r:id="rId13"/>
  </sheets>
  <definedNames>
    <definedName name="_xlnm.Print_Area" localSheetId="0">'(2010-11)'!$B$2:$L$60</definedName>
    <definedName name="_xlnm.Print_Area" localSheetId="1">'(2011-12)'!$B$2:$L$61</definedName>
    <definedName name="_xlnm.Print_Area" localSheetId="2">'(2012-13)'!$B$2:$L$60</definedName>
    <definedName name="_xlnm.Print_Area" localSheetId="3">'(2013-14)'!$B$2:$L$61</definedName>
    <definedName name="_xlnm.Print_Area" localSheetId="4">'(2014-15)'!$B$2:$L$61</definedName>
    <definedName name="_xlnm.Print_Area" localSheetId="6">'(2015-16)'!$B$2:$L$61</definedName>
    <definedName name="_xlnm.Print_Area" localSheetId="8">'(2016-17)'!$B$2:$L$61</definedName>
    <definedName name="_xlnm.Print_Area" localSheetId="10">'(2017-18)'!$B$2:$L$61</definedName>
    <definedName name="_xlnm.Print_Area" localSheetId="5">'2015-16_working'!$B$2:$L$61</definedName>
    <definedName name="_xlnm.Print_Area" localSheetId="7">'2016-17_working'!$B$2:$L$61</definedName>
    <definedName name="_xlnm.Print_Area" localSheetId="9">'2017-18_working'!$B$2:$L$61</definedName>
    <definedName name="qrychiefrepspecservrtaother" localSheetId="0">#REF!</definedName>
    <definedName name="qrychiefrepspecservrtaother" localSheetId="1">#REF!</definedName>
    <definedName name="qrychiefrepspecservrtaother" localSheetId="2">#REF!</definedName>
    <definedName name="qrychiefrepspecservrtaother" localSheetId="3">#REF!</definedName>
    <definedName name="qrychiefrepspecservrtaother" localSheetId="4">#REF!</definedName>
    <definedName name="qrychiefrepspecservrtaother" localSheetId="6">#REF!</definedName>
    <definedName name="qrychiefrepspecservrtaother" localSheetId="8">#REF!</definedName>
    <definedName name="qrychiefrepspecservrtaother" localSheetId="10">#REF!</definedName>
    <definedName name="qrychiefrepspecservrtaother" localSheetId="5">#REF!</definedName>
    <definedName name="qrychiefrepspecservrtaother" localSheetId="7">#REF!</definedName>
    <definedName name="qrychiefrepspecservrtaother" localSheetId="9">#REF!</definedName>
    <definedName name="qrychiefrepsuccretireresig" localSheetId="0">#REF!</definedName>
    <definedName name="qrychiefrepsuccretireresig" localSheetId="1">#REF!</definedName>
    <definedName name="qrychiefrepsuccretireresig" localSheetId="2">#REF!</definedName>
    <definedName name="qrychiefrepsuccretireresig" localSheetId="3">#REF!</definedName>
    <definedName name="qrychiefrepsuccretireresig" localSheetId="4">#REF!</definedName>
    <definedName name="qrychiefrepsuccretireresig" localSheetId="6">#REF!</definedName>
    <definedName name="qrychiefrepsuccretireresig" localSheetId="8">#REF!</definedName>
    <definedName name="qrychiefrepsuccretireresig" localSheetId="10">#REF!</definedName>
    <definedName name="qrychiefrepsuccretireresig" localSheetId="5">#REF!</definedName>
    <definedName name="qrychiefrepsuccretireresig" localSheetId="7">#REF!</definedName>
    <definedName name="qrychiefrepsuccretireresig" localSheetId="9">#REF!</definedName>
    <definedName name="qrychiefrepwteststr" localSheetId="0">#REF!</definedName>
    <definedName name="qrychiefrepwteststr" localSheetId="1">#REF!</definedName>
    <definedName name="qrychiefrepwteststr" localSheetId="2">#REF!</definedName>
    <definedName name="qrychiefrepwteststr" localSheetId="3">#REF!</definedName>
    <definedName name="qrychiefrepwteststr" localSheetId="4">#REF!</definedName>
    <definedName name="qrychiefrepwteststr" localSheetId="6">#REF!</definedName>
    <definedName name="qrychiefrepwteststr" localSheetId="8">#REF!</definedName>
    <definedName name="qrychiefrepwteststr" localSheetId="10">#REF!</definedName>
    <definedName name="qrychiefrepwteststr" localSheetId="5">#REF!</definedName>
    <definedName name="qrychiefrepwteststr" localSheetId="7">#REF!</definedName>
    <definedName name="qrychiefrepwteststr" localSheetId="9">#REF!</definedName>
    <definedName name="qrychiefrepwtgeneth" localSheetId="0">#REF!</definedName>
    <definedName name="qrychiefrepwtgeneth" localSheetId="1">#REF!</definedName>
    <definedName name="qrychiefrepwtgeneth" localSheetId="2">#REF!</definedName>
    <definedName name="qrychiefrepwtgeneth" localSheetId="3">#REF!</definedName>
    <definedName name="qrychiefrepwtgeneth" localSheetId="4">#REF!</definedName>
    <definedName name="qrychiefrepwtgeneth" localSheetId="6">#REF!</definedName>
    <definedName name="qrychiefrepwtgeneth" localSheetId="8">#REF!</definedName>
    <definedName name="qrychiefrepwtgeneth" localSheetId="10">#REF!</definedName>
    <definedName name="qrychiefrepwtgeneth" localSheetId="5">#REF!</definedName>
    <definedName name="qrychiefrepwtgeneth" localSheetId="7">#REF!</definedName>
    <definedName name="qrychiefrepwtgeneth" localSheetId="9">#REF!</definedName>
    <definedName name="qryffinjuries9900" localSheetId="0">#REF!</definedName>
    <definedName name="qryffinjuries9900" localSheetId="1">#REF!</definedName>
    <definedName name="qryffinjuries9900" localSheetId="2">#REF!</definedName>
    <definedName name="qryffinjuries9900" localSheetId="3">#REF!</definedName>
    <definedName name="qryffinjuries9900" localSheetId="4">#REF!</definedName>
    <definedName name="qryffinjuries9900" localSheetId="6">#REF!</definedName>
    <definedName name="qryffinjuries9900" localSheetId="8">#REF!</definedName>
    <definedName name="qryffinjuries9900" localSheetId="10">#REF!</definedName>
    <definedName name="qryffinjuries9900" localSheetId="5">#REF!</definedName>
    <definedName name="qryffinjuries9900" localSheetId="7">#REF!</definedName>
    <definedName name="qryffinjuries9900" localSheetId="9">#REF!</definedName>
    <definedName name="qryPI15" localSheetId="0">#REF!</definedName>
    <definedName name="qryPI15" localSheetId="1">#REF!</definedName>
    <definedName name="qryPI15" localSheetId="2">#REF!</definedName>
    <definedName name="qryPI15" localSheetId="3">#REF!</definedName>
    <definedName name="qryPI15" localSheetId="4">#REF!</definedName>
    <definedName name="qryPI15" localSheetId="6">#REF!</definedName>
    <definedName name="qryPI15" localSheetId="8">#REF!</definedName>
    <definedName name="qryPI15" localSheetId="10">#REF!</definedName>
    <definedName name="qryPI15" localSheetId="5">#REF!</definedName>
    <definedName name="qryPI15" localSheetId="7">#REF!</definedName>
    <definedName name="qryPI15" localSheetId="9">#REF!</definedName>
    <definedName name="qryPI16" localSheetId="0">#REF!</definedName>
    <definedName name="qryPI16" localSheetId="1">#REF!</definedName>
    <definedName name="qryPI16" localSheetId="2">#REF!</definedName>
    <definedName name="qryPI16" localSheetId="3">#REF!</definedName>
    <definedName name="qryPI16" localSheetId="4">#REF!</definedName>
    <definedName name="qryPI16" localSheetId="6">#REF!</definedName>
    <definedName name="qryPI16" localSheetId="8">#REF!</definedName>
    <definedName name="qryPI16" localSheetId="10">#REF!</definedName>
    <definedName name="qryPI16" localSheetId="5">#REF!</definedName>
    <definedName name="qryPI16" localSheetId="7">#REF!</definedName>
    <definedName name="qryPI16" localSheetId="9">#REF!</definedName>
    <definedName name="qryPIBV145a" localSheetId="0">#REF!</definedName>
    <definedName name="qryPIBV145a" localSheetId="1">#REF!</definedName>
    <definedName name="qryPIBV145a" localSheetId="2">#REF!</definedName>
    <definedName name="qryPIBV145a" localSheetId="3">#REF!</definedName>
    <definedName name="qryPIBV145a" localSheetId="4">#REF!</definedName>
    <definedName name="qryPIBV145a" localSheetId="6">#REF!</definedName>
    <definedName name="qryPIBV145a" localSheetId="8">#REF!</definedName>
    <definedName name="qryPIBV145a" localSheetId="10">#REF!</definedName>
    <definedName name="qryPIBV145a" localSheetId="5">#REF!</definedName>
    <definedName name="qryPIBV145a" localSheetId="7">#REF!</definedName>
    <definedName name="qryPIBV145a" localSheetId="9">#REF!</definedName>
    <definedName name="qryPIBV145b" localSheetId="0">#REF!</definedName>
    <definedName name="qryPIBV145b" localSheetId="1">#REF!</definedName>
    <definedName name="qryPIBV145b" localSheetId="2">#REF!</definedName>
    <definedName name="qryPIBV145b" localSheetId="3">#REF!</definedName>
    <definedName name="qryPIBV145b" localSheetId="4">#REF!</definedName>
    <definedName name="qryPIBV145b" localSheetId="6">#REF!</definedName>
    <definedName name="qryPIBV145b" localSheetId="8">#REF!</definedName>
    <definedName name="qryPIBV145b" localSheetId="10">#REF!</definedName>
    <definedName name="qryPIBV145b" localSheetId="5">#REF!</definedName>
    <definedName name="qryPIBV145b" localSheetId="7">#REF!</definedName>
    <definedName name="qryPIBV145b" localSheetId="9">#REF!</definedName>
    <definedName name="qryPIBV145c" localSheetId="0">#REF!</definedName>
    <definedName name="qryPIBV145c" localSheetId="1">#REF!</definedName>
    <definedName name="qryPIBV145c" localSheetId="2">#REF!</definedName>
    <definedName name="qryPIBV145c" localSheetId="3">#REF!</definedName>
    <definedName name="qryPIBV145c" localSheetId="4">#REF!</definedName>
    <definedName name="qryPIBV145c" localSheetId="6">#REF!</definedName>
    <definedName name="qryPIBV145c" localSheetId="8">#REF!</definedName>
    <definedName name="qryPIBV145c" localSheetId="10">#REF!</definedName>
    <definedName name="qryPIBV145c" localSheetId="5">#REF!</definedName>
    <definedName name="qryPIBV145c" localSheetId="7">#REF!</definedName>
    <definedName name="qryPIBV145c" localSheetId="9">#REF!</definedName>
    <definedName name="qryPIBV15i" localSheetId="0">#REF!</definedName>
    <definedName name="qryPIBV15i" localSheetId="1">#REF!</definedName>
    <definedName name="qryPIBV15i" localSheetId="2">#REF!</definedName>
    <definedName name="qryPIBV15i" localSheetId="3">#REF!</definedName>
    <definedName name="qryPIBV15i" localSheetId="4">#REF!</definedName>
    <definedName name="qryPIBV15i" localSheetId="6">#REF!</definedName>
    <definedName name="qryPIBV15i" localSheetId="8">#REF!</definedName>
    <definedName name="qryPIBV15i" localSheetId="10">#REF!</definedName>
    <definedName name="qryPIBV15i" localSheetId="5">#REF!</definedName>
    <definedName name="qryPIBV15i" localSheetId="7">#REF!</definedName>
    <definedName name="qryPIBV15i" localSheetId="9">#REF!</definedName>
    <definedName name="qryPIBV15ii" localSheetId="0">#REF!</definedName>
    <definedName name="qryPIBV15ii" localSheetId="1">#REF!</definedName>
    <definedName name="qryPIBV15ii" localSheetId="2">#REF!</definedName>
    <definedName name="qryPIBV15ii" localSheetId="3">#REF!</definedName>
    <definedName name="qryPIBV15ii" localSheetId="4">#REF!</definedName>
    <definedName name="qryPIBV15ii" localSheetId="6">#REF!</definedName>
    <definedName name="qryPIBV15ii" localSheetId="8">#REF!</definedName>
    <definedName name="qryPIBV15ii" localSheetId="10">#REF!</definedName>
    <definedName name="qryPIBV15ii" localSheetId="5">#REF!</definedName>
    <definedName name="qryPIBV15ii" localSheetId="7">#REF!</definedName>
    <definedName name="qryPIBV15ii" localSheetId="9">#REF!</definedName>
    <definedName name="qryPIctsickness" localSheetId="0">#REF!</definedName>
    <definedName name="qryPIctsickness" localSheetId="1">#REF!</definedName>
    <definedName name="qryPIctsickness" localSheetId="2">#REF!</definedName>
    <definedName name="qryPIctsickness" localSheetId="3">#REF!</definedName>
    <definedName name="qryPIctsickness" localSheetId="4">#REF!</definedName>
    <definedName name="qryPIctsickness" localSheetId="6">#REF!</definedName>
    <definedName name="qryPIctsickness" localSheetId="8">#REF!</definedName>
    <definedName name="qryPIctsickness" localSheetId="10">#REF!</definedName>
    <definedName name="qryPIctsickness" localSheetId="5">#REF!</definedName>
    <definedName name="qryPIctsickness" localSheetId="7">#REF!</definedName>
    <definedName name="qryPIctsickness" localSheetId="9">#REF!</definedName>
    <definedName name="qryPIriderfactleave" localSheetId="0">#REF!</definedName>
    <definedName name="qryPIriderfactleave" localSheetId="1">#REF!</definedName>
    <definedName name="qryPIriderfactleave" localSheetId="2">#REF!</definedName>
    <definedName name="qryPIriderfactleave" localSheetId="3">#REF!</definedName>
    <definedName name="qryPIriderfactleave" localSheetId="4">#REF!</definedName>
    <definedName name="qryPIriderfactleave" localSheetId="6">#REF!</definedName>
    <definedName name="qryPIriderfactleave" localSheetId="8">#REF!</definedName>
    <definedName name="qryPIriderfactleave" localSheetId="10">#REF!</definedName>
    <definedName name="qryPIriderfactleave" localSheetId="5">#REF!</definedName>
    <definedName name="qryPIriderfactleave" localSheetId="7">#REF!</definedName>
    <definedName name="qryPIriderfactleave" localSheetId="9">#REF!</definedName>
    <definedName name="qryPIriderfactsick" localSheetId="0">#REF!</definedName>
    <definedName name="qryPIriderfactsick" localSheetId="1">#REF!</definedName>
    <definedName name="qryPIriderfactsick" localSheetId="2">#REF!</definedName>
    <definedName name="qryPIriderfactsick" localSheetId="3">#REF!</definedName>
    <definedName name="qryPIriderfactsick" localSheetId="4">#REF!</definedName>
    <definedName name="qryPIriderfactsick" localSheetId="6">#REF!</definedName>
    <definedName name="qryPIriderfactsick" localSheetId="8">#REF!</definedName>
    <definedName name="qryPIriderfactsick" localSheetId="10">#REF!</definedName>
    <definedName name="qryPIriderfactsick" localSheetId="5">#REF!</definedName>
    <definedName name="qryPIriderfactsick" localSheetId="7">#REF!</definedName>
    <definedName name="qryPIriderfactsick" localSheetId="9">#REF!</definedName>
    <definedName name="Query1" localSheetId="0">#REF!</definedName>
    <definedName name="Query1" localSheetId="1">#REF!</definedName>
    <definedName name="Query1" localSheetId="2">#REF!</definedName>
    <definedName name="Query1" localSheetId="3">#REF!</definedName>
    <definedName name="Query1" localSheetId="4">#REF!</definedName>
    <definedName name="Query1" localSheetId="6">#REF!</definedName>
    <definedName name="Query1" localSheetId="8">#REF!</definedName>
    <definedName name="Query1" localSheetId="10">#REF!</definedName>
    <definedName name="Query1" localSheetId="5">#REF!</definedName>
    <definedName name="Query1" localSheetId="7">#REF!</definedName>
    <definedName name="Query1" localSheetId="9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2" l="1"/>
  <c r="L6" i="12" s="1"/>
  <c r="L7" i="13"/>
  <c r="L6" i="13" s="1"/>
  <c r="A4" i="1" l="1"/>
  <c r="I48" i="22" l="1"/>
  <c r="E48" i="22"/>
  <c r="L48" i="22"/>
  <c r="K48" i="22"/>
  <c r="K6" i="22" s="1"/>
  <c r="J48" i="22"/>
  <c r="H48" i="22"/>
  <c r="G48" i="22"/>
  <c r="F48" i="22"/>
  <c r="F6" i="22" s="1"/>
  <c r="D48" i="22"/>
  <c r="C48" i="22"/>
  <c r="I7" i="22"/>
  <c r="I6" i="22" s="1"/>
  <c r="L7" i="22"/>
  <c r="K7" i="22"/>
  <c r="J7" i="22"/>
  <c r="J6" i="22" s="1"/>
  <c r="H7" i="22"/>
  <c r="G7" i="22"/>
  <c r="G6" i="22" s="1"/>
  <c r="F7" i="22"/>
  <c r="E7" i="22"/>
  <c r="D7" i="22"/>
  <c r="D6" i="22" s="1"/>
  <c r="C7" i="22"/>
  <c r="C6" i="22" s="1"/>
  <c r="D48" i="21"/>
  <c r="I7" i="21"/>
  <c r="E7" i="21"/>
  <c r="J48" i="21"/>
  <c r="L6" i="22" l="1"/>
  <c r="C48" i="21"/>
  <c r="G48" i="21"/>
  <c r="K48" i="21"/>
  <c r="J7" i="21"/>
  <c r="J6" i="21" s="1"/>
  <c r="H48" i="21"/>
  <c r="L48" i="21"/>
  <c r="F48" i="21"/>
  <c r="D7" i="21"/>
  <c r="D6" i="21" s="1"/>
  <c r="H7" i="21"/>
  <c r="L7" i="21"/>
  <c r="L6" i="21" s="1"/>
  <c r="F7" i="21"/>
  <c r="E48" i="21"/>
  <c r="E6" i="21" s="1"/>
  <c r="I48" i="21"/>
  <c r="I6" i="21" s="1"/>
  <c r="C7" i="21"/>
  <c r="C6" i="21" s="1"/>
  <c r="G7" i="21"/>
  <c r="G6" i="21" s="1"/>
  <c r="K7" i="21"/>
  <c r="K6" i="21" s="1"/>
  <c r="H6" i="22"/>
  <c r="E6" i="22"/>
  <c r="H6" i="21" l="1"/>
  <c r="F6" i="21"/>
  <c r="C20" i="20"/>
  <c r="D20" i="20"/>
  <c r="E20" i="20"/>
  <c r="F20" i="20"/>
  <c r="G20" i="20"/>
  <c r="H20" i="20"/>
  <c r="I20" i="20"/>
  <c r="J20" i="20"/>
  <c r="K20" i="20"/>
  <c r="L20" i="20"/>
  <c r="C34" i="20"/>
  <c r="D34" i="20"/>
  <c r="E34" i="20"/>
  <c r="F34" i="20"/>
  <c r="G34" i="20"/>
  <c r="H34" i="20"/>
  <c r="I34" i="20"/>
  <c r="J34" i="20"/>
  <c r="K34" i="20"/>
  <c r="L34" i="20"/>
  <c r="C43" i="20"/>
  <c r="D43" i="20"/>
  <c r="E43" i="20"/>
  <c r="F43" i="20"/>
  <c r="G43" i="20"/>
  <c r="H43" i="20"/>
  <c r="I43" i="20"/>
  <c r="J43" i="20"/>
  <c r="K43" i="20"/>
  <c r="L43" i="20"/>
  <c r="C46" i="20"/>
  <c r="D46" i="20"/>
  <c r="E46" i="20"/>
  <c r="F46" i="20"/>
  <c r="G46" i="20"/>
  <c r="H46" i="20"/>
  <c r="I46" i="20"/>
  <c r="J46" i="20"/>
  <c r="K46" i="20"/>
  <c r="L46" i="20"/>
  <c r="L55" i="20" l="1"/>
  <c r="K55" i="20"/>
  <c r="J55" i="20"/>
  <c r="I55" i="20"/>
  <c r="H55" i="20"/>
  <c r="G55" i="20"/>
  <c r="F55" i="20"/>
  <c r="E55" i="20"/>
  <c r="D55" i="20"/>
  <c r="C55" i="20"/>
  <c r="L54" i="20"/>
  <c r="K54" i="20"/>
  <c r="J54" i="20"/>
  <c r="I54" i="20"/>
  <c r="H54" i="20"/>
  <c r="G54" i="20"/>
  <c r="F54" i="20"/>
  <c r="E54" i="20"/>
  <c r="D54" i="20"/>
  <c r="C54" i="20"/>
  <c r="L53" i="20"/>
  <c r="K53" i="20"/>
  <c r="J53" i="20"/>
  <c r="I53" i="20"/>
  <c r="H53" i="20"/>
  <c r="G53" i="20"/>
  <c r="F53" i="20"/>
  <c r="E53" i="20"/>
  <c r="D53" i="20"/>
  <c r="C53" i="20"/>
  <c r="L52" i="20"/>
  <c r="K52" i="20"/>
  <c r="J52" i="20"/>
  <c r="I52" i="20"/>
  <c r="H52" i="20"/>
  <c r="G52" i="20"/>
  <c r="F52" i="20"/>
  <c r="E52" i="20"/>
  <c r="D52" i="20"/>
  <c r="C52" i="20"/>
  <c r="L51" i="20"/>
  <c r="K51" i="20"/>
  <c r="J51" i="20"/>
  <c r="I51" i="20"/>
  <c r="H51" i="20"/>
  <c r="G51" i="20"/>
  <c r="F51" i="20"/>
  <c r="E51" i="20"/>
  <c r="D51" i="20"/>
  <c r="C51" i="20"/>
  <c r="L50" i="20"/>
  <c r="K50" i="20"/>
  <c r="J50" i="20"/>
  <c r="I50" i="20"/>
  <c r="H50" i="20"/>
  <c r="G50" i="20"/>
  <c r="F50" i="20"/>
  <c r="E50" i="20"/>
  <c r="D50" i="20"/>
  <c r="C50" i="20"/>
  <c r="L49" i="20"/>
  <c r="K49" i="20"/>
  <c r="J49" i="20"/>
  <c r="I49" i="20"/>
  <c r="H49" i="20"/>
  <c r="G49" i="20"/>
  <c r="F49" i="20"/>
  <c r="E49" i="20"/>
  <c r="D49" i="20"/>
  <c r="C49" i="20"/>
  <c r="L47" i="20"/>
  <c r="K47" i="20"/>
  <c r="J47" i="20"/>
  <c r="I47" i="20"/>
  <c r="H47" i="20"/>
  <c r="G47" i="20"/>
  <c r="F47" i="20"/>
  <c r="E47" i="20"/>
  <c r="D47" i="20"/>
  <c r="C47" i="20"/>
  <c r="L45" i="20"/>
  <c r="K45" i="20"/>
  <c r="J45" i="20"/>
  <c r="I45" i="20"/>
  <c r="H45" i="20"/>
  <c r="G45" i="20"/>
  <c r="F45" i="20"/>
  <c r="E45" i="20"/>
  <c r="D45" i="20"/>
  <c r="C45" i="20"/>
  <c r="L44" i="20"/>
  <c r="K44" i="20"/>
  <c r="J44" i="20"/>
  <c r="I44" i="20"/>
  <c r="H44" i="20"/>
  <c r="G44" i="20"/>
  <c r="F44" i="20"/>
  <c r="E44" i="20"/>
  <c r="D44" i="20"/>
  <c r="C44" i="20"/>
  <c r="E48" i="20" l="1"/>
  <c r="I48" i="20"/>
  <c r="F48" i="20"/>
  <c r="J48" i="20"/>
  <c r="C48" i="20"/>
  <c r="K48" i="20"/>
  <c r="D48" i="20"/>
  <c r="H48" i="20"/>
  <c r="L48" i="20"/>
  <c r="G48" i="20"/>
  <c r="L42" i="20"/>
  <c r="K42" i="20"/>
  <c r="J42" i="20"/>
  <c r="I42" i="20"/>
  <c r="H42" i="20"/>
  <c r="G42" i="20"/>
  <c r="F42" i="20"/>
  <c r="E42" i="20"/>
  <c r="D42" i="20"/>
  <c r="C42" i="20"/>
  <c r="L41" i="20"/>
  <c r="K41" i="20"/>
  <c r="J41" i="20"/>
  <c r="I41" i="20"/>
  <c r="H41" i="20"/>
  <c r="G41" i="20"/>
  <c r="F41" i="20"/>
  <c r="E41" i="20"/>
  <c r="D41" i="20"/>
  <c r="C41" i="20"/>
  <c r="L40" i="20"/>
  <c r="K40" i="20"/>
  <c r="J40" i="20"/>
  <c r="I40" i="20"/>
  <c r="H40" i="20"/>
  <c r="G40" i="20"/>
  <c r="F40" i="20"/>
  <c r="E40" i="20"/>
  <c r="D40" i="20"/>
  <c r="C40" i="20"/>
  <c r="L39" i="20"/>
  <c r="K39" i="20"/>
  <c r="J39" i="20"/>
  <c r="I39" i="20"/>
  <c r="H39" i="20"/>
  <c r="G39" i="20"/>
  <c r="F39" i="20"/>
  <c r="E39" i="20"/>
  <c r="D39" i="20"/>
  <c r="C39" i="20"/>
  <c r="L38" i="20"/>
  <c r="K38" i="20"/>
  <c r="J38" i="20"/>
  <c r="I38" i="20"/>
  <c r="H38" i="20"/>
  <c r="G38" i="20"/>
  <c r="F38" i="20"/>
  <c r="E38" i="20"/>
  <c r="D38" i="20"/>
  <c r="C38" i="20"/>
  <c r="L37" i="20"/>
  <c r="K37" i="20"/>
  <c r="J37" i="20"/>
  <c r="I37" i="20"/>
  <c r="H37" i="20"/>
  <c r="G37" i="20"/>
  <c r="F37" i="20"/>
  <c r="E37" i="20"/>
  <c r="D37" i="20"/>
  <c r="C37" i="20"/>
  <c r="L36" i="20"/>
  <c r="K36" i="20"/>
  <c r="J36" i="20"/>
  <c r="I36" i="20"/>
  <c r="H36" i="20"/>
  <c r="G36" i="20"/>
  <c r="F36" i="20"/>
  <c r="E36" i="20"/>
  <c r="D36" i="20"/>
  <c r="C36" i="20"/>
  <c r="L35" i="20"/>
  <c r="K35" i="20"/>
  <c r="J35" i="20"/>
  <c r="I35" i="20"/>
  <c r="H35" i="20"/>
  <c r="G35" i="20"/>
  <c r="F35" i="20"/>
  <c r="E35" i="20"/>
  <c r="D35" i="20"/>
  <c r="C35" i="20"/>
  <c r="L33" i="20" l="1"/>
  <c r="K33" i="20"/>
  <c r="J33" i="20"/>
  <c r="I33" i="20"/>
  <c r="H33" i="20"/>
  <c r="G33" i="20"/>
  <c r="F33" i="20"/>
  <c r="E33" i="20"/>
  <c r="D33" i="20"/>
  <c r="C33" i="20"/>
  <c r="L32" i="20"/>
  <c r="K32" i="20"/>
  <c r="J32" i="20"/>
  <c r="I32" i="20"/>
  <c r="H32" i="20"/>
  <c r="G32" i="20"/>
  <c r="F32" i="20"/>
  <c r="E32" i="20"/>
  <c r="D32" i="20"/>
  <c r="C32" i="20"/>
  <c r="L31" i="20"/>
  <c r="K31" i="20"/>
  <c r="J31" i="20"/>
  <c r="I31" i="20"/>
  <c r="H31" i="20"/>
  <c r="G31" i="20"/>
  <c r="F31" i="20"/>
  <c r="E31" i="20"/>
  <c r="D31" i="20"/>
  <c r="C31" i="20"/>
  <c r="L30" i="20"/>
  <c r="K30" i="20"/>
  <c r="J30" i="20"/>
  <c r="I30" i="20"/>
  <c r="H30" i="20"/>
  <c r="G30" i="20"/>
  <c r="F30" i="20"/>
  <c r="E30" i="20"/>
  <c r="D30" i="20"/>
  <c r="C30" i="20"/>
  <c r="L29" i="20"/>
  <c r="K29" i="20"/>
  <c r="J29" i="20"/>
  <c r="I29" i="20"/>
  <c r="H29" i="20"/>
  <c r="G29" i="20"/>
  <c r="F29" i="20"/>
  <c r="E29" i="20"/>
  <c r="D29" i="20"/>
  <c r="C29" i="20"/>
  <c r="L28" i="20"/>
  <c r="K28" i="20"/>
  <c r="J28" i="20"/>
  <c r="I28" i="20"/>
  <c r="H28" i="20"/>
  <c r="G28" i="20"/>
  <c r="F28" i="20"/>
  <c r="E28" i="20"/>
  <c r="D28" i="20"/>
  <c r="C28" i="20"/>
  <c r="L27" i="20"/>
  <c r="K27" i="20"/>
  <c r="J27" i="20"/>
  <c r="I27" i="20"/>
  <c r="H27" i="20"/>
  <c r="G27" i="20"/>
  <c r="F27" i="20"/>
  <c r="E27" i="20"/>
  <c r="D27" i="20"/>
  <c r="C27" i="20"/>
  <c r="L26" i="20"/>
  <c r="K26" i="20"/>
  <c r="J26" i="20"/>
  <c r="I26" i="20"/>
  <c r="H26" i="20"/>
  <c r="G26" i="20"/>
  <c r="F26" i="20"/>
  <c r="E26" i="20"/>
  <c r="D26" i="20"/>
  <c r="C26" i="20"/>
  <c r="L25" i="20"/>
  <c r="K25" i="20"/>
  <c r="J25" i="20"/>
  <c r="I25" i="20"/>
  <c r="H25" i="20"/>
  <c r="G25" i="20"/>
  <c r="F25" i="20"/>
  <c r="E25" i="20"/>
  <c r="D25" i="20"/>
  <c r="C25" i="20"/>
  <c r="L24" i="20"/>
  <c r="K24" i="20"/>
  <c r="J24" i="20"/>
  <c r="I24" i="20"/>
  <c r="H24" i="20"/>
  <c r="G24" i="20"/>
  <c r="F24" i="20"/>
  <c r="E24" i="20"/>
  <c r="D24" i="20"/>
  <c r="C24" i="20"/>
  <c r="L23" i="20"/>
  <c r="K23" i="20"/>
  <c r="J23" i="20"/>
  <c r="I23" i="20"/>
  <c r="H23" i="20"/>
  <c r="G23" i="20"/>
  <c r="F23" i="20"/>
  <c r="E23" i="20"/>
  <c r="D23" i="20"/>
  <c r="C23" i="20"/>
  <c r="L22" i="20"/>
  <c r="K22" i="20"/>
  <c r="J22" i="20"/>
  <c r="I22" i="20"/>
  <c r="H22" i="20"/>
  <c r="G22" i="20"/>
  <c r="F22" i="20"/>
  <c r="E22" i="20"/>
  <c r="D22" i="20"/>
  <c r="C22" i="20"/>
  <c r="L21" i="20"/>
  <c r="K21" i="20"/>
  <c r="J21" i="20"/>
  <c r="I21" i="20"/>
  <c r="H21" i="20"/>
  <c r="G21" i="20"/>
  <c r="F21" i="20"/>
  <c r="E21" i="20"/>
  <c r="D21" i="20"/>
  <c r="C21" i="20"/>
  <c r="L19" i="20"/>
  <c r="K19" i="20"/>
  <c r="J19" i="20"/>
  <c r="I19" i="20"/>
  <c r="H19" i="20"/>
  <c r="G19" i="20"/>
  <c r="F19" i="20"/>
  <c r="E19" i="20"/>
  <c r="D19" i="20"/>
  <c r="C19" i="20"/>
  <c r="L18" i="20"/>
  <c r="K18" i="20"/>
  <c r="J18" i="20"/>
  <c r="I18" i="20"/>
  <c r="H18" i="20"/>
  <c r="G18" i="20"/>
  <c r="F18" i="20"/>
  <c r="E18" i="20"/>
  <c r="D18" i="20"/>
  <c r="C18" i="20"/>
  <c r="L17" i="20"/>
  <c r="K17" i="20"/>
  <c r="J17" i="20"/>
  <c r="I17" i="20"/>
  <c r="H17" i="20"/>
  <c r="G17" i="20"/>
  <c r="F17" i="20"/>
  <c r="E17" i="20"/>
  <c r="D17" i="20"/>
  <c r="C17" i="20"/>
  <c r="L16" i="20"/>
  <c r="K16" i="20"/>
  <c r="J16" i="20"/>
  <c r="I16" i="20"/>
  <c r="H16" i="20"/>
  <c r="G16" i="20"/>
  <c r="F16" i="20"/>
  <c r="E16" i="20"/>
  <c r="D16" i="20"/>
  <c r="C16" i="20"/>
  <c r="L15" i="20"/>
  <c r="K15" i="20"/>
  <c r="J15" i="20"/>
  <c r="I15" i="20"/>
  <c r="H15" i="20"/>
  <c r="G15" i="20"/>
  <c r="F15" i="20"/>
  <c r="E15" i="20"/>
  <c r="D15" i="20"/>
  <c r="C15" i="20"/>
  <c r="L14" i="20"/>
  <c r="K14" i="20"/>
  <c r="J14" i="20"/>
  <c r="I14" i="20"/>
  <c r="H14" i="20"/>
  <c r="G14" i="20"/>
  <c r="F14" i="20"/>
  <c r="E14" i="20"/>
  <c r="D14" i="20"/>
  <c r="C14" i="20"/>
  <c r="L13" i="20"/>
  <c r="K13" i="20"/>
  <c r="J13" i="20"/>
  <c r="I13" i="20"/>
  <c r="H13" i="20"/>
  <c r="G13" i="20"/>
  <c r="F13" i="20"/>
  <c r="E13" i="20"/>
  <c r="D13" i="20"/>
  <c r="C13" i="20"/>
  <c r="L12" i="20"/>
  <c r="K12" i="20"/>
  <c r="J12" i="20"/>
  <c r="I12" i="20"/>
  <c r="H12" i="20"/>
  <c r="G12" i="20"/>
  <c r="F12" i="20"/>
  <c r="E12" i="20"/>
  <c r="D12" i="20"/>
  <c r="C12" i="20"/>
  <c r="L11" i="20"/>
  <c r="K11" i="20"/>
  <c r="J11" i="20"/>
  <c r="I11" i="20"/>
  <c r="H11" i="20"/>
  <c r="G11" i="20"/>
  <c r="F11" i="20"/>
  <c r="E11" i="20"/>
  <c r="D11" i="20"/>
  <c r="C11" i="20"/>
  <c r="K10" i="20"/>
  <c r="J10" i="20"/>
  <c r="I10" i="20"/>
  <c r="H10" i="20"/>
  <c r="G10" i="20"/>
  <c r="F10" i="20"/>
  <c r="E10" i="20"/>
  <c r="D10" i="20"/>
  <c r="C10" i="20"/>
  <c r="L9" i="20"/>
  <c r="K9" i="20"/>
  <c r="J9" i="20"/>
  <c r="I9" i="20"/>
  <c r="H9" i="20"/>
  <c r="G9" i="20"/>
  <c r="F9" i="20"/>
  <c r="E9" i="20"/>
  <c r="D9" i="20"/>
  <c r="C9" i="20"/>
  <c r="L8" i="20"/>
  <c r="K8" i="20"/>
  <c r="J8" i="20"/>
  <c r="I8" i="20"/>
  <c r="H8" i="20"/>
  <c r="G8" i="20"/>
  <c r="F8" i="20"/>
  <c r="E8" i="20"/>
  <c r="D8" i="20"/>
  <c r="C8" i="20"/>
  <c r="E7" i="20" l="1"/>
  <c r="E6" i="20" s="1"/>
  <c r="I7" i="20"/>
  <c r="I6" i="20" s="1"/>
  <c r="F7" i="20"/>
  <c r="F6" i="20" s="1"/>
  <c r="J7" i="20"/>
  <c r="J6" i="20" s="1"/>
  <c r="D7" i="20"/>
  <c r="D6" i="20" s="1"/>
  <c r="H7" i="20"/>
  <c r="H6" i="20" s="1"/>
  <c r="L7" i="20"/>
  <c r="L6" i="20" s="1"/>
  <c r="C7" i="20"/>
  <c r="C6" i="20" s="1"/>
  <c r="G7" i="20"/>
  <c r="G6" i="20" s="1"/>
  <c r="K7" i="20"/>
  <c r="K6" i="20" s="1"/>
  <c r="C48" i="19"/>
  <c r="E48" i="19"/>
  <c r="L48" i="19"/>
  <c r="J48" i="19"/>
  <c r="H48" i="19"/>
  <c r="F48" i="19"/>
  <c r="D48" i="19"/>
  <c r="H7" i="19"/>
  <c r="J7" i="19"/>
  <c r="F7" i="19"/>
  <c r="L7" i="19"/>
  <c r="L6" i="19" s="1"/>
  <c r="K7" i="19"/>
  <c r="G7" i="19"/>
  <c r="D7" i="19"/>
  <c r="C7" i="19"/>
  <c r="D6" i="19" l="1"/>
  <c r="J6" i="19"/>
  <c r="F6" i="19"/>
  <c r="G48" i="19"/>
  <c r="G6" i="19" s="1"/>
  <c r="K48" i="19"/>
  <c r="K6" i="19" s="1"/>
  <c r="C6" i="19"/>
  <c r="I48" i="19"/>
  <c r="H6" i="19"/>
  <c r="E7" i="19"/>
  <c r="E6" i="19" s="1"/>
  <c r="I7" i="19"/>
  <c r="C57" i="1"/>
  <c r="H57" i="1"/>
  <c r="H21" i="1"/>
  <c r="I49" i="1"/>
  <c r="J49" i="1"/>
  <c r="E49" i="1"/>
  <c r="E21" i="1"/>
  <c r="D49" i="1"/>
  <c r="E57" i="1"/>
  <c r="J21" i="1"/>
  <c r="K21" i="1"/>
  <c r="D57" i="1"/>
  <c r="K49" i="1"/>
  <c r="F49" i="1"/>
  <c r="D21" i="1"/>
  <c r="G21" i="1"/>
  <c r="G57" i="1"/>
  <c r="C49" i="1"/>
  <c r="I57" i="1"/>
  <c r="B21" i="1"/>
  <c r="K57" i="1"/>
  <c r="F57" i="1"/>
  <c r="C21" i="1"/>
  <c r="H49" i="1"/>
  <c r="G49" i="1"/>
  <c r="J57" i="1"/>
  <c r="B57" i="1"/>
  <c r="I21" i="1"/>
  <c r="F21" i="1"/>
  <c r="B49" i="1"/>
  <c r="K57" i="11" l="1"/>
  <c r="G57" i="11"/>
  <c r="C57" i="11"/>
  <c r="J57" i="11"/>
  <c r="F57" i="11"/>
  <c r="B57" i="11"/>
  <c r="D57" i="11"/>
  <c r="I57" i="11"/>
  <c r="E57" i="11"/>
  <c r="H57" i="11"/>
  <c r="K49" i="11"/>
  <c r="G49" i="11"/>
  <c r="C49" i="11"/>
  <c r="J49" i="11"/>
  <c r="F49" i="11"/>
  <c r="B49" i="11"/>
  <c r="I49" i="11"/>
  <c r="E49" i="11"/>
  <c r="H49" i="11"/>
  <c r="D49" i="11"/>
  <c r="K21" i="11"/>
  <c r="G21" i="11"/>
  <c r="C21" i="11"/>
  <c r="E21" i="11"/>
  <c r="D21" i="11"/>
  <c r="J21" i="11"/>
  <c r="F21" i="11"/>
  <c r="I21" i="11"/>
  <c r="H21" i="11"/>
  <c r="B21" i="11"/>
  <c r="I6" i="19"/>
  <c r="D54" i="15"/>
  <c r="I31" i="15"/>
  <c r="F36" i="15"/>
  <c r="L55" i="15"/>
  <c r="K55" i="15"/>
  <c r="J55" i="15"/>
  <c r="I55" i="15"/>
  <c r="H55" i="15"/>
  <c r="G55" i="15"/>
  <c r="F55" i="15"/>
  <c r="E55" i="15"/>
  <c r="D55" i="15"/>
  <c r="C55" i="15"/>
  <c r="L54" i="15"/>
  <c r="K54" i="15"/>
  <c r="J54" i="15"/>
  <c r="I54" i="15"/>
  <c r="H54" i="15"/>
  <c r="G54" i="15"/>
  <c r="F54" i="15"/>
  <c r="E54" i="15"/>
  <c r="C54" i="15"/>
  <c r="L53" i="15"/>
  <c r="K53" i="15"/>
  <c r="J53" i="15"/>
  <c r="I53" i="15"/>
  <c r="H53" i="15"/>
  <c r="G53" i="15"/>
  <c r="F53" i="15"/>
  <c r="E53" i="15"/>
  <c r="D53" i="15"/>
  <c r="C53" i="15"/>
  <c r="L52" i="15"/>
  <c r="K52" i="15"/>
  <c r="J52" i="15"/>
  <c r="I52" i="15"/>
  <c r="H52" i="15"/>
  <c r="G52" i="15"/>
  <c r="F52" i="15"/>
  <c r="E52" i="15"/>
  <c r="D52" i="15"/>
  <c r="C52" i="15"/>
  <c r="L51" i="15"/>
  <c r="K51" i="15"/>
  <c r="J51" i="15"/>
  <c r="I51" i="15"/>
  <c r="H51" i="15"/>
  <c r="G51" i="15"/>
  <c r="F51" i="15"/>
  <c r="E51" i="15"/>
  <c r="D51" i="15"/>
  <c r="C51" i="15"/>
  <c r="L50" i="15"/>
  <c r="K50" i="15"/>
  <c r="J50" i="15"/>
  <c r="I50" i="15"/>
  <c r="H50" i="15"/>
  <c r="G50" i="15"/>
  <c r="F50" i="15"/>
  <c r="E50" i="15"/>
  <c r="D50" i="15"/>
  <c r="C50" i="15"/>
  <c r="L49" i="15"/>
  <c r="K49" i="15"/>
  <c r="J49" i="15"/>
  <c r="I49" i="15"/>
  <c r="H49" i="15"/>
  <c r="G49" i="15"/>
  <c r="F49" i="15"/>
  <c r="E49" i="15"/>
  <c r="D49" i="15"/>
  <c r="C49" i="15"/>
  <c r="L47" i="15"/>
  <c r="K47" i="15"/>
  <c r="J47" i="15"/>
  <c r="I47" i="15"/>
  <c r="H47" i="15"/>
  <c r="G47" i="15"/>
  <c r="F47" i="15"/>
  <c r="E47" i="15"/>
  <c r="D47" i="15"/>
  <c r="C47" i="15"/>
  <c r="L46" i="15"/>
  <c r="K46" i="15"/>
  <c r="J46" i="15"/>
  <c r="I46" i="15"/>
  <c r="H46" i="15"/>
  <c r="G46" i="15"/>
  <c r="F46" i="15"/>
  <c r="E46" i="15"/>
  <c r="D46" i="15"/>
  <c r="C46" i="15"/>
  <c r="L45" i="15"/>
  <c r="K45" i="15"/>
  <c r="J45" i="15"/>
  <c r="I45" i="15"/>
  <c r="H45" i="15"/>
  <c r="G45" i="15"/>
  <c r="F45" i="15"/>
  <c r="E45" i="15"/>
  <c r="D45" i="15"/>
  <c r="C45" i="15"/>
  <c r="L44" i="15"/>
  <c r="K44" i="15"/>
  <c r="J44" i="15"/>
  <c r="I44" i="15"/>
  <c r="H44" i="15"/>
  <c r="G44" i="15"/>
  <c r="F44" i="15"/>
  <c r="E44" i="15"/>
  <c r="D44" i="15"/>
  <c r="C44" i="15"/>
  <c r="L43" i="15"/>
  <c r="K43" i="15"/>
  <c r="J43" i="15"/>
  <c r="I43" i="15"/>
  <c r="H43" i="15"/>
  <c r="G43" i="15"/>
  <c r="F43" i="15"/>
  <c r="E43" i="15"/>
  <c r="D43" i="15"/>
  <c r="C43" i="15"/>
  <c r="L42" i="15"/>
  <c r="K42" i="15"/>
  <c r="J42" i="15"/>
  <c r="I42" i="15"/>
  <c r="H42" i="15"/>
  <c r="G42" i="15"/>
  <c r="F42" i="15"/>
  <c r="E42" i="15"/>
  <c r="D42" i="15"/>
  <c r="C42" i="15"/>
  <c r="L41" i="15"/>
  <c r="K41" i="15"/>
  <c r="J41" i="15"/>
  <c r="I41" i="15"/>
  <c r="H41" i="15"/>
  <c r="G41" i="15"/>
  <c r="F41" i="15"/>
  <c r="E41" i="15"/>
  <c r="D41" i="15"/>
  <c r="C41" i="15"/>
  <c r="L40" i="15"/>
  <c r="K40" i="15"/>
  <c r="J40" i="15"/>
  <c r="I40" i="15"/>
  <c r="H40" i="15"/>
  <c r="G40" i="15"/>
  <c r="F40" i="15"/>
  <c r="E40" i="15"/>
  <c r="D40" i="15"/>
  <c r="C40" i="15"/>
  <c r="L39" i="15"/>
  <c r="K39" i="15"/>
  <c r="J39" i="15"/>
  <c r="I39" i="15"/>
  <c r="H39" i="15"/>
  <c r="G39" i="15"/>
  <c r="F39" i="15"/>
  <c r="E39" i="15"/>
  <c r="D39" i="15"/>
  <c r="C39" i="15"/>
  <c r="L38" i="15"/>
  <c r="K38" i="15"/>
  <c r="J38" i="15"/>
  <c r="I38" i="15"/>
  <c r="H38" i="15"/>
  <c r="G38" i="15"/>
  <c r="F38" i="15"/>
  <c r="E38" i="15"/>
  <c r="D38" i="15"/>
  <c r="C38" i="15"/>
  <c r="L37" i="15"/>
  <c r="K37" i="15"/>
  <c r="J37" i="15"/>
  <c r="I37" i="15"/>
  <c r="H37" i="15"/>
  <c r="G37" i="15"/>
  <c r="F37" i="15"/>
  <c r="E37" i="15"/>
  <c r="D37" i="15"/>
  <c r="C37" i="15"/>
  <c r="L36" i="15"/>
  <c r="K36" i="15"/>
  <c r="J36" i="15"/>
  <c r="I36" i="15"/>
  <c r="H36" i="15"/>
  <c r="G36" i="15"/>
  <c r="E36" i="15"/>
  <c r="D36" i="15"/>
  <c r="C36" i="15"/>
  <c r="L35" i="15"/>
  <c r="K35" i="15"/>
  <c r="J35" i="15"/>
  <c r="I35" i="15"/>
  <c r="H35" i="15"/>
  <c r="G35" i="15"/>
  <c r="F35" i="15"/>
  <c r="E35" i="15"/>
  <c r="D35" i="15"/>
  <c r="C35" i="15"/>
  <c r="L34" i="15"/>
  <c r="K34" i="15"/>
  <c r="J34" i="15"/>
  <c r="I34" i="15"/>
  <c r="H34" i="15"/>
  <c r="G34" i="15"/>
  <c r="F34" i="15"/>
  <c r="E34" i="15"/>
  <c r="D34" i="15"/>
  <c r="C34" i="15"/>
  <c r="L33" i="15"/>
  <c r="K33" i="15"/>
  <c r="J33" i="15"/>
  <c r="I33" i="15"/>
  <c r="H33" i="15"/>
  <c r="G33" i="15"/>
  <c r="F33" i="15"/>
  <c r="E33" i="15"/>
  <c r="D33" i="15"/>
  <c r="C33" i="15"/>
  <c r="L32" i="15"/>
  <c r="K32" i="15"/>
  <c r="J32" i="15"/>
  <c r="I32" i="15"/>
  <c r="H32" i="15"/>
  <c r="G32" i="15"/>
  <c r="F32" i="15"/>
  <c r="E32" i="15"/>
  <c r="D32" i="15"/>
  <c r="C32" i="15"/>
  <c r="L31" i="15"/>
  <c r="K31" i="15"/>
  <c r="J31" i="15"/>
  <c r="H31" i="15"/>
  <c r="G31" i="15"/>
  <c r="F31" i="15"/>
  <c r="E31" i="15"/>
  <c r="D31" i="15"/>
  <c r="C31" i="15"/>
  <c r="K30" i="15"/>
  <c r="J30" i="15"/>
  <c r="I30" i="15"/>
  <c r="H30" i="15"/>
  <c r="G30" i="15"/>
  <c r="F30" i="15"/>
  <c r="E30" i="15"/>
  <c r="D30" i="15"/>
  <c r="C30" i="15"/>
  <c r="L29" i="15"/>
  <c r="K29" i="15"/>
  <c r="J29" i="15"/>
  <c r="I29" i="15"/>
  <c r="H29" i="15"/>
  <c r="G29" i="15"/>
  <c r="F29" i="15"/>
  <c r="E29" i="15"/>
  <c r="D29" i="15"/>
  <c r="C29" i="15"/>
  <c r="L28" i="15"/>
  <c r="K28" i="15"/>
  <c r="J28" i="15"/>
  <c r="I28" i="15"/>
  <c r="H28" i="15"/>
  <c r="G28" i="15"/>
  <c r="F28" i="15"/>
  <c r="E28" i="15"/>
  <c r="D28" i="15"/>
  <c r="C28" i="15"/>
  <c r="L27" i="15"/>
  <c r="K27" i="15"/>
  <c r="J27" i="15"/>
  <c r="I27" i="15"/>
  <c r="H27" i="15"/>
  <c r="G27" i="15"/>
  <c r="F27" i="15"/>
  <c r="E27" i="15"/>
  <c r="D27" i="15"/>
  <c r="C27" i="15"/>
  <c r="L26" i="15"/>
  <c r="K26" i="15"/>
  <c r="J26" i="15"/>
  <c r="I26" i="15"/>
  <c r="H26" i="15"/>
  <c r="G26" i="15"/>
  <c r="F26" i="15"/>
  <c r="E26" i="15"/>
  <c r="D26" i="15"/>
  <c r="C26" i="15"/>
  <c r="J48" i="15" l="1"/>
  <c r="K48" i="15"/>
  <c r="L48" i="15"/>
  <c r="F48" i="15"/>
  <c r="E48" i="15"/>
  <c r="I48" i="15"/>
  <c r="C48" i="15"/>
  <c r="G48" i="15"/>
  <c r="H48" i="15"/>
  <c r="D48" i="15"/>
  <c r="L25" i="15"/>
  <c r="K25" i="15"/>
  <c r="J25" i="15"/>
  <c r="I25" i="15"/>
  <c r="H25" i="15"/>
  <c r="G25" i="15"/>
  <c r="F25" i="15"/>
  <c r="E25" i="15"/>
  <c r="D25" i="15"/>
  <c r="C25" i="15"/>
  <c r="L24" i="15"/>
  <c r="K24" i="15"/>
  <c r="J24" i="15"/>
  <c r="I24" i="15"/>
  <c r="H24" i="15"/>
  <c r="G24" i="15"/>
  <c r="F24" i="15"/>
  <c r="E24" i="15"/>
  <c r="D24" i="15"/>
  <c r="C24" i="15"/>
  <c r="L23" i="15"/>
  <c r="K23" i="15"/>
  <c r="J23" i="15"/>
  <c r="I23" i="15"/>
  <c r="H23" i="15"/>
  <c r="G23" i="15"/>
  <c r="F23" i="15"/>
  <c r="E23" i="15"/>
  <c r="D23" i="15"/>
  <c r="C23" i="15"/>
  <c r="L22" i="15"/>
  <c r="K22" i="15"/>
  <c r="J22" i="15"/>
  <c r="I22" i="15"/>
  <c r="H22" i="15"/>
  <c r="G22" i="15"/>
  <c r="F22" i="15"/>
  <c r="E22" i="15"/>
  <c r="D22" i="15"/>
  <c r="C22" i="15"/>
  <c r="L21" i="15"/>
  <c r="K21" i="15"/>
  <c r="J21" i="15"/>
  <c r="I21" i="15"/>
  <c r="H21" i="15"/>
  <c r="G21" i="15"/>
  <c r="F21" i="15"/>
  <c r="E21" i="15"/>
  <c r="D21" i="15"/>
  <c r="C21" i="15"/>
  <c r="L20" i="15"/>
  <c r="K20" i="15"/>
  <c r="J20" i="15"/>
  <c r="I20" i="15"/>
  <c r="H20" i="15"/>
  <c r="G20" i="15"/>
  <c r="F20" i="15"/>
  <c r="E20" i="15"/>
  <c r="D20" i="15"/>
  <c r="C20" i="15"/>
  <c r="L18" i="15"/>
  <c r="K18" i="15"/>
  <c r="J18" i="15"/>
  <c r="I18" i="15"/>
  <c r="H18" i="15"/>
  <c r="G18" i="15"/>
  <c r="F18" i="15"/>
  <c r="E18" i="15"/>
  <c r="D18" i="15"/>
  <c r="C18" i="15"/>
  <c r="L17" i="15"/>
  <c r="K17" i="15"/>
  <c r="J17" i="15"/>
  <c r="I17" i="15"/>
  <c r="H17" i="15"/>
  <c r="G17" i="15"/>
  <c r="F17" i="15"/>
  <c r="E17" i="15"/>
  <c r="D17" i="15"/>
  <c r="C17" i="15"/>
  <c r="L16" i="15"/>
  <c r="K16" i="15"/>
  <c r="J16" i="15"/>
  <c r="I16" i="15"/>
  <c r="H16" i="15"/>
  <c r="G16" i="15"/>
  <c r="F16" i="15"/>
  <c r="E16" i="15"/>
  <c r="D16" i="15"/>
  <c r="C16" i="15"/>
  <c r="L15" i="15"/>
  <c r="K15" i="15"/>
  <c r="J15" i="15"/>
  <c r="I15" i="15"/>
  <c r="H15" i="15"/>
  <c r="G15" i="15"/>
  <c r="F15" i="15"/>
  <c r="E15" i="15"/>
  <c r="D15" i="15"/>
  <c r="C15" i="15"/>
  <c r="L14" i="15"/>
  <c r="K14" i="15"/>
  <c r="J14" i="15"/>
  <c r="I14" i="15"/>
  <c r="H14" i="15"/>
  <c r="G14" i="15"/>
  <c r="F14" i="15"/>
  <c r="E14" i="15"/>
  <c r="D14" i="15"/>
  <c r="C14" i="15"/>
  <c r="L13" i="15"/>
  <c r="K13" i="15"/>
  <c r="J13" i="15"/>
  <c r="I13" i="15"/>
  <c r="H13" i="15"/>
  <c r="G13" i="15"/>
  <c r="F13" i="15"/>
  <c r="E13" i="15"/>
  <c r="D13" i="15"/>
  <c r="C13" i="15"/>
  <c r="L12" i="15"/>
  <c r="K12" i="15"/>
  <c r="J12" i="15"/>
  <c r="I12" i="15"/>
  <c r="H12" i="15"/>
  <c r="G12" i="15"/>
  <c r="F12" i="15"/>
  <c r="E12" i="15"/>
  <c r="D12" i="15"/>
  <c r="C12" i="15"/>
  <c r="L11" i="15"/>
  <c r="K11" i="15"/>
  <c r="J11" i="15"/>
  <c r="I11" i="15"/>
  <c r="H11" i="15"/>
  <c r="G11" i="15"/>
  <c r="F11" i="15"/>
  <c r="E11" i="15"/>
  <c r="D11" i="15"/>
  <c r="C11" i="15"/>
  <c r="K10" i="15"/>
  <c r="J10" i="15"/>
  <c r="I10" i="15"/>
  <c r="H10" i="15"/>
  <c r="G10" i="15"/>
  <c r="F10" i="15"/>
  <c r="E10" i="15"/>
  <c r="D10" i="15"/>
  <c r="C10" i="15"/>
  <c r="L9" i="15"/>
  <c r="K9" i="15"/>
  <c r="J9" i="15"/>
  <c r="I9" i="15"/>
  <c r="H9" i="15"/>
  <c r="G9" i="15"/>
  <c r="F9" i="15"/>
  <c r="E9" i="15"/>
  <c r="D9" i="15"/>
  <c r="C9" i="15"/>
  <c r="L8" i="15"/>
  <c r="K8" i="15"/>
  <c r="J8" i="15"/>
  <c r="I8" i="15"/>
  <c r="H8" i="15"/>
  <c r="G8" i="15"/>
  <c r="F8" i="15"/>
  <c r="E8" i="15"/>
  <c r="D8" i="15"/>
  <c r="C8" i="15"/>
  <c r="C7" i="15" l="1"/>
  <c r="C6" i="15" s="1"/>
  <c r="I7" i="15"/>
  <c r="I6" i="15" s="1"/>
  <c r="G7" i="15"/>
  <c r="G6" i="15" s="1"/>
  <c r="K7" i="15"/>
  <c r="K6" i="15" s="1"/>
  <c r="H7" i="15"/>
  <c r="H6" i="15" s="1"/>
  <c r="L7" i="15"/>
  <c r="L6" i="15" s="1"/>
  <c r="F7" i="15"/>
  <c r="F6" i="15" s="1"/>
  <c r="J7" i="15"/>
  <c r="J6" i="15" s="1"/>
  <c r="D7" i="15"/>
  <c r="D6" i="15" s="1"/>
  <c r="E7" i="15"/>
  <c r="E6" i="15" s="1"/>
  <c r="D7" i="14"/>
  <c r="E7" i="14"/>
  <c r="F7" i="14"/>
  <c r="G7" i="14"/>
  <c r="H7" i="14"/>
  <c r="I7" i="14"/>
  <c r="J7" i="14"/>
  <c r="K7" i="14"/>
  <c r="L7" i="14"/>
  <c r="C7" i="14"/>
  <c r="L48" i="14"/>
  <c r="K48" i="14"/>
  <c r="J48" i="14"/>
  <c r="I48" i="14"/>
  <c r="H48" i="14"/>
  <c r="G48" i="14"/>
  <c r="F48" i="14"/>
  <c r="E48" i="14"/>
  <c r="D48" i="14"/>
  <c r="C48" i="14"/>
  <c r="J6" i="14" l="1"/>
  <c r="F6" i="14"/>
  <c r="C6" i="14"/>
  <c r="I6" i="14"/>
  <c r="E6" i="14"/>
  <c r="L6" i="14"/>
  <c r="H6" i="14"/>
  <c r="D6" i="14"/>
  <c r="K6" i="14"/>
  <c r="G6" i="14"/>
  <c r="B25" i="1"/>
  <c r="D24" i="1"/>
  <c r="E41" i="1"/>
  <c r="K25" i="1"/>
  <c r="I26" i="1"/>
  <c r="H51" i="1"/>
  <c r="G12" i="1"/>
  <c r="D23" i="1"/>
  <c r="J34" i="1"/>
  <c r="F50" i="1"/>
  <c r="B9" i="1"/>
  <c r="D40" i="1"/>
  <c r="I16" i="1"/>
  <c r="B19" i="1"/>
  <c r="K52" i="1"/>
  <c r="D43" i="1"/>
  <c r="J43" i="1"/>
  <c r="J12" i="1"/>
  <c r="H30" i="1"/>
  <c r="E15" i="1"/>
  <c r="K18" i="1"/>
  <c r="E30" i="1"/>
  <c r="J40" i="1"/>
  <c r="K17" i="1"/>
  <c r="E17" i="1"/>
  <c r="I17" i="1"/>
  <c r="C29" i="1"/>
  <c r="J10" i="1"/>
  <c r="I25" i="1"/>
  <c r="J11" i="1"/>
  <c r="E22" i="1"/>
  <c r="F12" i="1"/>
  <c r="H17" i="1"/>
  <c r="J51" i="1"/>
  <c r="F39" i="1"/>
  <c r="K44" i="1"/>
  <c r="J23" i="1"/>
  <c r="G45" i="1"/>
  <c r="I31" i="1"/>
  <c r="J44" i="1"/>
  <c r="I41" i="1"/>
  <c r="J26" i="1"/>
  <c r="I34" i="1"/>
  <c r="E24" i="1"/>
  <c r="H35" i="1"/>
  <c r="C13" i="1"/>
  <c r="I56" i="1"/>
  <c r="D9" i="1"/>
  <c r="J19" i="1"/>
  <c r="B42" i="1"/>
  <c r="G37" i="1"/>
  <c r="J45" i="1"/>
  <c r="E13" i="1"/>
  <c r="G46" i="1"/>
  <c r="J42" i="1"/>
  <c r="G47" i="1"/>
  <c r="H23" i="1"/>
  <c r="F31" i="1"/>
  <c r="B28" i="1"/>
  <c r="B50" i="1"/>
  <c r="I28" i="1"/>
  <c r="E16" i="1"/>
  <c r="F26" i="1"/>
  <c r="B56" i="1"/>
  <c r="C47" i="1"/>
  <c r="G24" i="1"/>
  <c r="B34" i="1"/>
  <c r="I43" i="1"/>
  <c r="B12" i="1"/>
  <c r="K13" i="1"/>
  <c r="K32" i="1"/>
  <c r="C43" i="1"/>
  <c r="J32" i="1"/>
  <c r="G14" i="1"/>
  <c r="E26" i="1"/>
  <c r="C12" i="1"/>
  <c r="D30" i="1"/>
  <c r="K47" i="1"/>
  <c r="K40" i="1"/>
  <c r="F18" i="1"/>
  <c r="F32" i="1"/>
  <c r="F25" i="1"/>
  <c r="D50" i="1"/>
  <c r="C16" i="1"/>
  <c r="H39" i="1"/>
  <c r="G53" i="1"/>
  <c r="C52" i="1"/>
  <c r="D39" i="1"/>
  <c r="E25" i="1"/>
  <c r="C51" i="1"/>
  <c r="F51" i="1"/>
  <c r="C15" i="1"/>
  <c r="E35" i="1"/>
  <c r="F48" i="1"/>
  <c r="C40" i="1"/>
  <c r="H43" i="1"/>
  <c r="B29" i="1"/>
  <c r="C42" i="1"/>
  <c r="H46" i="1"/>
  <c r="G44" i="1"/>
  <c r="I50" i="1"/>
  <c r="D16" i="1"/>
  <c r="D37" i="1"/>
  <c r="J36" i="1"/>
  <c r="C19" i="1"/>
  <c r="H53" i="1"/>
  <c r="G40" i="1"/>
  <c r="J17" i="1"/>
  <c r="H48" i="1"/>
  <c r="J14" i="1"/>
  <c r="C53" i="1"/>
  <c r="J38" i="1"/>
  <c r="C8" i="1"/>
  <c r="C46" i="1"/>
  <c r="I38" i="1"/>
  <c r="D35" i="1"/>
  <c r="E54" i="1"/>
  <c r="F23" i="1"/>
  <c r="F53" i="1"/>
  <c r="B8" i="1"/>
  <c r="E32" i="1"/>
  <c r="I24" i="1"/>
  <c r="C37" i="1"/>
  <c r="K24" i="1"/>
  <c r="B20" i="1"/>
  <c r="J27" i="1"/>
  <c r="J30" i="1"/>
  <c r="I23" i="1"/>
  <c r="B32" i="1"/>
  <c r="C30" i="1"/>
  <c r="J47" i="1"/>
  <c r="E23" i="1"/>
  <c r="I10" i="1"/>
  <c r="B47" i="1"/>
  <c r="H31" i="1"/>
  <c r="B54" i="1"/>
  <c r="C11" i="1"/>
  <c r="B44" i="1"/>
  <c r="G38" i="1"/>
  <c r="I18" i="1"/>
  <c r="H47" i="1"/>
  <c r="B18" i="1"/>
  <c r="K14" i="1"/>
  <c r="I42" i="1"/>
  <c r="D32" i="1"/>
  <c r="H45" i="1"/>
  <c r="F55" i="1"/>
  <c r="C56" i="1"/>
  <c r="B52" i="1"/>
  <c r="D41" i="1"/>
  <c r="J33" i="1"/>
  <c r="K41" i="1"/>
  <c r="C38" i="1"/>
  <c r="E43" i="1"/>
  <c r="F20" i="1"/>
  <c r="D13" i="1"/>
  <c r="B15" i="1"/>
  <c r="J52" i="1"/>
  <c r="F13" i="1"/>
  <c r="C36" i="1"/>
  <c r="I19" i="1"/>
  <c r="D42" i="1"/>
  <c r="J31" i="1"/>
  <c r="F14" i="1"/>
  <c r="E51" i="1"/>
  <c r="H55" i="1"/>
  <c r="C23" i="1"/>
  <c r="K28" i="1"/>
  <c r="D18" i="1"/>
  <c r="H32" i="1"/>
  <c r="K9" i="1"/>
  <c r="F33" i="1"/>
  <c r="I8" i="1"/>
  <c r="B40" i="1"/>
  <c r="H24" i="1"/>
  <c r="H56" i="1"/>
  <c r="I44" i="1"/>
  <c r="G11" i="1"/>
  <c r="F27" i="1"/>
  <c r="D48" i="1"/>
  <c r="C32" i="1"/>
  <c r="F45" i="1"/>
  <c r="D20" i="1"/>
  <c r="D36" i="1"/>
  <c r="B53" i="1"/>
  <c r="G33" i="1"/>
  <c r="D47" i="1"/>
  <c r="F47" i="1"/>
  <c r="C45" i="1"/>
  <c r="J15" i="1"/>
  <c r="B45" i="1"/>
  <c r="F37" i="1"/>
  <c r="C27" i="1"/>
  <c r="K33" i="1"/>
  <c r="D54" i="1"/>
  <c r="C33" i="1"/>
  <c r="K12" i="1"/>
  <c r="D11" i="1"/>
  <c r="D17" i="1"/>
  <c r="K19" i="1"/>
  <c r="F44" i="1"/>
  <c r="G42" i="1"/>
  <c r="E34" i="1"/>
  <c r="F9" i="1"/>
  <c r="F40" i="1"/>
  <c r="H14" i="1"/>
  <c r="D12" i="1"/>
  <c r="I32" i="1"/>
  <c r="C34" i="1"/>
  <c r="B30" i="1"/>
  <c r="F56" i="1"/>
  <c r="K29" i="1"/>
  <c r="D52" i="1"/>
  <c r="K56" i="1"/>
  <c r="E10" i="1"/>
  <c r="E8" i="1"/>
  <c r="B14" i="1"/>
  <c r="F52" i="1"/>
  <c r="C39" i="1"/>
  <c r="F43" i="1"/>
  <c r="I29" i="1"/>
  <c r="I51" i="1"/>
  <c r="K15" i="1"/>
  <c r="K36" i="1"/>
  <c r="I30" i="1"/>
  <c r="G35" i="1"/>
  <c r="F22" i="1"/>
  <c r="J37" i="1"/>
  <c r="G13" i="1"/>
  <c r="F10" i="1"/>
  <c r="K51" i="1"/>
  <c r="H16" i="1"/>
  <c r="G48" i="1"/>
  <c r="G23" i="1"/>
  <c r="E52" i="1"/>
  <c r="C44" i="1"/>
  <c r="H13" i="1"/>
  <c r="K53" i="1"/>
  <c r="F38" i="1"/>
  <c r="D14" i="1"/>
  <c r="H27" i="1"/>
  <c r="D27" i="1"/>
  <c r="B46" i="1"/>
  <c r="K50" i="1"/>
  <c r="E40" i="1"/>
  <c r="D53" i="1"/>
  <c r="J46" i="1"/>
  <c r="B41" i="1"/>
  <c r="H44" i="1"/>
  <c r="K22" i="1"/>
  <c r="B37" i="1"/>
  <c r="H54" i="1"/>
  <c r="E33" i="1"/>
  <c r="H8" i="1"/>
  <c r="D33" i="1"/>
  <c r="C26" i="1"/>
  <c r="K43" i="1"/>
  <c r="H22" i="1"/>
  <c r="E47" i="1"/>
  <c r="K16" i="1"/>
  <c r="H20" i="1"/>
  <c r="F28" i="1"/>
  <c r="I9" i="1"/>
  <c r="H28" i="1"/>
  <c r="G31" i="1"/>
  <c r="I33" i="1"/>
  <c r="C50" i="1"/>
  <c r="F36" i="1"/>
  <c r="J16" i="1"/>
  <c r="G51" i="1"/>
  <c r="H37" i="1"/>
  <c r="F34" i="1"/>
  <c r="H38" i="1"/>
  <c r="D34" i="1"/>
  <c r="H40" i="1"/>
  <c r="J39" i="1"/>
  <c r="J56" i="1"/>
  <c r="E53" i="1"/>
  <c r="B22" i="1"/>
  <c r="I55" i="1"/>
  <c r="D29" i="1"/>
  <c r="G8" i="1"/>
  <c r="H29" i="1"/>
  <c r="I36" i="1"/>
  <c r="H9" i="1"/>
  <c r="K48" i="1"/>
  <c r="E19" i="1"/>
  <c r="J41" i="1"/>
  <c r="J24" i="1"/>
  <c r="H26" i="1"/>
  <c r="B38" i="1"/>
  <c r="E38" i="1"/>
  <c r="C25" i="1"/>
  <c r="H34" i="1"/>
  <c r="I11" i="1"/>
  <c r="B43" i="1"/>
  <c r="F16" i="1"/>
  <c r="G54" i="1"/>
  <c r="J55" i="1"/>
  <c r="D28" i="1"/>
  <c r="F35" i="1"/>
  <c r="K55" i="1"/>
  <c r="K34" i="1"/>
  <c r="D46" i="1"/>
  <c r="G25" i="1"/>
  <c r="G28" i="1"/>
  <c r="G52" i="1"/>
  <c r="G27" i="1"/>
  <c r="F17" i="1"/>
  <c r="H36" i="1"/>
  <c r="C14" i="1"/>
  <c r="E12" i="1"/>
  <c r="I40" i="1"/>
  <c r="H10" i="1"/>
  <c r="H12" i="1"/>
  <c r="H52" i="1"/>
  <c r="G20" i="1"/>
  <c r="G9" i="1"/>
  <c r="I20" i="1"/>
  <c r="B35" i="1"/>
  <c r="G34" i="1"/>
  <c r="C41" i="1"/>
  <c r="G43" i="1"/>
  <c r="E55" i="1"/>
  <c r="G36" i="1"/>
  <c r="G39" i="1"/>
  <c r="D38" i="1"/>
  <c r="E14" i="1"/>
  <c r="D44" i="1"/>
  <c r="B33" i="1"/>
  <c r="I45" i="1"/>
  <c r="D19" i="1"/>
  <c r="C24" i="1"/>
  <c r="J18" i="1"/>
  <c r="B17" i="1"/>
  <c r="H18" i="1"/>
  <c r="K35" i="1"/>
  <c r="F19" i="1"/>
  <c r="H33" i="1"/>
  <c r="H15" i="1"/>
  <c r="I13" i="1"/>
  <c r="G16" i="1"/>
  <c r="F15" i="1"/>
  <c r="C48" i="1"/>
  <c r="F8" i="1"/>
  <c r="J9" i="1"/>
  <c r="B13" i="1"/>
  <c r="G29" i="1"/>
  <c r="J29" i="1"/>
  <c r="B48" i="1"/>
  <c r="J28" i="1"/>
  <c r="F24" i="1"/>
  <c r="E50" i="1"/>
  <c r="B24" i="1"/>
  <c r="J25" i="1"/>
  <c r="D51" i="1"/>
  <c r="E27" i="1"/>
  <c r="D25" i="1"/>
  <c r="K37" i="1"/>
  <c r="H25" i="1"/>
  <c r="J35" i="1"/>
  <c r="G26" i="1"/>
  <c r="F29" i="1"/>
  <c r="I53" i="1"/>
  <c r="E28" i="1"/>
  <c r="G17" i="1"/>
  <c r="J13" i="1"/>
  <c r="F42" i="1"/>
  <c r="E48" i="1"/>
  <c r="E46" i="1"/>
  <c r="I27" i="1"/>
  <c r="B11" i="1"/>
  <c r="I22" i="1"/>
  <c r="E37" i="1"/>
  <c r="I47" i="1"/>
  <c r="D45" i="1"/>
  <c r="D22" i="1"/>
  <c r="E31" i="1"/>
  <c r="G50" i="1"/>
  <c r="C31" i="1"/>
  <c r="F54" i="1"/>
  <c r="D56" i="1"/>
  <c r="I15" i="1"/>
  <c r="H42" i="1"/>
  <c r="J48" i="1"/>
  <c r="C9" i="1"/>
  <c r="K10" i="1"/>
  <c r="B31" i="1"/>
  <c r="D10" i="1"/>
  <c r="B23" i="1"/>
  <c r="G15" i="1"/>
  <c r="I48" i="1"/>
  <c r="H19" i="1"/>
  <c r="F11" i="1"/>
  <c r="I52" i="1"/>
  <c r="C54" i="1"/>
  <c r="E18" i="1"/>
  <c r="C17" i="1"/>
  <c r="G55" i="1"/>
  <c r="E29" i="1"/>
  <c r="B55" i="1"/>
  <c r="H50" i="1"/>
  <c r="I54" i="1"/>
  <c r="E44" i="1"/>
  <c r="J8" i="1"/>
  <c r="G18" i="1"/>
  <c r="J53" i="1"/>
  <c r="D15" i="1"/>
  <c r="J54" i="1"/>
  <c r="E20" i="1"/>
  <c r="E42" i="1"/>
  <c r="G56" i="1"/>
  <c r="G22" i="1"/>
  <c r="K20" i="1"/>
  <c r="C28" i="1"/>
  <c r="K54" i="1"/>
  <c r="D31" i="1"/>
  <c r="K8" i="1"/>
  <c r="I37" i="1"/>
  <c r="C35" i="1"/>
  <c r="I39" i="1"/>
  <c r="G10" i="1"/>
  <c r="E39" i="1"/>
  <c r="C18" i="1"/>
  <c r="K30" i="1"/>
  <c r="J22" i="1"/>
  <c r="K45" i="1"/>
  <c r="D55" i="1"/>
  <c r="E36" i="1"/>
  <c r="C10" i="1"/>
  <c r="E11" i="1"/>
  <c r="B10" i="1"/>
  <c r="B51" i="1"/>
  <c r="K11" i="1"/>
  <c r="I46" i="1"/>
  <c r="K31" i="1"/>
  <c r="C55" i="1"/>
  <c r="G19" i="1"/>
  <c r="K23" i="1"/>
  <c r="J20" i="1"/>
  <c r="E9" i="1"/>
  <c r="G32" i="1"/>
  <c r="B39" i="1"/>
  <c r="J50" i="1"/>
  <c r="K42" i="1"/>
  <c r="G30" i="1"/>
  <c r="K46" i="1"/>
  <c r="B16" i="1"/>
  <c r="F46" i="1"/>
  <c r="D8" i="1"/>
  <c r="K26" i="1"/>
  <c r="G41" i="1"/>
  <c r="E56" i="1"/>
  <c r="B26" i="1"/>
  <c r="I12" i="1"/>
  <c r="H11" i="1"/>
  <c r="C22" i="1"/>
  <c r="F30" i="1"/>
  <c r="B27" i="1"/>
  <c r="H41" i="1"/>
  <c r="I14" i="1"/>
  <c r="D26" i="1"/>
  <c r="C20" i="1"/>
  <c r="E45" i="1"/>
  <c r="F41" i="1"/>
  <c r="K38" i="1"/>
  <c r="K27" i="1"/>
  <c r="B36" i="1"/>
  <c r="K39" i="1"/>
  <c r="I35" i="1"/>
  <c r="I35" i="11" l="1"/>
  <c r="K39" i="11"/>
  <c r="B36" i="11"/>
  <c r="K27" i="11"/>
  <c r="K38" i="11"/>
  <c r="F41" i="11"/>
  <c r="E45" i="11"/>
  <c r="C20" i="11"/>
  <c r="D26" i="11"/>
  <c r="I14" i="11"/>
  <c r="H41" i="11"/>
  <c r="B27" i="11"/>
  <c r="F30" i="11"/>
  <c r="C22" i="11"/>
  <c r="H11" i="11"/>
  <c r="I12" i="11"/>
  <c r="B26" i="11"/>
  <c r="E56" i="11"/>
  <c r="G41" i="11"/>
  <c r="K26" i="11"/>
  <c r="D8" i="11"/>
  <c r="F46" i="11"/>
  <c r="B16" i="11"/>
  <c r="K46" i="11"/>
  <c r="G30" i="11"/>
  <c r="K42" i="11"/>
  <c r="J50" i="11"/>
  <c r="B39" i="11"/>
  <c r="G32" i="11"/>
  <c r="E9" i="11"/>
  <c r="J20" i="11"/>
  <c r="K23" i="11"/>
  <c r="G19" i="11"/>
  <c r="C55" i="11"/>
  <c r="K31" i="11"/>
  <c r="I46" i="11"/>
  <c r="K11" i="11"/>
  <c r="B51" i="11"/>
  <c r="B10" i="11"/>
  <c r="E11" i="11"/>
  <c r="C10" i="11"/>
  <c r="E36" i="11"/>
  <c r="D55" i="11"/>
  <c r="K45" i="11"/>
  <c r="J22" i="11"/>
  <c r="K30" i="11"/>
  <c r="C18" i="11"/>
  <c r="E39" i="11"/>
  <c r="G10" i="11"/>
  <c r="I39" i="11"/>
  <c r="C35" i="11"/>
  <c r="I37" i="11"/>
  <c r="K8" i="11"/>
  <c r="D31" i="11"/>
  <c r="K54" i="11"/>
  <c r="C28" i="11"/>
  <c r="K20" i="11"/>
  <c r="G22" i="11"/>
  <c r="G56" i="11"/>
  <c r="E42" i="11"/>
  <c r="E20" i="11"/>
  <c r="J54" i="11"/>
  <c r="D15" i="11"/>
  <c r="J53" i="11"/>
  <c r="G18" i="11"/>
  <c r="J8" i="11"/>
  <c r="E44" i="11"/>
  <c r="I54" i="11"/>
  <c r="H50" i="11"/>
  <c r="B55" i="11"/>
  <c r="E29" i="11"/>
  <c r="G55" i="11"/>
  <c r="C17" i="11"/>
  <c r="E18" i="11"/>
  <c r="C54" i="11"/>
  <c r="I52" i="11"/>
  <c r="F11" i="11"/>
  <c r="H19" i="11"/>
  <c r="I48" i="11"/>
  <c r="G15" i="11"/>
  <c r="B23" i="11"/>
  <c r="D10" i="11"/>
  <c r="B31" i="11"/>
  <c r="K10" i="11"/>
  <c r="C9" i="11"/>
  <c r="J48" i="11"/>
  <c r="H42" i="11"/>
  <c r="I15" i="11"/>
  <c r="D56" i="11"/>
  <c r="F54" i="11"/>
  <c r="C31" i="11"/>
  <c r="G50" i="11"/>
  <c r="E31" i="11"/>
  <c r="D22" i="11"/>
  <c r="D45" i="11"/>
  <c r="I47" i="11"/>
  <c r="E37" i="11"/>
  <c r="I22" i="11"/>
  <c r="B11" i="11"/>
  <c r="I27" i="11"/>
  <c r="E46" i="11"/>
  <c r="E48" i="11"/>
  <c r="F42" i="11"/>
  <c r="J13" i="11"/>
  <c r="G17" i="11"/>
  <c r="E28" i="11"/>
  <c r="I53" i="11"/>
  <c r="F29" i="11"/>
  <c r="G26" i="11"/>
  <c r="J35" i="11"/>
  <c r="H25" i="11"/>
  <c r="K37" i="11"/>
  <c r="D25" i="11"/>
  <c r="E27" i="11"/>
  <c r="D51" i="11"/>
  <c r="J25" i="11"/>
  <c r="B24" i="11"/>
  <c r="E50" i="11"/>
  <c r="F24" i="11"/>
  <c r="J28" i="11"/>
  <c r="B48" i="11"/>
  <c r="J29" i="11"/>
  <c r="G29" i="11"/>
  <c r="B13" i="11"/>
  <c r="J9" i="11"/>
  <c r="F8" i="11"/>
  <c r="C48" i="11"/>
  <c r="F15" i="11"/>
  <c r="G16" i="11"/>
  <c r="I13" i="11"/>
  <c r="H15" i="11"/>
  <c r="H33" i="11"/>
  <c r="F19" i="11"/>
  <c r="K35" i="11"/>
  <c r="H18" i="11"/>
  <c r="B17" i="11"/>
  <c r="J18" i="11"/>
  <c r="C24" i="11"/>
  <c r="D19" i="11"/>
  <c r="I45" i="11"/>
  <c r="B33" i="11"/>
  <c r="D44" i="11"/>
  <c r="E14" i="11"/>
  <c r="D38" i="11"/>
  <c r="G39" i="11"/>
  <c r="G36" i="11"/>
  <c r="E55" i="11"/>
  <c r="G43" i="11"/>
  <c r="C41" i="11"/>
  <c r="G34" i="11"/>
  <c r="B35" i="11"/>
  <c r="I20" i="11"/>
  <c r="G9" i="11"/>
  <c r="G20" i="11"/>
  <c r="H52" i="11"/>
  <c r="H12" i="11"/>
  <c r="H10" i="11"/>
  <c r="I40" i="11"/>
  <c r="E12" i="11"/>
  <c r="C14" i="11"/>
  <c r="H36" i="11"/>
  <c r="F17" i="11"/>
  <c r="G27" i="11"/>
  <c r="G52" i="11"/>
  <c r="G28" i="11"/>
  <c r="G25" i="11"/>
  <c r="D46" i="11"/>
  <c r="K34" i="11"/>
  <c r="K55" i="11"/>
  <c r="F35" i="11"/>
  <c r="D28" i="11"/>
  <c r="J55" i="11"/>
  <c r="G54" i="11"/>
  <c r="F16" i="11"/>
  <c r="B43" i="11"/>
  <c r="I11" i="11"/>
  <c r="H34" i="11"/>
  <c r="C25" i="11"/>
  <c r="E38" i="11"/>
  <c r="B38" i="11"/>
  <c r="H26" i="11"/>
  <c r="J24" i="11"/>
  <c r="J41" i="11"/>
  <c r="E19" i="11"/>
  <c r="K48" i="11"/>
  <c r="H9" i="11"/>
  <c r="I36" i="11"/>
  <c r="H29" i="11"/>
  <c r="G8" i="11"/>
  <c r="D29" i="11"/>
  <c r="I55" i="11"/>
  <c r="B22" i="11"/>
  <c r="E53" i="11"/>
  <c r="J56" i="11"/>
  <c r="J39" i="11"/>
  <c r="H40" i="11"/>
  <c r="D34" i="11"/>
  <c r="H38" i="11"/>
  <c r="F34" i="11"/>
  <c r="H37" i="11"/>
  <c r="G51" i="11"/>
  <c r="J16" i="11"/>
  <c r="F36" i="11"/>
  <c r="C50" i="11"/>
  <c r="I33" i="11"/>
  <c r="G31" i="11"/>
  <c r="H28" i="11"/>
  <c r="I9" i="11"/>
  <c r="F28" i="11"/>
  <c r="H20" i="11"/>
  <c r="K16" i="11"/>
  <c r="E47" i="11"/>
  <c r="H22" i="11"/>
  <c r="K43" i="11"/>
  <c r="C26" i="11"/>
  <c r="D33" i="11"/>
  <c r="H8" i="11"/>
  <c r="E33" i="11"/>
  <c r="H54" i="11"/>
  <c r="B37" i="11"/>
  <c r="K22" i="11"/>
  <c r="H44" i="11"/>
  <c r="B41" i="11"/>
  <c r="J46" i="11"/>
  <c r="D53" i="11"/>
  <c r="E40" i="11"/>
  <c r="K50" i="11"/>
  <c r="B46" i="11"/>
  <c r="D27" i="11"/>
  <c r="H27" i="11"/>
  <c r="D14" i="11"/>
  <c r="F38" i="11"/>
  <c r="K53" i="11"/>
  <c r="H13" i="11"/>
  <c r="C44" i="11"/>
  <c r="E52" i="11"/>
  <c r="G23" i="11"/>
  <c r="G48" i="11"/>
  <c r="H16" i="11"/>
  <c r="K51" i="11"/>
  <c r="F10" i="11"/>
  <c r="G13" i="11"/>
  <c r="J37" i="11"/>
  <c r="F22" i="11"/>
  <c r="G35" i="11"/>
  <c r="I30" i="11"/>
  <c r="K36" i="11"/>
  <c r="K15" i="11"/>
  <c r="I51" i="11"/>
  <c r="I29" i="11"/>
  <c r="F43" i="11"/>
  <c r="C39" i="11"/>
  <c r="F52" i="11"/>
  <c r="B14" i="11"/>
  <c r="E8" i="11"/>
  <c r="E10" i="11"/>
  <c r="K56" i="11"/>
  <c r="D52" i="11"/>
  <c r="K29" i="11"/>
  <c r="F56" i="11"/>
  <c r="B30" i="11"/>
  <c r="C34" i="11"/>
  <c r="I32" i="11"/>
  <c r="D12" i="11"/>
  <c r="H14" i="11"/>
  <c r="F40" i="11"/>
  <c r="F9" i="11"/>
  <c r="E34" i="11"/>
  <c r="G42" i="11"/>
  <c r="F44" i="11"/>
  <c r="K19" i="11"/>
  <c r="D17" i="11"/>
  <c r="D11" i="11"/>
  <c r="K12" i="11"/>
  <c r="C33" i="11"/>
  <c r="D54" i="11"/>
  <c r="K33" i="11"/>
  <c r="C27" i="11"/>
  <c r="F37" i="11"/>
  <c r="B45" i="11"/>
  <c r="J15" i="11"/>
  <c r="C45" i="11"/>
  <c r="F47" i="11"/>
  <c r="D47" i="11"/>
  <c r="G33" i="11"/>
  <c r="B53" i="11"/>
  <c r="D36" i="11"/>
  <c r="D20" i="11"/>
  <c r="F45" i="11"/>
  <c r="C32" i="11"/>
  <c r="D48" i="11"/>
  <c r="F27" i="11"/>
  <c r="G11" i="11"/>
  <c r="I44" i="11"/>
  <c r="H56" i="11"/>
  <c r="H24" i="11"/>
  <c r="B40" i="11"/>
  <c r="I8" i="11"/>
  <c r="F33" i="11"/>
  <c r="K9" i="11"/>
  <c r="H32" i="11"/>
  <c r="D18" i="11"/>
  <c r="K28" i="11"/>
  <c r="C23" i="11"/>
  <c r="H55" i="11"/>
  <c r="E51" i="11"/>
  <c r="F14" i="11"/>
  <c r="J31" i="11"/>
  <c r="D42" i="11"/>
  <c r="I19" i="11"/>
  <c r="C36" i="11"/>
  <c r="F13" i="11"/>
  <c r="J52" i="11"/>
  <c r="B15" i="11"/>
  <c r="D13" i="11"/>
  <c r="F20" i="11"/>
  <c r="E43" i="11"/>
  <c r="C38" i="11"/>
  <c r="K41" i="11"/>
  <c r="J33" i="11"/>
  <c r="D41" i="11"/>
  <c r="B52" i="11"/>
  <c r="C56" i="11"/>
  <c r="F55" i="11"/>
  <c r="H45" i="11"/>
  <c r="D32" i="11"/>
  <c r="I42" i="11"/>
  <c r="K14" i="11"/>
  <c r="B18" i="11"/>
  <c r="H47" i="11"/>
  <c r="I18" i="11"/>
  <c r="G38" i="11"/>
  <c r="B44" i="11"/>
  <c r="C11" i="11"/>
  <c r="B54" i="11"/>
  <c r="H31" i="11"/>
  <c r="B47" i="11"/>
  <c r="I10" i="11"/>
  <c r="E23" i="11"/>
  <c r="J47" i="11"/>
  <c r="C30" i="11"/>
  <c r="B32" i="11"/>
  <c r="I23" i="11"/>
  <c r="J30" i="11"/>
  <c r="J27" i="11"/>
  <c r="B20" i="11"/>
  <c r="K24" i="11"/>
  <c r="C37" i="11"/>
  <c r="I24" i="11"/>
  <c r="E32" i="11"/>
  <c r="B8" i="11"/>
  <c r="F53" i="11"/>
  <c r="F23" i="11"/>
  <c r="E54" i="11"/>
  <c r="D35" i="11"/>
  <c r="I38" i="11"/>
  <c r="C46" i="11"/>
  <c r="C8" i="11"/>
  <c r="J38" i="11"/>
  <c r="C53" i="11"/>
  <c r="J14" i="11"/>
  <c r="H48" i="11"/>
  <c r="J17" i="11"/>
  <c r="G40" i="11"/>
  <c r="H53" i="11"/>
  <c r="C19" i="11"/>
  <c r="J36" i="11"/>
  <c r="D37" i="11"/>
  <c r="D16" i="11"/>
  <c r="I50" i="11"/>
  <c r="G44" i="11"/>
  <c r="H46" i="11"/>
  <c r="C42" i="11"/>
  <c r="B29" i="11"/>
  <c r="H43" i="11"/>
  <c r="C40" i="11"/>
  <c r="F48" i="11"/>
  <c r="E35" i="11"/>
  <c r="C15" i="11"/>
  <c r="F51" i="11"/>
  <c r="C51" i="11"/>
  <c r="E25" i="11"/>
  <c r="D39" i="11"/>
  <c r="C52" i="11"/>
  <c r="G53" i="11"/>
  <c r="H39" i="11"/>
  <c r="C16" i="11"/>
  <c r="D50" i="11"/>
  <c r="F25" i="11"/>
  <c r="F32" i="11"/>
  <c r="F18" i="11"/>
  <c r="K40" i="11"/>
  <c r="K47" i="11"/>
  <c r="D30" i="11"/>
  <c r="C12" i="11"/>
  <c r="E26" i="11"/>
  <c r="G14" i="11"/>
  <c r="J32" i="11"/>
  <c r="C43" i="11"/>
  <c r="K32" i="11"/>
  <c r="K13" i="11"/>
  <c r="B12" i="11"/>
  <c r="I43" i="11"/>
  <c r="B34" i="11"/>
  <c r="G24" i="11"/>
  <c r="C47" i="11"/>
  <c r="B56" i="11"/>
  <c r="F26" i="11"/>
  <c r="E16" i="11"/>
  <c r="I28" i="11"/>
  <c r="B50" i="11"/>
  <c r="B28" i="11"/>
  <c r="F31" i="11"/>
  <c r="H23" i="11"/>
  <c r="G47" i="11"/>
  <c r="J42" i="11"/>
  <c r="G46" i="11"/>
  <c r="E13" i="11"/>
  <c r="J45" i="11"/>
  <c r="G37" i="11"/>
  <c r="B42" i="11"/>
  <c r="J19" i="11"/>
  <c r="D9" i="11"/>
  <c r="I56" i="11"/>
  <c r="C13" i="11"/>
  <c r="H35" i="11"/>
  <c r="E24" i="11"/>
  <c r="I34" i="11"/>
  <c r="J26" i="11"/>
  <c r="I41" i="11"/>
  <c r="J44" i="11"/>
  <c r="I31" i="11"/>
  <c r="G45" i="11"/>
  <c r="J23" i="11"/>
  <c r="K44" i="11"/>
  <c r="F39" i="11"/>
  <c r="J51" i="11"/>
  <c r="H17" i="11"/>
  <c r="F12" i="11"/>
  <c r="E22" i="11"/>
  <c r="J11" i="11"/>
  <c r="I25" i="11"/>
  <c r="J10" i="11"/>
  <c r="C29" i="11"/>
  <c r="I17" i="11"/>
  <c r="E17" i="11"/>
  <c r="K17" i="11"/>
  <c r="J40" i="11"/>
  <c r="E30" i="11"/>
  <c r="K18" i="11"/>
  <c r="E15" i="11"/>
  <c r="H30" i="11"/>
  <c r="J12" i="11"/>
  <c r="J43" i="11"/>
  <c r="D43" i="11"/>
  <c r="K52" i="11"/>
  <c r="B19" i="11"/>
  <c r="I16" i="11"/>
  <c r="D40" i="11"/>
  <c r="B9" i="11"/>
  <c r="F50" i="11"/>
  <c r="J34" i="11"/>
  <c r="D23" i="11"/>
  <c r="G12" i="11"/>
  <c r="H51" i="11"/>
  <c r="I26" i="11"/>
  <c r="K25" i="11"/>
  <c r="E41" i="11"/>
  <c r="D24" i="11"/>
  <c r="B25" i="11"/>
</calcChain>
</file>

<file path=xl/sharedStrings.xml><?xml version="1.0" encoding="utf-8"?>
<sst xmlns="http://schemas.openxmlformats.org/spreadsheetml/2006/main" count="1124" uniqueCount="135">
  <si>
    <t>England</t>
  </si>
  <si>
    <t>https://www.gov.uk/government/collections/fire-statistics</t>
  </si>
  <si>
    <t>Source: Home Office Operational Statistics Data Collection, figures supplied by fire and rescue authorities.</t>
  </si>
  <si>
    <t>Metropolitan fire and rescue authorities</t>
  </si>
  <si>
    <t>Non Metropolitan fire and rescue authorities</t>
  </si>
  <si>
    <t>Avon</t>
  </si>
  <si>
    <t>Bedfordshire</t>
  </si>
  <si>
    <t>Berkshire</t>
  </si>
  <si>
    <t>Buckinghamshire</t>
  </si>
  <si>
    <t>Cambridgeshire</t>
  </si>
  <si>
    <t>Cheshire</t>
  </si>
  <si>
    <t>Cleveland</t>
  </si>
  <si>
    <t>Cornwall</t>
  </si>
  <si>
    <t>Cumbria</t>
  </si>
  <si>
    <t>Derbyshire</t>
  </si>
  <si>
    <t>Devon and Somerset</t>
  </si>
  <si>
    <t>Dorset</t>
  </si>
  <si>
    <t>Durham</t>
  </si>
  <si>
    <t>East Sussex</t>
  </si>
  <si>
    <t>Essex</t>
  </si>
  <si>
    <t>Gloucestershire</t>
  </si>
  <si>
    <t>Greater London</t>
  </si>
  <si>
    <t>Greater Manchester</t>
  </si>
  <si>
    <t>Hampshire</t>
  </si>
  <si>
    <t>Hereford and Worcester</t>
  </si>
  <si>
    <t>Hertfordshire</t>
  </si>
  <si>
    <t>Humberside</t>
  </si>
  <si>
    <t>Isle Of Wight</t>
  </si>
  <si>
    <t>Isles of Scilly</t>
  </si>
  <si>
    <t>Kent</t>
  </si>
  <si>
    <t>Lancashire</t>
  </si>
  <si>
    <t>Leicestershire</t>
  </si>
  <si>
    <t>Lincolnshire</t>
  </si>
  <si>
    <t>Merseyside</t>
  </si>
  <si>
    <t>Norfolk</t>
  </si>
  <si>
    <t>North Yorkshire</t>
  </si>
  <si>
    <t>Northamptonshire</t>
  </si>
  <si>
    <t>Northumberland</t>
  </si>
  <si>
    <t>Nottinghamshire</t>
  </si>
  <si>
    <t>Oxfordshire</t>
  </si>
  <si>
    <t>Shropshire</t>
  </si>
  <si>
    <t>South Yorkshire</t>
  </si>
  <si>
    <t>Staffordshire</t>
  </si>
  <si>
    <t>Suffolk</t>
  </si>
  <si>
    <t>Surrey</t>
  </si>
  <si>
    <t>Tyne and Wear</t>
  </si>
  <si>
    <t>Warwickshire</t>
  </si>
  <si>
    <t>West Midlands</t>
  </si>
  <si>
    <t>West Sussex</t>
  </si>
  <si>
    <t>West Yorkshire</t>
  </si>
  <si>
    <t>Wiltshire</t>
  </si>
  <si>
    <t>2015-16</t>
  </si>
  <si>
    <t>Non-Metropolitan</t>
  </si>
  <si>
    <t>Devon &amp; Somerset</t>
  </si>
  <si>
    <t>Hereford &amp; Worcester</t>
  </si>
  <si>
    <t>Isle of Wight</t>
  </si>
  <si>
    <t>Metropolitan</t>
  </si>
  <si>
    <t>Tyne &amp; Wear</t>
  </si>
  <si>
    <t>FRA</t>
  </si>
  <si>
    <t>Select a year from the drop-down list in the orange box below:</t>
  </si>
  <si>
    <t>2014-15</t>
  </si>
  <si>
    <t>2010-11</t>
  </si>
  <si>
    <t>2011-12</t>
  </si>
  <si>
    <t>2012-13</t>
  </si>
  <si>
    <t>2013-14</t>
  </si>
  <si>
    <t>The statistics in this table are Official Statistics.</t>
  </si>
  <si>
    <t>Appendix 13. Fire Safety Audits carried out by the Fire and Rescue Service in England at 31 March 2015</t>
  </si>
  <si>
    <t>Audits/Inspections</t>
  </si>
  <si>
    <t xml:space="preserve">Informal notifications </t>
  </si>
  <si>
    <t xml:space="preserve"> Number of enforcement notices served under Article 30 </t>
  </si>
  <si>
    <t xml:space="preserve"> Number of prohibition notices served under Article 31</t>
  </si>
  <si>
    <t xml:space="preserve"> Number of prosecutions for offences under Article 32</t>
  </si>
  <si>
    <t xml:space="preserve"> Number of alterations notices served under Article 29</t>
  </si>
  <si>
    <t xml:space="preserve">Number of premises satisfactory following enforcement action </t>
  </si>
  <si>
    <t xml:space="preserve">Premises known to FRAs </t>
  </si>
  <si>
    <t>Number of audits</t>
  </si>
  <si>
    <t>Of which Satisfactory</t>
  </si>
  <si>
    <t>Of which Unsatisfactory</t>
  </si>
  <si>
    <t>Satnum</t>
  </si>
  <si>
    <t>unsatnum</t>
  </si>
  <si>
    <t>inform</t>
  </si>
  <si>
    <t>art30</t>
  </si>
  <si>
    <t>art31</t>
  </si>
  <si>
    <t>art32</t>
  </si>
  <si>
    <t>art29</t>
  </si>
  <si>
    <t>action</t>
  </si>
  <si>
    <t>premknow</t>
  </si>
  <si>
    <r>
      <t>Lincolnshire</t>
    </r>
    <r>
      <rPr>
        <vertAlign val="superscript"/>
        <sz val="10"/>
        <rFont val="Arial"/>
        <family val="2"/>
      </rPr>
      <t>1</t>
    </r>
  </si>
  <si>
    <r>
      <t>Staffordshire</t>
    </r>
    <r>
      <rPr>
        <vertAlign val="superscript"/>
        <sz val="10"/>
        <rFont val="Arial"/>
        <family val="2"/>
      </rPr>
      <t>2</t>
    </r>
  </si>
  <si>
    <t>1. Premises known to FRAs are estimates based on historical data</t>
  </si>
  <si>
    <t>2. Staffordshire had previously been overreporting numbers due to a fault in the data collection. This had seen them report circa 3,800 audits per year, whereas the current level of around 200 - 300 would have been correct</t>
  </si>
  <si>
    <t>Source: DCLG Annual Returns</t>
  </si>
  <si>
    <t>N/A Not Available</t>
  </si>
  <si>
    <t>Appendix 13. Fire Safety Audits carried out by the Fire and Rescue Service in England at 31 March 2014</t>
  </si>
  <si>
    <t>2. Staffordshire had previously been overreporting numbers due to a fault in the data collection. This had seen them report circa 3,800 audits per year, wheares the current level of around 200 - 300 whould have been correct</t>
  </si>
  <si>
    <t>N/A</t>
  </si>
  <si>
    <t>Appendix 13. Fire Safety Audits carried out by the Fire and Rescue Service in England at 31 March 2013</t>
  </si>
  <si>
    <r>
      <t>Hertfordshire</t>
    </r>
    <r>
      <rPr>
        <vertAlign val="superscript"/>
        <sz val="10"/>
        <rFont val="Arial"/>
        <family val="2"/>
      </rPr>
      <t>1</t>
    </r>
  </si>
  <si>
    <t>Appendix 13. Fire Safety Audits carried out by fire and rescue authorities in England at 31 March 2012</t>
  </si>
  <si>
    <t xml:space="preserve">Premises known to fire and rescue authorities </t>
  </si>
  <si>
    <r>
      <t>Essex</t>
    </r>
    <r>
      <rPr>
        <vertAlign val="superscript"/>
        <sz val="10"/>
        <rFont val="Arial"/>
        <family val="2"/>
      </rPr>
      <t>1</t>
    </r>
  </si>
  <si>
    <r>
      <t>Surrey</t>
    </r>
    <r>
      <rPr>
        <vertAlign val="superscript"/>
        <sz val="10"/>
        <rFont val="Arial"/>
        <family val="2"/>
      </rPr>
      <t>2</t>
    </r>
  </si>
  <si>
    <t>1. Premises known to fire and rescue authorities are estimates based on historical data</t>
  </si>
  <si>
    <t>2. Do not issue alterations notices</t>
  </si>
  <si>
    <t xml:space="preserve">Appendix 13. Fire Safety Audits carried out by the Fire and Rescue Service in England at 31 March 2011 </t>
  </si>
  <si>
    <t>Notes</t>
  </si>
  <si>
    <t>2010/11</t>
  </si>
  <si>
    <t>2011/12</t>
  </si>
  <si>
    <t>2012/13</t>
  </si>
  <si>
    <t>2013/14</t>
  </si>
  <si>
    <t>2014/15</t>
  </si>
  <si>
    <t>2015/16</t>
  </si>
  <si>
    <t>Financial Years</t>
  </si>
  <si>
    <t>Dorset &amp; Wiltshire</t>
  </si>
  <si>
    <t>..</t>
  </si>
  <si>
    <t>Dorset and Wiltshire</t>
  </si>
  <si>
    <t>2016/17</t>
  </si>
  <si>
    <t>2016-17</t>
  </si>
  <si>
    <r>
      <t xml:space="preserve">Dorset and Wiltshire 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</si>
  <si>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Dorset </t>
    </r>
    <r>
      <rPr>
        <vertAlign val="superscript"/>
        <sz val="11"/>
        <color theme="1"/>
        <rFont val="Calibri"/>
        <family val="2"/>
        <scheme val="minor"/>
      </rPr>
      <t>1</t>
    </r>
  </si>
  <si>
    <t>Staffordshire over-reported numbers, especially around audits and inspections, due to a fault in the data collection in 2011/12 and 2012/13.</t>
  </si>
  <si>
    <t>A number of fire authorities report "Premises known to FRAs" as estimates based on historical data.</t>
  </si>
  <si>
    <t>The full set of fire statistics releases, tables and guidance can be found on our landing page, here:</t>
  </si>
  <si>
    <r>
      <t>Wiltshire</t>
    </r>
    <r>
      <rPr>
        <vertAlign val="superscript"/>
        <sz val="11"/>
        <color theme="1"/>
        <rFont val="Calibri"/>
        <family val="2"/>
        <scheme val="minor"/>
      </rPr>
      <t>1</t>
    </r>
  </si>
  <si>
    <t>FIRE STATISTICS TABLE 1202: Fire Safety Audits carried out by Fire and Rescue Services, by fire and rescue authority</t>
  </si>
  <si>
    <t>2017/18</t>
  </si>
  <si>
    <t>2017-18</t>
  </si>
  <si>
    <t>1. In 2016/17 Dorset FRS and Wiltshire FRS merged. The figures for 2015/16 and previously are shown separately for these two FRSs, figures for 2016/17 onwards are for the merged FRS.</t>
  </si>
  <si>
    <t>Contact: FireStatistics@homeoffice.gov.uk</t>
  </si>
  <si>
    <t>Last Updated: 18 October 2018</t>
  </si>
  <si>
    <t>Next Update: Autumn 2019</t>
  </si>
  <si>
    <t>2017/18 refers to the financial year, from 1 April 2017 to 31 March 2018. Other years follow the same pattern.</t>
  </si>
  <si>
    <t>FRS</t>
  </si>
  <si>
    <t>Berkshire did not provide figures for premises known between 2014/15 and 2017/18.</t>
  </si>
  <si>
    <t>The figures for the number of premises known were not supplied by West Midlands FRS for 2017/18, so the figures from 2016/17 have been brought forward for 2017/18.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</si>
</sst>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0"/>
    <numFmt numFmtId="166" formatCode="0.0%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Arial Black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0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vertAlign val="superscript"/>
      <sz val="10"/>
      <name val="Arial"/>
      <family val="2"/>
    </font>
    <font>
      <b/>
      <sz val="12"/>
      <color indexed="43"/>
      <name val="Arial"/>
      <family val="2"/>
    </font>
    <font>
      <sz val="10"/>
      <name val="Arial"/>
      <family val="2"/>
    </font>
    <font>
      <sz val="12"/>
      <name val="Arial"/>
      <family val="2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/>
    <xf numFmtId="0" fontId="9" fillId="0" borderId="0"/>
    <xf numFmtId="0" fontId="11" fillId="0" borderId="0"/>
    <xf numFmtId="0" fontId="9" fillId="0" borderId="0"/>
    <xf numFmtId="9" fontId="6" fillId="0" borderId="0" applyFont="0" applyFill="0" applyBorder="0" applyAlignment="0" applyProtection="0"/>
    <xf numFmtId="0" fontId="6" fillId="0" borderId="0"/>
    <xf numFmtId="0" fontId="9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9" fontId="11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41">
    <xf numFmtId="0" fontId="0" fillId="0" borderId="0" xfId="0"/>
    <xf numFmtId="0" fontId="2" fillId="3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0" xfId="0" applyFill="1" applyAlignment="1"/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0" xfId="0" applyFill="1" applyAlignment="1">
      <alignment horizontal="right" vertical="center" wrapText="1"/>
    </xf>
    <xf numFmtId="1" fontId="0" fillId="4" borderId="0" xfId="0" applyNumberFormat="1" applyFill="1"/>
    <xf numFmtId="164" fontId="0" fillId="5" borderId="0" xfId="0" applyNumberFormat="1" applyFill="1"/>
    <xf numFmtId="1" fontId="0" fillId="5" borderId="0" xfId="0" applyNumberFormat="1" applyFill="1"/>
    <xf numFmtId="3" fontId="0" fillId="5" borderId="0" xfId="0" applyNumberFormat="1" applyFill="1" applyBorder="1" applyAlignment="1">
      <alignment horizontal="right"/>
    </xf>
    <xf numFmtId="3" fontId="1" fillId="5" borderId="0" xfId="0" applyNumberFormat="1" applyFont="1" applyFill="1" applyBorder="1" applyAlignment="1">
      <alignment horizontal="right"/>
    </xf>
    <xf numFmtId="0" fontId="0" fillId="4" borderId="1" xfId="0" applyFill="1" applyBorder="1"/>
    <xf numFmtId="3" fontId="0" fillId="5" borderId="1" xfId="0" applyNumberFormat="1" applyFill="1" applyBorder="1" applyAlignment="1">
      <alignment horizontal="right"/>
    </xf>
    <xf numFmtId="0" fontId="4" fillId="4" borderId="0" xfId="0" applyFont="1" applyFill="1"/>
    <xf numFmtId="0" fontId="5" fillId="4" borderId="0" xfId="2" applyFont="1" applyFill="1"/>
    <xf numFmtId="0" fontId="0" fillId="4" borderId="0" xfId="0" applyFill="1" applyAlignment="1">
      <alignment horizontal="right"/>
    </xf>
    <xf numFmtId="3" fontId="0" fillId="4" borderId="0" xfId="0" applyNumberFormat="1" applyFill="1"/>
    <xf numFmtId="0" fontId="4" fillId="4" borderId="0" xfId="1" applyFont="1" applyFill="1" applyAlignment="1">
      <alignment vertical="center"/>
    </xf>
    <xf numFmtId="0" fontId="3" fillId="5" borderId="0" xfId="1" applyFill="1"/>
    <xf numFmtId="0" fontId="1" fillId="4" borderId="0" xfId="0" applyFont="1" applyFill="1"/>
    <xf numFmtId="0" fontId="1" fillId="4" borderId="2" xfId="0" applyFont="1" applyFill="1" applyBorder="1"/>
    <xf numFmtId="0" fontId="1" fillId="4" borderId="0" xfId="0" applyFont="1" applyFill="1" applyBorder="1"/>
    <xf numFmtId="0" fontId="7" fillId="0" borderId="0" xfId="5" applyFont="1" applyAlignment="1">
      <alignment vertical="center"/>
    </xf>
    <xf numFmtId="0" fontId="9" fillId="0" borderId="0" xfId="5" applyFont="1" applyAlignment="1">
      <alignment vertical="center"/>
    </xf>
    <xf numFmtId="0" fontId="0" fillId="4" borderId="0" xfId="0" applyFill="1" applyAlignment="1">
      <alignment horizontal="left" wrapText="1"/>
    </xf>
    <xf numFmtId="0" fontId="0" fillId="4" borderId="1" xfId="0" applyFill="1" applyBorder="1" applyAlignment="1">
      <alignment horizontal="center"/>
    </xf>
    <xf numFmtId="0" fontId="11" fillId="0" borderId="0" xfId="5"/>
    <xf numFmtId="0" fontId="9" fillId="0" borderId="0" xfId="6" applyFont="1" applyBorder="1" applyAlignment="1">
      <alignment vertical="center"/>
    </xf>
    <xf numFmtId="0" fontId="7" fillId="0" borderId="6" xfId="5" applyFont="1" applyFill="1" applyBorder="1" applyAlignment="1" applyProtection="1">
      <alignment horizontal="right" vertical="center" wrapText="1"/>
    </xf>
    <xf numFmtId="0" fontId="9" fillId="0" borderId="0" xfId="6" applyFont="1" applyFill="1" applyBorder="1" applyAlignment="1">
      <alignment horizontal="right" vertical="center" wrapText="1"/>
    </xf>
    <xf numFmtId="0" fontId="9" fillId="0" borderId="0" xfId="6" applyFont="1" applyBorder="1" applyAlignment="1">
      <alignment horizontal="right" vertical="center" wrapText="1"/>
    </xf>
    <xf numFmtId="0" fontId="9" fillId="0" borderId="0" xfId="6" applyFont="1" applyBorder="1" applyAlignment="1">
      <alignment horizontal="right" vertical="center"/>
    </xf>
    <xf numFmtId="0" fontId="8" fillId="0" borderId="0" xfId="6" applyFont="1" applyBorder="1" applyAlignment="1">
      <alignment vertical="center"/>
    </xf>
    <xf numFmtId="3" fontId="8" fillId="0" borderId="0" xfId="6" applyNumberFormat="1" applyFont="1" applyFill="1" applyBorder="1" applyAlignment="1">
      <alignment horizontal="right" vertical="center" wrapText="1"/>
    </xf>
    <xf numFmtId="4" fontId="9" fillId="0" borderId="0" xfId="6" applyNumberFormat="1" applyFont="1" applyBorder="1" applyAlignment="1">
      <alignment vertical="center"/>
    </xf>
    <xf numFmtId="166" fontId="9" fillId="0" borderId="0" xfId="7" applyNumberFormat="1" applyFont="1" applyBorder="1" applyAlignment="1">
      <alignment vertical="center"/>
    </xf>
    <xf numFmtId="3" fontId="9" fillId="0" borderId="0" xfId="6" applyNumberFormat="1" applyFont="1" applyBorder="1" applyAlignment="1">
      <alignment vertical="center"/>
    </xf>
    <xf numFmtId="3" fontId="8" fillId="0" borderId="0" xfId="6" applyNumberFormat="1" applyFont="1" applyFill="1" applyBorder="1" applyAlignment="1">
      <alignment horizontal="right" vertical="center"/>
    </xf>
    <xf numFmtId="3" fontId="9" fillId="0" borderId="0" xfId="6" applyNumberFormat="1" applyFont="1" applyFill="1" applyBorder="1" applyAlignment="1">
      <alignment horizontal="right" vertical="center"/>
    </xf>
    <xf numFmtId="165" fontId="9" fillId="0" borderId="0" xfId="6" applyNumberFormat="1" applyFont="1" applyBorder="1" applyAlignment="1">
      <alignment vertical="center"/>
    </xf>
    <xf numFmtId="0" fontId="9" fillId="0" borderId="0" xfId="8" applyFont="1" applyBorder="1" applyAlignment="1">
      <alignment vertical="center"/>
    </xf>
    <xf numFmtId="3" fontId="9" fillId="0" borderId="0" xfId="8" applyNumberFormat="1" applyFont="1" applyBorder="1" applyAlignment="1">
      <alignment vertical="center"/>
    </xf>
    <xf numFmtId="0" fontId="9" fillId="0" borderId="6" xfId="6" applyFont="1" applyBorder="1" applyAlignment="1">
      <alignment vertical="center"/>
    </xf>
    <xf numFmtId="3" fontId="9" fillId="0" borderId="6" xfId="6" applyNumberFormat="1" applyFont="1" applyBorder="1" applyAlignment="1">
      <alignment vertical="center"/>
    </xf>
    <xf numFmtId="3" fontId="9" fillId="0" borderId="6" xfId="6" applyNumberFormat="1" applyFont="1" applyFill="1" applyBorder="1" applyAlignment="1">
      <alignment horizontal="right" vertical="center"/>
    </xf>
    <xf numFmtId="0" fontId="10" fillId="0" borderId="0" xfId="9" applyFont="1" applyBorder="1" applyAlignment="1">
      <alignment vertical="center"/>
    </xf>
    <xf numFmtId="0" fontId="9" fillId="0" borderId="0" xfId="6" applyFont="1" applyFill="1" applyBorder="1" applyAlignment="1">
      <alignment vertical="center"/>
    </xf>
    <xf numFmtId="0" fontId="9" fillId="0" borderId="0" xfId="9" applyFont="1" applyBorder="1" applyAlignment="1">
      <alignment vertical="center"/>
    </xf>
    <xf numFmtId="0" fontId="9" fillId="0" borderId="0" xfId="4" applyFont="1" applyBorder="1" applyAlignment="1">
      <alignment vertical="center"/>
    </xf>
    <xf numFmtId="3" fontId="10" fillId="0" borderId="0" xfId="9" applyNumberFormat="1" applyFont="1" applyBorder="1" applyAlignment="1">
      <alignment horizontal="right" vertical="center"/>
    </xf>
    <xf numFmtId="0" fontId="11" fillId="0" borderId="0" xfId="5" applyAlignment="1">
      <alignment horizontal="right"/>
    </xf>
    <xf numFmtId="0" fontId="0" fillId="5" borderId="0" xfId="0" applyFill="1" applyAlignment="1">
      <alignment horizontal="center" wrapText="1"/>
    </xf>
    <xf numFmtId="3" fontId="0" fillId="5" borderId="0" xfId="0" applyNumberFormat="1" applyFont="1" applyFill="1" applyBorder="1" applyAlignment="1">
      <alignment horizontal="right"/>
    </xf>
    <xf numFmtId="0" fontId="0" fillId="4" borderId="0" xfId="0" applyFill="1" applyBorder="1"/>
    <xf numFmtId="3" fontId="0" fillId="5" borderId="1" xfId="0" applyNumberFormat="1" applyFont="1" applyFill="1" applyBorder="1" applyAlignment="1">
      <alignment horizontal="right"/>
    </xf>
    <xf numFmtId="0" fontId="9" fillId="0" borderId="0" xfId="6" applyFont="1" applyBorder="1" applyAlignment="1">
      <alignment vertical="center"/>
    </xf>
    <xf numFmtId="0" fontId="9" fillId="0" borderId="6" xfId="6" applyFont="1" applyBorder="1" applyAlignment="1">
      <alignment vertical="center"/>
    </xf>
    <xf numFmtId="0" fontId="9" fillId="0" borderId="0" xfId="6" applyFont="1" applyBorder="1" applyAlignment="1">
      <alignment vertical="center"/>
    </xf>
    <xf numFmtId="0" fontId="9" fillId="0" borderId="6" xfId="6" applyFont="1" applyBorder="1" applyAlignment="1">
      <alignment vertical="center"/>
    </xf>
    <xf numFmtId="0" fontId="0" fillId="4" borderId="0" xfId="0" applyFill="1" applyAlignment="1">
      <alignment horizontal="left"/>
    </xf>
    <xf numFmtId="0" fontId="9" fillId="0" borderId="0" xfId="10" applyFont="1" applyBorder="1" applyAlignment="1">
      <alignment vertical="center"/>
    </xf>
    <xf numFmtId="0" fontId="9" fillId="0" borderId="0" xfId="10" applyFont="1" applyFill="1" applyBorder="1" applyAlignment="1">
      <alignment horizontal="right" vertical="center" wrapText="1"/>
    </xf>
    <xf numFmtId="0" fontId="9" fillId="0" borderId="0" xfId="10" applyFont="1" applyBorder="1" applyAlignment="1">
      <alignment horizontal="right" vertical="center" wrapText="1"/>
    </xf>
    <xf numFmtId="0" fontId="9" fillId="0" borderId="0" xfId="10" applyFont="1" applyBorder="1" applyAlignment="1">
      <alignment horizontal="right" vertical="center"/>
    </xf>
    <xf numFmtId="0" fontId="8" fillId="0" borderId="0" xfId="10" applyFont="1" applyBorder="1" applyAlignment="1">
      <alignment vertical="center"/>
    </xf>
    <xf numFmtId="3" fontId="8" fillId="0" borderId="0" xfId="10" applyNumberFormat="1" applyFont="1" applyFill="1" applyBorder="1" applyAlignment="1">
      <alignment horizontal="right" vertical="center" wrapText="1"/>
    </xf>
    <xf numFmtId="3" fontId="9" fillId="0" borderId="0" xfId="10" applyNumberFormat="1" applyFont="1" applyBorder="1" applyAlignment="1">
      <alignment vertical="center"/>
    </xf>
    <xf numFmtId="3" fontId="8" fillId="0" borderId="0" xfId="10" applyNumberFormat="1" applyFont="1" applyFill="1" applyBorder="1" applyAlignment="1">
      <alignment horizontal="right" vertical="center"/>
    </xf>
    <xf numFmtId="3" fontId="9" fillId="0" borderId="0" xfId="10" applyNumberFormat="1" applyFont="1" applyFill="1" applyBorder="1" applyAlignment="1">
      <alignment horizontal="right" vertical="center"/>
    </xf>
    <xf numFmtId="0" fontId="9" fillId="0" borderId="0" xfId="11" applyFont="1" applyBorder="1" applyAlignment="1">
      <alignment vertical="center"/>
    </xf>
    <xf numFmtId="3" fontId="9" fillId="0" borderId="0" xfId="11" applyNumberFormat="1" applyFont="1" applyBorder="1" applyAlignment="1">
      <alignment vertical="center"/>
    </xf>
    <xf numFmtId="0" fontId="9" fillId="0" borderId="6" xfId="10" applyFont="1" applyBorder="1" applyAlignment="1">
      <alignment vertical="center"/>
    </xf>
    <xf numFmtId="3" fontId="9" fillId="0" borderId="6" xfId="10" applyNumberFormat="1" applyFont="1" applyBorder="1" applyAlignment="1">
      <alignment vertical="center"/>
    </xf>
    <xf numFmtId="3" fontId="9" fillId="0" borderId="6" xfId="10" applyNumberFormat="1" applyFont="1" applyFill="1" applyBorder="1" applyAlignment="1">
      <alignment horizontal="right" vertical="center"/>
    </xf>
    <xf numFmtId="0" fontId="10" fillId="0" borderId="0" xfId="12" applyFont="1" applyBorder="1" applyAlignment="1">
      <alignment vertical="center"/>
    </xf>
    <xf numFmtId="0" fontId="9" fillId="0" borderId="0" xfId="10" applyFont="1" applyFill="1" applyBorder="1" applyAlignment="1">
      <alignment vertical="center"/>
    </xf>
    <xf numFmtId="0" fontId="9" fillId="0" borderId="0" xfId="12" applyFont="1" applyBorder="1" applyAlignment="1">
      <alignment vertical="center"/>
    </xf>
    <xf numFmtId="0" fontId="9" fillId="0" borderId="0" xfId="13" applyFont="1" applyBorder="1" applyAlignment="1">
      <alignment vertical="center"/>
    </xf>
    <xf numFmtId="3" fontId="10" fillId="0" borderId="0" xfId="12" applyNumberFormat="1" applyFont="1" applyBorder="1" applyAlignment="1">
      <alignment horizontal="right" vertical="center"/>
    </xf>
    <xf numFmtId="3" fontId="9" fillId="8" borderId="0" xfId="6" applyNumberFormat="1" applyFont="1" applyFill="1" applyBorder="1" applyAlignment="1">
      <alignment horizontal="right" vertical="center"/>
    </xf>
    <xf numFmtId="10" fontId="9" fillId="0" borderId="0" xfId="10" applyNumberFormat="1" applyFont="1" applyBorder="1" applyAlignment="1">
      <alignment vertical="center"/>
    </xf>
    <xf numFmtId="3" fontId="7" fillId="0" borderId="0" xfId="13" applyNumberFormat="1" applyFont="1" applyFill="1" applyBorder="1" applyAlignment="1">
      <alignment vertical="center"/>
    </xf>
    <xf numFmtId="0" fontId="15" fillId="0" borderId="0" xfId="5" applyFont="1" applyFill="1" applyBorder="1" applyAlignment="1">
      <alignment vertical="center"/>
    </xf>
    <xf numFmtId="9" fontId="9" fillId="0" borderId="0" xfId="14" applyFont="1" applyBorder="1" applyAlignment="1">
      <alignment vertical="center"/>
    </xf>
    <xf numFmtId="0" fontId="1" fillId="4" borderId="0" xfId="0" applyFont="1" applyFill="1" applyAlignment="1">
      <alignment horizontal="left"/>
    </xf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left"/>
    </xf>
    <xf numFmtId="0" fontId="9" fillId="0" borderId="6" xfId="6" applyFont="1" applyBorder="1" applyAlignment="1">
      <alignment vertical="center"/>
    </xf>
    <xf numFmtId="0" fontId="9" fillId="0" borderId="0" xfId="6" applyFont="1" applyBorder="1" applyAlignment="1">
      <alignment vertical="center"/>
    </xf>
    <xf numFmtId="1" fontId="0" fillId="4" borderId="0" xfId="0" quotePrefix="1" applyNumberFormat="1" applyFill="1"/>
    <xf numFmtId="0" fontId="1" fillId="4" borderId="0" xfId="0" applyFont="1" applyFill="1" applyAlignment="1">
      <alignment horizontal="left" wrapText="1"/>
    </xf>
    <xf numFmtId="0" fontId="9" fillId="0" borderId="6" xfId="6" applyFont="1" applyBorder="1" applyAlignment="1">
      <alignment vertical="center"/>
    </xf>
    <xf numFmtId="0" fontId="9" fillId="0" borderId="0" xfId="10" applyFont="1" applyBorder="1" applyAlignment="1">
      <alignment vertical="center"/>
    </xf>
    <xf numFmtId="0" fontId="9" fillId="0" borderId="0" xfId="6" applyFont="1" applyBorder="1" applyAlignment="1">
      <alignment vertical="center"/>
    </xf>
    <xf numFmtId="0" fontId="0" fillId="4" borderId="0" xfId="0" applyFill="1" applyAlignment="1">
      <alignment horizontal="left"/>
    </xf>
    <xf numFmtId="9" fontId="0" fillId="5" borderId="0" xfId="15" applyFont="1" applyFill="1"/>
    <xf numFmtId="9" fontId="0" fillId="4" borderId="0" xfId="15" applyFont="1" applyFill="1"/>
    <xf numFmtId="0" fontId="0" fillId="4" borderId="0" xfId="0" applyFill="1" applyAlignment="1">
      <alignment horizontal="left"/>
    </xf>
    <xf numFmtId="0" fontId="9" fillId="0" borderId="6" xfId="6" applyFont="1" applyBorder="1" applyAlignment="1">
      <alignment vertical="center"/>
    </xf>
    <xf numFmtId="0" fontId="9" fillId="0" borderId="0" xfId="6" applyFont="1" applyBorder="1" applyAlignment="1">
      <alignment vertical="center"/>
    </xf>
    <xf numFmtId="0" fontId="5" fillId="4" borderId="0" xfId="2" applyFill="1"/>
    <xf numFmtId="0" fontId="0" fillId="4" borderId="0" xfId="0" applyFill="1" applyAlignment="1">
      <alignment horizontal="left" wrapText="1"/>
    </xf>
    <xf numFmtId="3" fontId="0" fillId="4" borderId="0" xfId="0" applyNumberFormat="1" applyFill="1" applyAlignment="1">
      <alignment horizontal="center"/>
    </xf>
    <xf numFmtId="3" fontId="8" fillId="0" borderId="0" xfId="10" applyNumberFormat="1" applyFont="1" applyBorder="1" applyAlignment="1">
      <alignment vertical="center"/>
    </xf>
    <xf numFmtId="0" fontId="0" fillId="4" borderId="0" xfId="0" applyFill="1" applyAlignment="1">
      <alignment horizontal="left"/>
    </xf>
    <xf numFmtId="3" fontId="9" fillId="9" borderId="0" xfId="6" applyNumberFormat="1" applyFont="1" applyFill="1" applyBorder="1" applyAlignment="1">
      <alignment vertical="center"/>
    </xf>
    <xf numFmtId="0" fontId="8" fillId="0" borderId="0" xfId="5" applyFont="1" applyFill="1" applyBorder="1" applyAlignment="1" applyProtection="1">
      <alignment horizontal="right" vertical="center" wrapText="1"/>
    </xf>
    <xf numFmtId="0" fontId="8" fillId="0" borderId="6" xfId="5" applyFont="1" applyFill="1" applyBorder="1" applyAlignment="1" applyProtection="1">
      <alignment horizontal="right" vertical="center" wrapText="1"/>
    </xf>
    <xf numFmtId="0" fontId="13" fillId="7" borderId="0" xfId="5" applyFont="1" applyFill="1" applyAlignment="1">
      <alignment vertical="center" wrapText="1"/>
    </xf>
    <xf numFmtId="0" fontId="11" fillId="0" borderId="0" xfId="5" applyAlignment="1">
      <alignment wrapText="1"/>
    </xf>
    <xf numFmtId="0" fontId="9" fillId="0" borderId="8" xfId="6" applyFont="1" applyBorder="1" applyAlignment="1">
      <alignment vertical="center"/>
    </xf>
    <xf numFmtId="0" fontId="9" fillId="0" borderId="6" xfId="6" applyFont="1" applyBorder="1" applyAlignment="1">
      <alignment vertical="center"/>
    </xf>
    <xf numFmtId="0" fontId="8" fillId="0" borderId="6" xfId="5" applyFont="1" applyFill="1" applyBorder="1" applyAlignment="1" applyProtection="1">
      <alignment horizontal="center" vertical="center"/>
    </xf>
    <xf numFmtId="0" fontId="9" fillId="0" borderId="8" xfId="10" applyFont="1" applyBorder="1" applyAlignment="1">
      <alignment vertical="center"/>
    </xf>
    <xf numFmtId="0" fontId="9" fillId="0" borderId="6" xfId="10" applyFont="1" applyBorder="1" applyAlignment="1">
      <alignment vertical="center"/>
    </xf>
    <xf numFmtId="0" fontId="13" fillId="7" borderId="3" xfId="5" applyFont="1" applyFill="1" applyBorder="1" applyAlignment="1">
      <alignment vertical="center" wrapText="1"/>
    </xf>
    <xf numFmtId="0" fontId="13" fillId="7" borderId="4" xfId="5" applyFont="1" applyFill="1" applyBorder="1" applyAlignment="1">
      <alignment vertical="center" wrapText="1"/>
    </xf>
    <xf numFmtId="0" fontId="11" fillId="0" borderId="4" xfId="5" applyBorder="1" applyAlignment="1">
      <alignment wrapText="1"/>
    </xf>
    <xf numFmtId="0" fontId="11" fillId="0" borderId="5" xfId="5" applyBorder="1" applyAlignment="1">
      <alignment wrapText="1"/>
    </xf>
    <xf numFmtId="0" fontId="9" fillId="0" borderId="0" xfId="10" applyFont="1" applyBorder="1" applyAlignment="1">
      <alignment vertical="center"/>
    </xf>
    <xf numFmtId="0" fontId="9" fillId="0" borderId="0" xfId="6" applyFont="1" applyBorder="1" applyAlignment="1">
      <alignment vertical="center"/>
    </xf>
    <xf numFmtId="0" fontId="0" fillId="4" borderId="0" xfId="0" applyFill="1" applyAlignment="1">
      <alignment horizontal="left" wrapText="1"/>
    </xf>
    <xf numFmtId="0" fontId="0" fillId="4" borderId="7" xfId="0" applyFill="1" applyBorder="1" applyAlignment="1">
      <alignment horizont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4" fillId="6" borderId="0" xfId="1" applyFont="1" applyFill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2" fillId="3" borderId="0" xfId="0" applyFont="1" applyFill="1" applyAlignment="1">
      <alignment horizontal="left" wrapText="1"/>
    </xf>
    <xf numFmtId="0" fontId="0" fillId="4" borderId="0" xfId="0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0" fillId="4" borderId="7" xfId="0" applyFill="1" applyBorder="1" applyAlignment="1">
      <alignment horizontal="center" vertical="center" wrapText="1"/>
    </xf>
    <xf numFmtId="0" fontId="17" fillId="4" borderId="0" xfId="0" applyFont="1" applyFill="1" applyAlignment="1">
      <alignment horizontal="right"/>
    </xf>
    <xf numFmtId="0" fontId="5" fillId="4" borderId="0" xfId="2" applyFill="1" applyAlignment="1">
      <alignment horizontal="right"/>
    </xf>
    <xf numFmtId="0" fontId="5" fillId="4" borderId="0" xfId="2" applyFont="1" applyFill="1" applyAlignment="1">
      <alignment horizontal="left"/>
    </xf>
  </cellXfs>
  <cellStyles count="16">
    <cellStyle name="Hyperlink" xfId="2" xr:uid="{00000000-0005-0000-0000-000000000000}"/>
    <cellStyle name="Normal" xfId="0" builtinId="0"/>
    <cellStyle name="Normal 2" xfId="1" xr:uid="{00000000-0005-0000-0000-000002000000}"/>
    <cellStyle name="Normal 2 2" xfId="3" xr:uid="{00000000-0005-0000-0000-000003000000}"/>
    <cellStyle name="Normal 3" xfId="5" xr:uid="{00000000-0005-0000-0000-000004000000}"/>
    <cellStyle name="Normal_Book1" xfId="4" xr:uid="{00000000-0005-0000-0000-000005000000}"/>
    <cellStyle name="Normal_Book1 2" xfId="13" xr:uid="{00000000-0005-0000-0000-000006000000}"/>
    <cellStyle name="Normal_Gender" xfId="8" xr:uid="{00000000-0005-0000-0000-000007000000}"/>
    <cellStyle name="Normal_Gender 2" xfId="11" xr:uid="{00000000-0005-0000-0000-000008000000}"/>
    <cellStyle name="Normal_Injuries" xfId="9" xr:uid="{00000000-0005-0000-0000-000009000000}"/>
    <cellStyle name="Normal_Injuries 2" xfId="12" xr:uid="{00000000-0005-0000-0000-00000A000000}"/>
    <cellStyle name="Normal_Operational Activities" xfId="6" xr:uid="{00000000-0005-0000-0000-00000B000000}"/>
    <cellStyle name="Normal_Operational Activities 2" xfId="10" xr:uid="{00000000-0005-0000-0000-00000C000000}"/>
    <cellStyle name="Percent" xfId="15" builtinId="5"/>
    <cellStyle name="Percent 2" xfId="7" xr:uid="{00000000-0005-0000-0000-00000E000000}"/>
    <cellStyle name="Percent 3" xfId="14" xr:uid="{00000000-0005-0000-0000-00000F000000}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gov.uk/government/collections/fire-statistics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s://www.gov.uk/government/collections/fire-prevention-and-protection-statistic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22"/>
  </sheetPr>
  <dimension ref="A2:M60"/>
  <sheetViews>
    <sheetView showGridLines="0" zoomScale="85" zoomScaleNormal="85" workbookViewId="0">
      <pane xSplit="2" ySplit="4" topLeftCell="C5" activePane="bottomRight" state="frozen"/>
      <selection activeCell="B1" sqref="B1"/>
      <selection pane="topRight" activeCell="C1" sqref="C1"/>
      <selection pane="bottomLeft" activeCell="B4" sqref="B4"/>
      <selection pane="bottomRight" activeCell="K22" sqref="K22"/>
    </sheetView>
  </sheetViews>
  <sheetFormatPr defaultRowHeight="13" x14ac:dyDescent="0.3"/>
  <cols>
    <col min="1" max="1" width="3" style="31" hidden="1" customWidth="1"/>
    <col min="2" max="2" width="25.54296875" style="31" customWidth="1"/>
    <col min="3" max="3" width="17" style="31" customWidth="1"/>
    <col min="4" max="4" width="11.453125" style="31" customWidth="1"/>
    <col min="5" max="5" width="14.453125" style="55" customWidth="1"/>
    <col min="6" max="6" width="12.54296875" style="55" customWidth="1"/>
    <col min="7" max="9" width="13.6328125" style="55" customWidth="1"/>
    <col min="10" max="11" width="13.6328125" style="31" customWidth="1"/>
    <col min="12" max="12" width="13.453125" style="31" customWidth="1"/>
    <col min="13" max="256" width="9.08984375" style="31"/>
    <col min="257" max="257" width="0" style="31" hidden="1" customWidth="1"/>
    <col min="258" max="258" width="25.54296875" style="31" customWidth="1"/>
    <col min="259" max="259" width="17" style="31" customWidth="1"/>
    <col min="260" max="260" width="11.453125" style="31" customWidth="1"/>
    <col min="261" max="261" width="14.453125" style="31" customWidth="1"/>
    <col min="262" max="262" width="12.54296875" style="31" customWidth="1"/>
    <col min="263" max="267" width="13.6328125" style="31" customWidth="1"/>
    <col min="268" max="268" width="13.453125" style="31" customWidth="1"/>
    <col min="269" max="512" width="9.08984375" style="31"/>
    <col min="513" max="513" width="0" style="31" hidden="1" customWidth="1"/>
    <col min="514" max="514" width="25.54296875" style="31" customWidth="1"/>
    <col min="515" max="515" width="17" style="31" customWidth="1"/>
    <col min="516" max="516" width="11.453125" style="31" customWidth="1"/>
    <col min="517" max="517" width="14.453125" style="31" customWidth="1"/>
    <col min="518" max="518" width="12.54296875" style="31" customWidth="1"/>
    <col min="519" max="523" width="13.6328125" style="31" customWidth="1"/>
    <col min="524" max="524" width="13.453125" style="31" customWidth="1"/>
    <col min="525" max="768" width="9.08984375" style="31"/>
    <col min="769" max="769" width="0" style="31" hidden="1" customWidth="1"/>
    <col min="770" max="770" width="25.54296875" style="31" customWidth="1"/>
    <col min="771" max="771" width="17" style="31" customWidth="1"/>
    <col min="772" max="772" width="11.453125" style="31" customWidth="1"/>
    <col min="773" max="773" width="14.453125" style="31" customWidth="1"/>
    <col min="774" max="774" width="12.54296875" style="31" customWidth="1"/>
    <col min="775" max="779" width="13.6328125" style="31" customWidth="1"/>
    <col min="780" max="780" width="13.453125" style="31" customWidth="1"/>
    <col min="781" max="1024" width="9.08984375" style="31"/>
    <col min="1025" max="1025" width="0" style="31" hidden="1" customWidth="1"/>
    <col min="1026" max="1026" width="25.54296875" style="31" customWidth="1"/>
    <col min="1027" max="1027" width="17" style="31" customWidth="1"/>
    <col min="1028" max="1028" width="11.453125" style="31" customWidth="1"/>
    <col min="1029" max="1029" width="14.453125" style="31" customWidth="1"/>
    <col min="1030" max="1030" width="12.54296875" style="31" customWidth="1"/>
    <col min="1031" max="1035" width="13.6328125" style="31" customWidth="1"/>
    <col min="1036" max="1036" width="13.453125" style="31" customWidth="1"/>
    <col min="1037" max="1280" width="9.08984375" style="31"/>
    <col min="1281" max="1281" width="0" style="31" hidden="1" customWidth="1"/>
    <col min="1282" max="1282" width="25.54296875" style="31" customWidth="1"/>
    <col min="1283" max="1283" width="17" style="31" customWidth="1"/>
    <col min="1284" max="1284" width="11.453125" style="31" customWidth="1"/>
    <col min="1285" max="1285" width="14.453125" style="31" customWidth="1"/>
    <col min="1286" max="1286" width="12.54296875" style="31" customWidth="1"/>
    <col min="1287" max="1291" width="13.6328125" style="31" customWidth="1"/>
    <col min="1292" max="1292" width="13.453125" style="31" customWidth="1"/>
    <col min="1293" max="1536" width="9.08984375" style="31"/>
    <col min="1537" max="1537" width="0" style="31" hidden="1" customWidth="1"/>
    <col min="1538" max="1538" width="25.54296875" style="31" customWidth="1"/>
    <col min="1539" max="1539" width="17" style="31" customWidth="1"/>
    <col min="1540" max="1540" width="11.453125" style="31" customWidth="1"/>
    <col min="1541" max="1541" width="14.453125" style="31" customWidth="1"/>
    <col min="1542" max="1542" width="12.54296875" style="31" customWidth="1"/>
    <col min="1543" max="1547" width="13.6328125" style="31" customWidth="1"/>
    <col min="1548" max="1548" width="13.453125" style="31" customWidth="1"/>
    <col min="1549" max="1792" width="9.08984375" style="31"/>
    <col min="1793" max="1793" width="0" style="31" hidden="1" customWidth="1"/>
    <col min="1794" max="1794" width="25.54296875" style="31" customWidth="1"/>
    <col min="1795" max="1795" width="17" style="31" customWidth="1"/>
    <col min="1796" max="1796" width="11.453125" style="31" customWidth="1"/>
    <col min="1797" max="1797" width="14.453125" style="31" customWidth="1"/>
    <col min="1798" max="1798" width="12.54296875" style="31" customWidth="1"/>
    <col min="1799" max="1803" width="13.6328125" style="31" customWidth="1"/>
    <col min="1804" max="1804" width="13.453125" style="31" customWidth="1"/>
    <col min="1805" max="2048" width="9.08984375" style="31"/>
    <col min="2049" max="2049" width="0" style="31" hidden="1" customWidth="1"/>
    <col min="2050" max="2050" width="25.54296875" style="31" customWidth="1"/>
    <col min="2051" max="2051" width="17" style="31" customWidth="1"/>
    <col min="2052" max="2052" width="11.453125" style="31" customWidth="1"/>
    <col min="2053" max="2053" width="14.453125" style="31" customWidth="1"/>
    <col min="2054" max="2054" width="12.54296875" style="31" customWidth="1"/>
    <col min="2055" max="2059" width="13.6328125" style="31" customWidth="1"/>
    <col min="2060" max="2060" width="13.453125" style="31" customWidth="1"/>
    <col min="2061" max="2304" width="9.08984375" style="31"/>
    <col min="2305" max="2305" width="0" style="31" hidden="1" customWidth="1"/>
    <col min="2306" max="2306" width="25.54296875" style="31" customWidth="1"/>
    <col min="2307" max="2307" width="17" style="31" customWidth="1"/>
    <col min="2308" max="2308" width="11.453125" style="31" customWidth="1"/>
    <col min="2309" max="2309" width="14.453125" style="31" customWidth="1"/>
    <col min="2310" max="2310" width="12.54296875" style="31" customWidth="1"/>
    <col min="2311" max="2315" width="13.6328125" style="31" customWidth="1"/>
    <col min="2316" max="2316" width="13.453125" style="31" customWidth="1"/>
    <col min="2317" max="2560" width="9.08984375" style="31"/>
    <col min="2561" max="2561" width="0" style="31" hidden="1" customWidth="1"/>
    <col min="2562" max="2562" width="25.54296875" style="31" customWidth="1"/>
    <col min="2563" max="2563" width="17" style="31" customWidth="1"/>
    <col min="2564" max="2564" width="11.453125" style="31" customWidth="1"/>
    <col min="2565" max="2565" width="14.453125" style="31" customWidth="1"/>
    <col min="2566" max="2566" width="12.54296875" style="31" customWidth="1"/>
    <col min="2567" max="2571" width="13.6328125" style="31" customWidth="1"/>
    <col min="2572" max="2572" width="13.453125" style="31" customWidth="1"/>
    <col min="2573" max="2816" width="9.08984375" style="31"/>
    <col min="2817" max="2817" width="0" style="31" hidden="1" customWidth="1"/>
    <col min="2818" max="2818" width="25.54296875" style="31" customWidth="1"/>
    <col min="2819" max="2819" width="17" style="31" customWidth="1"/>
    <col min="2820" max="2820" width="11.453125" style="31" customWidth="1"/>
    <col min="2821" max="2821" width="14.453125" style="31" customWidth="1"/>
    <col min="2822" max="2822" width="12.54296875" style="31" customWidth="1"/>
    <col min="2823" max="2827" width="13.6328125" style="31" customWidth="1"/>
    <col min="2828" max="2828" width="13.453125" style="31" customWidth="1"/>
    <col min="2829" max="3072" width="9.08984375" style="31"/>
    <col min="3073" max="3073" width="0" style="31" hidden="1" customWidth="1"/>
    <col min="3074" max="3074" width="25.54296875" style="31" customWidth="1"/>
    <col min="3075" max="3075" width="17" style="31" customWidth="1"/>
    <col min="3076" max="3076" width="11.453125" style="31" customWidth="1"/>
    <col min="3077" max="3077" width="14.453125" style="31" customWidth="1"/>
    <col min="3078" max="3078" width="12.54296875" style="31" customWidth="1"/>
    <col min="3079" max="3083" width="13.6328125" style="31" customWidth="1"/>
    <col min="3084" max="3084" width="13.453125" style="31" customWidth="1"/>
    <col min="3085" max="3328" width="9.08984375" style="31"/>
    <col min="3329" max="3329" width="0" style="31" hidden="1" customWidth="1"/>
    <col min="3330" max="3330" width="25.54296875" style="31" customWidth="1"/>
    <col min="3331" max="3331" width="17" style="31" customWidth="1"/>
    <col min="3332" max="3332" width="11.453125" style="31" customWidth="1"/>
    <col min="3333" max="3333" width="14.453125" style="31" customWidth="1"/>
    <col min="3334" max="3334" width="12.54296875" style="31" customWidth="1"/>
    <col min="3335" max="3339" width="13.6328125" style="31" customWidth="1"/>
    <col min="3340" max="3340" width="13.453125" style="31" customWidth="1"/>
    <col min="3341" max="3584" width="9.08984375" style="31"/>
    <col min="3585" max="3585" width="0" style="31" hidden="1" customWidth="1"/>
    <col min="3586" max="3586" width="25.54296875" style="31" customWidth="1"/>
    <col min="3587" max="3587" width="17" style="31" customWidth="1"/>
    <col min="3588" max="3588" width="11.453125" style="31" customWidth="1"/>
    <col min="3589" max="3589" width="14.453125" style="31" customWidth="1"/>
    <col min="3590" max="3590" width="12.54296875" style="31" customWidth="1"/>
    <col min="3591" max="3595" width="13.6328125" style="31" customWidth="1"/>
    <col min="3596" max="3596" width="13.453125" style="31" customWidth="1"/>
    <col min="3597" max="3840" width="9.08984375" style="31"/>
    <col min="3841" max="3841" width="0" style="31" hidden="1" customWidth="1"/>
    <col min="3842" max="3842" width="25.54296875" style="31" customWidth="1"/>
    <col min="3843" max="3843" width="17" style="31" customWidth="1"/>
    <col min="3844" max="3844" width="11.453125" style="31" customWidth="1"/>
    <col min="3845" max="3845" width="14.453125" style="31" customWidth="1"/>
    <col min="3846" max="3846" width="12.54296875" style="31" customWidth="1"/>
    <col min="3847" max="3851" width="13.6328125" style="31" customWidth="1"/>
    <col min="3852" max="3852" width="13.453125" style="31" customWidth="1"/>
    <col min="3853" max="4096" width="9.08984375" style="31"/>
    <col min="4097" max="4097" width="0" style="31" hidden="1" customWidth="1"/>
    <col min="4098" max="4098" width="25.54296875" style="31" customWidth="1"/>
    <col min="4099" max="4099" width="17" style="31" customWidth="1"/>
    <col min="4100" max="4100" width="11.453125" style="31" customWidth="1"/>
    <col min="4101" max="4101" width="14.453125" style="31" customWidth="1"/>
    <col min="4102" max="4102" width="12.54296875" style="31" customWidth="1"/>
    <col min="4103" max="4107" width="13.6328125" style="31" customWidth="1"/>
    <col min="4108" max="4108" width="13.453125" style="31" customWidth="1"/>
    <col min="4109" max="4352" width="9.08984375" style="31"/>
    <col min="4353" max="4353" width="0" style="31" hidden="1" customWidth="1"/>
    <col min="4354" max="4354" width="25.54296875" style="31" customWidth="1"/>
    <col min="4355" max="4355" width="17" style="31" customWidth="1"/>
    <col min="4356" max="4356" width="11.453125" style="31" customWidth="1"/>
    <col min="4357" max="4357" width="14.453125" style="31" customWidth="1"/>
    <col min="4358" max="4358" width="12.54296875" style="31" customWidth="1"/>
    <col min="4359" max="4363" width="13.6328125" style="31" customWidth="1"/>
    <col min="4364" max="4364" width="13.453125" style="31" customWidth="1"/>
    <col min="4365" max="4608" width="9.08984375" style="31"/>
    <col min="4609" max="4609" width="0" style="31" hidden="1" customWidth="1"/>
    <col min="4610" max="4610" width="25.54296875" style="31" customWidth="1"/>
    <col min="4611" max="4611" width="17" style="31" customWidth="1"/>
    <col min="4612" max="4612" width="11.453125" style="31" customWidth="1"/>
    <col min="4613" max="4613" width="14.453125" style="31" customWidth="1"/>
    <col min="4614" max="4614" width="12.54296875" style="31" customWidth="1"/>
    <col min="4615" max="4619" width="13.6328125" style="31" customWidth="1"/>
    <col min="4620" max="4620" width="13.453125" style="31" customWidth="1"/>
    <col min="4621" max="4864" width="9.08984375" style="31"/>
    <col min="4865" max="4865" width="0" style="31" hidden="1" customWidth="1"/>
    <col min="4866" max="4866" width="25.54296875" style="31" customWidth="1"/>
    <col min="4867" max="4867" width="17" style="31" customWidth="1"/>
    <col min="4868" max="4868" width="11.453125" style="31" customWidth="1"/>
    <col min="4869" max="4869" width="14.453125" style="31" customWidth="1"/>
    <col min="4870" max="4870" width="12.54296875" style="31" customWidth="1"/>
    <col min="4871" max="4875" width="13.6328125" style="31" customWidth="1"/>
    <col min="4876" max="4876" width="13.453125" style="31" customWidth="1"/>
    <col min="4877" max="5120" width="9.08984375" style="31"/>
    <col min="5121" max="5121" width="0" style="31" hidden="1" customWidth="1"/>
    <col min="5122" max="5122" width="25.54296875" style="31" customWidth="1"/>
    <col min="5123" max="5123" width="17" style="31" customWidth="1"/>
    <col min="5124" max="5124" width="11.453125" style="31" customWidth="1"/>
    <col min="5125" max="5125" width="14.453125" style="31" customWidth="1"/>
    <col min="5126" max="5126" width="12.54296875" style="31" customWidth="1"/>
    <col min="5127" max="5131" width="13.6328125" style="31" customWidth="1"/>
    <col min="5132" max="5132" width="13.453125" style="31" customWidth="1"/>
    <col min="5133" max="5376" width="9.08984375" style="31"/>
    <col min="5377" max="5377" width="0" style="31" hidden="1" customWidth="1"/>
    <col min="5378" max="5378" width="25.54296875" style="31" customWidth="1"/>
    <col min="5379" max="5379" width="17" style="31" customWidth="1"/>
    <col min="5380" max="5380" width="11.453125" style="31" customWidth="1"/>
    <col min="5381" max="5381" width="14.453125" style="31" customWidth="1"/>
    <col min="5382" max="5382" width="12.54296875" style="31" customWidth="1"/>
    <col min="5383" max="5387" width="13.6328125" style="31" customWidth="1"/>
    <col min="5388" max="5388" width="13.453125" style="31" customWidth="1"/>
    <col min="5389" max="5632" width="9.08984375" style="31"/>
    <col min="5633" max="5633" width="0" style="31" hidden="1" customWidth="1"/>
    <col min="5634" max="5634" width="25.54296875" style="31" customWidth="1"/>
    <col min="5635" max="5635" width="17" style="31" customWidth="1"/>
    <col min="5636" max="5636" width="11.453125" style="31" customWidth="1"/>
    <col min="5637" max="5637" width="14.453125" style="31" customWidth="1"/>
    <col min="5638" max="5638" width="12.54296875" style="31" customWidth="1"/>
    <col min="5639" max="5643" width="13.6328125" style="31" customWidth="1"/>
    <col min="5644" max="5644" width="13.453125" style="31" customWidth="1"/>
    <col min="5645" max="5888" width="9.08984375" style="31"/>
    <col min="5889" max="5889" width="0" style="31" hidden="1" customWidth="1"/>
    <col min="5890" max="5890" width="25.54296875" style="31" customWidth="1"/>
    <col min="5891" max="5891" width="17" style="31" customWidth="1"/>
    <col min="5892" max="5892" width="11.453125" style="31" customWidth="1"/>
    <col min="5893" max="5893" width="14.453125" style="31" customWidth="1"/>
    <col min="5894" max="5894" width="12.54296875" style="31" customWidth="1"/>
    <col min="5895" max="5899" width="13.6328125" style="31" customWidth="1"/>
    <col min="5900" max="5900" width="13.453125" style="31" customWidth="1"/>
    <col min="5901" max="6144" width="9.08984375" style="31"/>
    <col min="6145" max="6145" width="0" style="31" hidden="1" customWidth="1"/>
    <col min="6146" max="6146" width="25.54296875" style="31" customWidth="1"/>
    <col min="6147" max="6147" width="17" style="31" customWidth="1"/>
    <col min="6148" max="6148" width="11.453125" style="31" customWidth="1"/>
    <col min="6149" max="6149" width="14.453125" style="31" customWidth="1"/>
    <col min="6150" max="6150" width="12.54296875" style="31" customWidth="1"/>
    <col min="6151" max="6155" width="13.6328125" style="31" customWidth="1"/>
    <col min="6156" max="6156" width="13.453125" style="31" customWidth="1"/>
    <col min="6157" max="6400" width="9.08984375" style="31"/>
    <col min="6401" max="6401" width="0" style="31" hidden="1" customWidth="1"/>
    <col min="6402" max="6402" width="25.54296875" style="31" customWidth="1"/>
    <col min="6403" max="6403" width="17" style="31" customWidth="1"/>
    <col min="6404" max="6404" width="11.453125" style="31" customWidth="1"/>
    <col min="6405" max="6405" width="14.453125" style="31" customWidth="1"/>
    <col min="6406" max="6406" width="12.54296875" style="31" customWidth="1"/>
    <col min="6407" max="6411" width="13.6328125" style="31" customWidth="1"/>
    <col min="6412" max="6412" width="13.453125" style="31" customWidth="1"/>
    <col min="6413" max="6656" width="9.08984375" style="31"/>
    <col min="6657" max="6657" width="0" style="31" hidden="1" customWidth="1"/>
    <col min="6658" max="6658" width="25.54296875" style="31" customWidth="1"/>
    <col min="6659" max="6659" width="17" style="31" customWidth="1"/>
    <col min="6660" max="6660" width="11.453125" style="31" customWidth="1"/>
    <col min="6661" max="6661" width="14.453125" style="31" customWidth="1"/>
    <col min="6662" max="6662" width="12.54296875" style="31" customWidth="1"/>
    <col min="6663" max="6667" width="13.6328125" style="31" customWidth="1"/>
    <col min="6668" max="6668" width="13.453125" style="31" customWidth="1"/>
    <col min="6669" max="6912" width="9.08984375" style="31"/>
    <col min="6913" max="6913" width="0" style="31" hidden="1" customWidth="1"/>
    <col min="6914" max="6914" width="25.54296875" style="31" customWidth="1"/>
    <col min="6915" max="6915" width="17" style="31" customWidth="1"/>
    <col min="6916" max="6916" width="11.453125" style="31" customWidth="1"/>
    <col min="6917" max="6917" width="14.453125" style="31" customWidth="1"/>
    <col min="6918" max="6918" width="12.54296875" style="31" customWidth="1"/>
    <col min="6919" max="6923" width="13.6328125" style="31" customWidth="1"/>
    <col min="6924" max="6924" width="13.453125" style="31" customWidth="1"/>
    <col min="6925" max="7168" width="9.08984375" style="31"/>
    <col min="7169" max="7169" width="0" style="31" hidden="1" customWidth="1"/>
    <col min="7170" max="7170" width="25.54296875" style="31" customWidth="1"/>
    <col min="7171" max="7171" width="17" style="31" customWidth="1"/>
    <col min="7172" max="7172" width="11.453125" style="31" customWidth="1"/>
    <col min="7173" max="7173" width="14.453125" style="31" customWidth="1"/>
    <col min="7174" max="7174" width="12.54296875" style="31" customWidth="1"/>
    <col min="7175" max="7179" width="13.6328125" style="31" customWidth="1"/>
    <col min="7180" max="7180" width="13.453125" style="31" customWidth="1"/>
    <col min="7181" max="7424" width="9.08984375" style="31"/>
    <col min="7425" max="7425" width="0" style="31" hidden="1" customWidth="1"/>
    <col min="7426" max="7426" width="25.54296875" style="31" customWidth="1"/>
    <col min="7427" max="7427" width="17" style="31" customWidth="1"/>
    <col min="7428" max="7428" width="11.453125" style="31" customWidth="1"/>
    <col min="7429" max="7429" width="14.453125" style="31" customWidth="1"/>
    <col min="7430" max="7430" width="12.54296875" style="31" customWidth="1"/>
    <col min="7431" max="7435" width="13.6328125" style="31" customWidth="1"/>
    <col min="7436" max="7436" width="13.453125" style="31" customWidth="1"/>
    <col min="7437" max="7680" width="9.08984375" style="31"/>
    <col min="7681" max="7681" width="0" style="31" hidden="1" customWidth="1"/>
    <col min="7682" max="7682" width="25.54296875" style="31" customWidth="1"/>
    <col min="7683" max="7683" width="17" style="31" customWidth="1"/>
    <col min="7684" max="7684" width="11.453125" style="31" customWidth="1"/>
    <col min="7685" max="7685" width="14.453125" style="31" customWidth="1"/>
    <col min="7686" max="7686" width="12.54296875" style="31" customWidth="1"/>
    <col min="7687" max="7691" width="13.6328125" style="31" customWidth="1"/>
    <col min="7692" max="7692" width="13.453125" style="31" customWidth="1"/>
    <col min="7693" max="7936" width="9.08984375" style="31"/>
    <col min="7937" max="7937" width="0" style="31" hidden="1" customWidth="1"/>
    <col min="7938" max="7938" width="25.54296875" style="31" customWidth="1"/>
    <col min="7939" max="7939" width="17" style="31" customWidth="1"/>
    <col min="7940" max="7940" width="11.453125" style="31" customWidth="1"/>
    <col min="7941" max="7941" width="14.453125" style="31" customWidth="1"/>
    <col min="7942" max="7942" width="12.54296875" style="31" customWidth="1"/>
    <col min="7943" max="7947" width="13.6328125" style="31" customWidth="1"/>
    <col min="7948" max="7948" width="13.453125" style="31" customWidth="1"/>
    <col min="7949" max="8192" width="9.08984375" style="31"/>
    <col min="8193" max="8193" width="0" style="31" hidden="1" customWidth="1"/>
    <col min="8194" max="8194" width="25.54296875" style="31" customWidth="1"/>
    <col min="8195" max="8195" width="17" style="31" customWidth="1"/>
    <col min="8196" max="8196" width="11.453125" style="31" customWidth="1"/>
    <col min="8197" max="8197" width="14.453125" style="31" customWidth="1"/>
    <col min="8198" max="8198" width="12.54296875" style="31" customWidth="1"/>
    <col min="8199" max="8203" width="13.6328125" style="31" customWidth="1"/>
    <col min="8204" max="8204" width="13.453125" style="31" customWidth="1"/>
    <col min="8205" max="8448" width="9.08984375" style="31"/>
    <col min="8449" max="8449" width="0" style="31" hidden="1" customWidth="1"/>
    <col min="8450" max="8450" width="25.54296875" style="31" customWidth="1"/>
    <col min="8451" max="8451" width="17" style="31" customWidth="1"/>
    <col min="8452" max="8452" width="11.453125" style="31" customWidth="1"/>
    <col min="8453" max="8453" width="14.453125" style="31" customWidth="1"/>
    <col min="8454" max="8454" width="12.54296875" style="31" customWidth="1"/>
    <col min="8455" max="8459" width="13.6328125" style="31" customWidth="1"/>
    <col min="8460" max="8460" width="13.453125" style="31" customWidth="1"/>
    <col min="8461" max="8704" width="9.08984375" style="31"/>
    <col min="8705" max="8705" width="0" style="31" hidden="1" customWidth="1"/>
    <col min="8706" max="8706" width="25.54296875" style="31" customWidth="1"/>
    <col min="8707" max="8707" width="17" style="31" customWidth="1"/>
    <col min="8708" max="8708" width="11.453125" style="31" customWidth="1"/>
    <col min="8709" max="8709" width="14.453125" style="31" customWidth="1"/>
    <col min="8710" max="8710" width="12.54296875" style="31" customWidth="1"/>
    <col min="8711" max="8715" width="13.6328125" style="31" customWidth="1"/>
    <col min="8716" max="8716" width="13.453125" style="31" customWidth="1"/>
    <col min="8717" max="8960" width="9.08984375" style="31"/>
    <col min="8961" max="8961" width="0" style="31" hidden="1" customWidth="1"/>
    <col min="8962" max="8962" width="25.54296875" style="31" customWidth="1"/>
    <col min="8963" max="8963" width="17" style="31" customWidth="1"/>
    <col min="8964" max="8964" width="11.453125" style="31" customWidth="1"/>
    <col min="8965" max="8965" width="14.453125" style="31" customWidth="1"/>
    <col min="8966" max="8966" width="12.54296875" style="31" customWidth="1"/>
    <col min="8967" max="8971" width="13.6328125" style="31" customWidth="1"/>
    <col min="8972" max="8972" width="13.453125" style="31" customWidth="1"/>
    <col min="8973" max="9216" width="9.08984375" style="31"/>
    <col min="9217" max="9217" width="0" style="31" hidden="1" customWidth="1"/>
    <col min="9218" max="9218" width="25.54296875" style="31" customWidth="1"/>
    <col min="9219" max="9219" width="17" style="31" customWidth="1"/>
    <col min="9220" max="9220" width="11.453125" style="31" customWidth="1"/>
    <col min="9221" max="9221" width="14.453125" style="31" customWidth="1"/>
    <col min="9222" max="9222" width="12.54296875" style="31" customWidth="1"/>
    <col min="9223" max="9227" width="13.6328125" style="31" customWidth="1"/>
    <col min="9228" max="9228" width="13.453125" style="31" customWidth="1"/>
    <col min="9229" max="9472" width="9.08984375" style="31"/>
    <col min="9473" max="9473" width="0" style="31" hidden="1" customWidth="1"/>
    <col min="9474" max="9474" width="25.54296875" style="31" customWidth="1"/>
    <col min="9475" max="9475" width="17" style="31" customWidth="1"/>
    <col min="9476" max="9476" width="11.453125" style="31" customWidth="1"/>
    <col min="9477" max="9477" width="14.453125" style="31" customWidth="1"/>
    <col min="9478" max="9478" width="12.54296875" style="31" customWidth="1"/>
    <col min="9479" max="9483" width="13.6328125" style="31" customWidth="1"/>
    <col min="9484" max="9484" width="13.453125" style="31" customWidth="1"/>
    <col min="9485" max="9728" width="9.08984375" style="31"/>
    <col min="9729" max="9729" width="0" style="31" hidden="1" customWidth="1"/>
    <col min="9730" max="9730" width="25.54296875" style="31" customWidth="1"/>
    <col min="9731" max="9731" width="17" style="31" customWidth="1"/>
    <col min="9732" max="9732" width="11.453125" style="31" customWidth="1"/>
    <col min="9733" max="9733" width="14.453125" style="31" customWidth="1"/>
    <col min="9734" max="9734" width="12.54296875" style="31" customWidth="1"/>
    <col min="9735" max="9739" width="13.6328125" style="31" customWidth="1"/>
    <col min="9740" max="9740" width="13.453125" style="31" customWidth="1"/>
    <col min="9741" max="9984" width="9.08984375" style="31"/>
    <col min="9985" max="9985" width="0" style="31" hidden="1" customWidth="1"/>
    <col min="9986" max="9986" width="25.54296875" style="31" customWidth="1"/>
    <col min="9987" max="9987" width="17" style="31" customWidth="1"/>
    <col min="9988" max="9988" width="11.453125" style="31" customWidth="1"/>
    <col min="9989" max="9989" width="14.453125" style="31" customWidth="1"/>
    <col min="9990" max="9990" width="12.54296875" style="31" customWidth="1"/>
    <col min="9991" max="9995" width="13.6328125" style="31" customWidth="1"/>
    <col min="9996" max="9996" width="13.453125" style="31" customWidth="1"/>
    <col min="9997" max="10240" width="9.08984375" style="31"/>
    <col min="10241" max="10241" width="0" style="31" hidden="1" customWidth="1"/>
    <col min="10242" max="10242" width="25.54296875" style="31" customWidth="1"/>
    <col min="10243" max="10243" width="17" style="31" customWidth="1"/>
    <col min="10244" max="10244" width="11.453125" style="31" customWidth="1"/>
    <col min="10245" max="10245" width="14.453125" style="31" customWidth="1"/>
    <col min="10246" max="10246" width="12.54296875" style="31" customWidth="1"/>
    <col min="10247" max="10251" width="13.6328125" style="31" customWidth="1"/>
    <col min="10252" max="10252" width="13.453125" style="31" customWidth="1"/>
    <col min="10253" max="10496" width="9.08984375" style="31"/>
    <col min="10497" max="10497" width="0" style="31" hidden="1" customWidth="1"/>
    <col min="10498" max="10498" width="25.54296875" style="31" customWidth="1"/>
    <col min="10499" max="10499" width="17" style="31" customWidth="1"/>
    <col min="10500" max="10500" width="11.453125" style="31" customWidth="1"/>
    <col min="10501" max="10501" width="14.453125" style="31" customWidth="1"/>
    <col min="10502" max="10502" width="12.54296875" style="31" customWidth="1"/>
    <col min="10503" max="10507" width="13.6328125" style="31" customWidth="1"/>
    <col min="10508" max="10508" width="13.453125" style="31" customWidth="1"/>
    <col min="10509" max="10752" width="9.08984375" style="31"/>
    <col min="10753" max="10753" width="0" style="31" hidden="1" customWidth="1"/>
    <col min="10754" max="10754" width="25.54296875" style="31" customWidth="1"/>
    <col min="10755" max="10755" width="17" style="31" customWidth="1"/>
    <col min="10756" max="10756" width="11.453125" style="31" customWidth="1"/>
    <col min="10757" max="10757" width="14.453125" style="31" customWidth="1"/>
    <col min="10758" max="10758" width="12.54296875" style="31" customWidth="1"/>
    <col min="10759" max="10763" width="13.6328125" style="31" customWidth="1"/>
    <col min="10764" max="10764" width="13.453125" style="31" customWidth="1"/>
    <col min="10765" max="11008" width="9.08984375" style="31"/>
    <col min="11009" max="11009" width="0" style="31" hidden="1" customWidth="1"/>
    <col min="11010" max="11010" width="25.54296875" style="31" customWidth="1"/>
    <col min="11011" max="11011" width="17" style="31" customWidth="1"/>
    <col min="11012" max="11012" width="11.453125" style="31" customWidth="1"/>
    <col min="11013" max="11013" width="14.453125" style="31" customWidth="1"/>
    <col min="11014" max="11014" width="12.54296875" style="31" customWidth="1"/>
    <col min="11015" max="11019" width="13.6328125" style="31" customWidth="1"/>
    <col min="11020" max="11020" width="13.453125" style="31" customWidth="1"/>
    <col min="11021" max="11264" width="9.08984375" style="31"/>
    <col min="11265" max="11265" width="0" style="31" hidden="1" customWidth="1"/>
    <col min="11266" max="11266" width="25.54296875" style="31" customWidth="1"/>
    <col min="11267" max="11267" width="17" style="31" customWidth="1"/>
    <col min="11268" max="11268" width="11.453125" style="31" customWidth="1"/>
    <col min="11269" max="11269" width="14.453125" style="31" customWidth="1"/>
    <col min="11270" max="11270" width="12.54296875" style="31" customWidth="1"/>
    <col min="11271" max="11275" width="13.6328125" style="31" customWidth="1"/>
    <col min="11276" max="11276" width="13.453125" style="31" customWidth="1"/>
    <col min="11277" max="11520" width="9.08984375" style="31"/>
    <col min="11521" max="11521" width="0" style="31" hidden="1" customWidth="1"/>
    <col min="11522" max="11522" width="25.54296875" style="31" customWidth="1"/>
    <col min="11523" max="11523" width="17" style="31" customWidth="1"/>
    <col min="11524" max="11524" width="11.453125" style="31" customWidth="1"/>
    <col min="11525" max="11525" width="14.453125" style="31" customWidth="1"/>
    <col min="11526" max="11526" width="12.54296875" style="31" customWidth="1"/>
    <col min="11527" max="11531" width="13.6328125" style="31" customWidth="1"/>
    <col min="11532" max="11532" width="13.453125" style="31" customWidth="1"/>
    <col min="11533" max="11776" width="9.08984375" style="31"/>
    <col min="11777" max="11777" width="0" style="31" hidden="1" customWidth="1"/>
    <col min="11778" max="11778" width="25.54296875" style="31" customWidth="1"/>
    <col min="11779" max="11779" width="17" style="31" customWidth="1"/>
    <col min="11780" max="11780" width="11.453125" style="31" customWidth="1"/>
    <col min="11781" max="11781" width="14.453125" style="31" customWidth="1"/>
    <col min="11782" max="11782" width="12.54296875" style="31" customWidth="1"/>
    <col min="11783" max="11787" width="13.6328125" style="31" customWidth="1"/>
    <col min="11788" max="11788" width="13.453125" style="31" customWidth="1"/>
    <col min="11789" max="12032" width="9.08984375" style="31"/>
    <col min="12033" max="12033" width="0" style="31" hidden="1" customWidth="1"/>
    <col min="12034" max="12034" width="25.54296875" style="31" customWidth="1"/>
    <col min="12035" max="12035" width="17" style="31" customWidth="1"/>
    <col min="12036" max="12036" width="11.453125" style="31" customWidth="1"/>
    <col min="12037" max="12037" width="14.453125" style="31" customWidth="1"/>
    <col min="12038" max="12038" width="12.54296875" style="31" customWidth="1"/>
    <col min="12039" max="12043" width="13.6328125" style="31" customWidth="1"/>
    <col min="12044" max="12044" width="13.453125" style="31" customWidth="1"/>
    <col min="12045" max="12288" width="9.08984375" style="31"/>
    <col min="12289" max="12289" width="0" style="31" hidden="1" customWidth="1"/>
    <col min="12290" max="12290" width="25.54296875" style="31" customWidth="1"/>
    <col min="12291" max="12291" width="17" style="31" customWidth="1"/>
    <col min="12292" max="12292" width="11.453125" style="31" customWidth="1"/>
    <col min="12293" max="12293" width="14.453125" style="31" customWidth="1"/>
    <col min="12294" max="12294" width="12.54296875" style="31" customWidth="1"/>
    <col min="12295" max="12299" width="13.6328125" style="31" customWidth="1"/>
    <col min="12300" max="12300" width="13.453125" style="31" customWidth="1"/>
    <col min="12301" max="12544" width="9.08984375" style="31"/>
    <col min="12545" max="12545" width="0" style="31" hidden="1" customWidth="1"/>
    <col min="12546" max="12546" width="25.54296875" style="31" customWidth="1"/>
    <col min="12547" max="12547" width="17" style="31" customWidth="1"/>
    <col min="12548" max="12548" width="11.453125" style="31" customWidth="1"/>
    <col min="12549" max="12549" width="14.453125" style="31" customWidth="1"/>
    <col min="12550" max="12550" width="12.54296875" style="31" customWidth="1"/>
    <col min="12551" max="12555" width="13.6328125" style="31" customWidth="1"/>
    <col min="12556" max="12556" width="13.453125" style="31" customWidth="1"/>
    <col min="12557" max="12800" width="9.08984375" style="31"/>
    <col min="12801" max="12801" width="0" style="31" hidden="1" customWidth="1"/>
    <col min="12802" max="12802" width="25.54296875" style="31" customWidth="1"/>
    <col min="12803" max="12803" width="17" style="31" customWidth="1"/>
    <col min="12804" max="12804" width="11.453125" style="31" customWidth="1"/>
    <col min="12805" max="12805" width="14.453125" style="31" customWidth="1"/>
    <col min="12806" max="12806" width="12.54296875" style="31" customWidth="1"/>
    <col min="12807" max="12811" width="13.6328125" style="31" customWidth="1"/>
    <col min="12812" max="12812" width="13.453125" style="31" customWidth="1"/>
    <col min="12813" max="13056" width="9.08984375" style="31"/>
    <col min="13057" max="13057" width="0" style="31" hidden="1" customWidth="1"/>
    <col min="13058" max="13058" width="25.54296875" style="31" customWidth="1"/>
    <col min="13059" max="13059" width="17" style="31" customWidth="1"/>
    <col min="13060" max="13060" width="11.453125" style="31" customWidth="1"/>
    <col min="13061" max="13061" width="14.453125" style="31" customWidth="1"/>
    <col min="13062" max="13062" width="12.54296875" style="31" customWidth="1"/>
    <col min="13063" max="13067" width="13.6328125" style="31" customWidth="1"/>
    <col min="13068" max="13068" width="13.453125" style="31" customWidth="1"/>
    <col min="13069" max="13312" width="9.08984375" style="31"/>
    <col min="13313" max="13313" width="0" style="31" hidden="1" customWidth="1"/>
    <col min="13314" max="13314" width="25.54296875" style="31" customWidth="1"/>
    <col min="13315" max="13315" width="17" style="31" customWidth="1"/>
    <col min="13316" max="13316" width="11.453125" style="31" customWidth="1"/>
    <col min="13317" max="13317" width="14.453125" style="31" customWidth="1"/>
    <col min="13318" max="13318" width="12.54296875" style="31" customWidth="1"/>
    <col min="13319" max="13323" width="13.6328125" style="31" customWidth="1"/>
    <col min="13324" max="13324" width="13.453125" style="31" customWidth="1"/>
    <col min="13325" max="13568" width="9.08984375" style="31"/>
    <col min="13569" max="13569" width="0" style="31" hidden="1" customWidth="1"/>
    <col min="13570" max="13570" width="25.54296875" style="31" customWidth="1"/>
    <col min="13571" max="13571" width="17" style="31" customWidth="1"/>
    <col min="13572" max="13572" width="11.453125" style="31" customWidth="1"/>
    <col min="13573" max="13573" width="14.453125" style="31" customWidth="1"/>
    <col min="13574" max="13574" width="12.54296875" style="31" customWidth="1"/>
    <col min="13575" max="13579" width="13.6328125" style="31" customWidth="1"/>
    <col min="13580" max="13580" width="13.453125" style="31" customWidth="1"/>
    <col min="13581" max="13824" width="9.08984375" style="31"/>
    <col min="13825" max="13825" width="0" style="31" hidden="1" customWidth="1"/>
    <col min="13826" max="13826" width="25.54296875" style="31" customWidth="1"/>
    <col min="13827" max="13827" width="17" style="31" customWidth="1"/>
    <col min="13828" max="13828" width="11.453125" style="31" customWidth="1"/>
    <col min="13829" max="13829" width="14.453125" style="31" customWidth="1"/>
    <col min="13830" max="13830" width="12.54296875" style="31" customWidth="1"/>
    <col min="13831" max="13835" width="13.6328125" style="31" customWidth="1"/>
    <col min="13836" max="13836" width="13.453125" style="31" customWidth="1"/>
    <col min="13837" max="14080" width="9.08984375" style="31"/>
    <col min="14081" max="14081" width="0" style="31" hidden="1" customWidth="1"/>
    <col min="14082" max="14082" width="25.54296875" style="31" customWidth="1"/>
    <col min="14083" max="14083" width="17" style="31" customWidth="1"/>
    <col min="14084" max="14084" width="11.453125" style="31" customWidth="1"/>
    <col min="14085" max="14085" width="14.453125" style="31" customWidth="1"/>
    <col min="14086" max="14086" width="12.54296875" style="31" customWidth="1"/>
    <col min="14087" max="14091" width="13.6328125" style="31" customWidth="1"/>
    <col min="14092" max="14092" width="13.453125" style="31" customWidth="1"/>
    <col min="14093" max="14336" width="9.08984375" style="31"/>
    <col min="14337" max="14337" width="0" style="31" hidden="1" customWidth="1"/>
    <col min="14338" max="14338" width="25.54296875" style="31" customWidth="1"/>
    <col min="14339" max="14339" width="17" style="31" customWidth="1"/>
    <col min="14340" max="14340" width="11.453125" style="31" customWidth="1"/>
    <col min="14341" max="14341" width="14.453125" style="31" customWidth="1"/>
    <col min="14342" max="14342" width="12.54296875" style="31" customWidth="1"/>
    <col min="14343" max="14347" width="13.6328125" style="31" customWidth="1"/>
    <col min="14348" max="14348" width="13.453125" style="31" customWidth="1"/>
    <col min="14349" max="14592" width="9.08984375" style="31"/>
    <col min="14593" max="14593" width="0" style="31" hidden="1" customWidth="1"/>
    <col min="14594" max="14594" width="25.54296875" style="31" customWidth="1"/>
    <col min="14595" max="14595" width="17" style="31" customWidth="1"/>
    <col min="14596" max="14596" width="11.453125" style="31" customWidth="1"/>
    <col min="14597" max="14597" width="14.453125" style="31" customWidth="1"/>
    <col min="14598" max="14598" width="12.54296875" style="31" customWidth="1"/>
    <col min="14599" max="14603" width="13.6328125" style="31" customWidth="1"/>
    <col min="14604" max="14604" width="13.453125" style="31" customWidth="1"/>
    <col min="14605" max="14848" width="9.08984375" style="31"/>
    <col min="14849" max="14849" width="0" style="31" hidden="1" customWidth="1"/>
    <col min="14850" max="14850" width="25.54296875" style="31" customWidth="1"/>
    <col min="14851" max="14851" width="17" style="31" customWidth="1"/>
    <col min="14852" max="14852" width="11.453125" style="31" customWidth="1"/>
    <col min="14853" max="14853" width="14.453125" style="31" customWidth="1"/>
    <col min="14854" max="14854" width="12.54296875" style="31" customWidth="1"/>
    <col min="14855" max="14859" width="13.6328125" style="31" customWidth="1"/>
    <col min="14860" max="14860" width="13.453125" style="31" customWidth="1"/>
    <col min="14861" max="15104" width="9.08984375" style="31"/>
    <col min="15105" max="15105" width="0" style="31" hidden="1" customWidth="1"/>
    <col min="15106" max="15106" width="25.54296875" style="31" customWidth="1"/>
    <col min="15107" max="15107" width="17" style="31" customWidth="1"/>
    <col min="15108" max="15108" width="11.453125" style="31" customWidth="1"/>
    <col min="15109" max="15109" width="14.453125" style="31" customWidth="1"/>
    <col min="15110" max="15110" width="12.54296875" style="31" customWidth="1"/>
    <col min="15111" max="15115" width="13.6328125" style="31" customWidth="1"/>
    <col min="15116" max="15116" width="13.453125" style="31" customWidth="1"/>
    <col min="15117" max="15360" width="9.08984375" style="31"/>
    <col min="15361" max="15361" width="0" style="31" hidden="1" customWidth="1"/>
    <col min="15362" max="15362" width="25.54296875" style="31" customWidth="1"/>
    <col min="15363" max="15363" width="17" style="31" customWidth="1"/>
    <col min="15364" max="15364" width="11.453125" style="31" customWidth="1"/>
    <col min="15365" max="15365" width="14.453125" style="31" customWidth="1"/>
    <col min="15366" max="15366" width="12.54296875" style="31" customWidth="1"/>
    <col min="15367" max="15371" width="13.6328125" style="31" customWidth="1"/>
    <col min="15372" max="15372" width="13.453125" style="31" customWidth="1"/>
    <col min="15373" max="15616" width="9.08984375" style="31"/>
    <col min="15617" max="15617" width="0" style="31" hidden="1" customWidth="1"/>
    <col min="15618" max="15618" width="25.54296875" style="31" customWidth="1"/>
    <col min="15619" max="15619" width="17" style="31" customWidth="1"/>
    <col min="15620" max="15620" width="11.453125" style="31" customWidth="1"/>
    <col min="15621" max="15621" width="14.453125" style="31" customWidth="1"/>
    <col min="15622" max="15622" width="12.54296875" style="31" customWidth="1"/>
    <col min="15623" max="15627" width="13.6328125" style="31" customWidth="1"/>
    <col min="15628" max="15628" width="13.453125" style="31" customWidth="1"/>
    <col min="15629" max="15872" width="9.08984375" style="31"/>
    <col min="15873" max="15873" width="0" style="31" hidden="1" customWidth="1"/>
    <col min="15874" max="15874" width="25.54296875" style="31" customWidth="1"/>
    <col min="15875" max="15875" width="17" style="31" customWidth="1"/>
    <col min="15876" max="15876" width="11.453125" style="31" customWidth="1"/>
    <col min="15877" max="15877" width="14.453125" style="31" customWidth="1"/>
    <col min="15878" max="15878" width="12.54296875" style="31" customWidth="1"/>
    <col min="15879" max="15883" width="13.6328125" style="31" customWidth="1"/>
    <col min="15884" max="15884" width="13.453125" style="31" customWidth="1"/>
    <col min="15885" max="16128" width="9.08984375" style="31"/>
    <col min="16129" max="16129" width="0" style="31" hidden="1" customWidth="1"/>
    <col min="16130" max="16130" width="25.54296875" style="31" customWidth="1"/>
    <col min="16131" max="16131" width="17" style="31" customWidth="1"/>
    <col min="16132" max="16132" width="11.453125" style="31" customWidth="1"/>
    <col min="16133" max="16133" width="14.453125" style="31" customWidth="1"/>
    <col min="16134" max="16134" width="12.54296875" style="31" customWidth="1"/>
    <col min="16135" max="16139" width="13.6328125" style="31" customWidth="1"/>
    <col min="16140" max="16140" width="13.453125" style="31" customWidth="1"/>
    <col min="16141" max="16384" width="9.08984375" style="31"/>
  </cols>
  <sheetData>
    <row r="2" spans="1:13" ht="40.5" customHeight="1" x14ac:dyDescent="0.3">
      <c r="B2" s="113" t="s">
        <v>104</v>
      </c>
      <c r="C2" s="113"/>
      <c r="D2" s="114"/>
      <c r="E2" s="114"/>
      <c r="F2" s="114"/>
      <c r="G2" s="114"/>
      <c r="H2" s="114"/>
      <c r="I2" s="114"/>
      <c r="J2" s="114"/>
      <c r="K2" s="114"/>
      <c r="L2" s="114"/>
    </row>
    <row r="3" spans="1:13" s="62" customFormat="1" ht="43.5" customHeight="1" x14ac:dyDescent="0.35">
      <c r="B3" s="115"/>
      <c r="C3" s="117" t="s">
        <v>67</v>
      </c>
      <c r="D3" s="117"/>
      <c r="E3" s="117"/>
      <c r="F3" s="111" t="s">
        <v>68</v>
      </c>
      <c r="G3" s="111" t="s">
        <v>69</v>
      </c>
      <c r="H3" s="111" t="s">
        <v>70</v>
      </c>
      <c r="I3" s="111" t="s">
        <v>71</v>
      </c>
      <c r="J3" s="111" t="s">
        <v>72</v>
      </c>
      <c r="K3" s="111" t="s">
        <v>73</v>
      </c>
      <c r="L3" s="111" t="s">
        <v>74</v>
      </c>
      <c r="M3" s="111"/>
    </row>
    <row r="4" spans="1:13" s="62" customFormat="1" ht="47.25" customHeight="1" x14ac:dyDescent="0.35">
      <c r="B4" s="116"/>
      <c r="C4" s="33" t="s">
        <v>75</v>
      </c>
      <c r="D4" s="33" t="s">
        <v>76</v>
      </c>
      <c r="E4" s="33" t="s">
        <v>77</v>
      </c>
      <c r="F4" s="112"/>
      <c r="G4" s="112"/>
      <c r="H4" s="112"/>
      <c r="I4" s="112"/>
      <c r="J4" s="112"/>
      <c r="K4" s="112"/>
      <c r="L4" s="112"/>
      <c r="M4" s="112"/>
    </row>
    <row r="5" spans="1:13" s="62" customFormat="1" ht="18" hidden="1" customHeight="1" x14ac:dyDescent="0.35">
      <c r="D5" s="34" t="s">
        <v>78</v>
      </c>
      <c r="E5" s="34" t="s">
        <v>79</v>
      </c>
      <c r="F5" s="35" t="s">
        <v>80</v>
      </c>
      <c r="G5" s="35" t="s">
        <v>81</v>
      </c>
      <c r="H5" s="34" t="s">
        <v>82</v>
      </c>
      <c r="I5" s="34" t="s">
        <v>83</v>
      </c>
      <c r="J5" s="36" t="s">
        <v>84</v>
      </c>
      <c r="K5" s="62" t="s">
        <v>85</v>
      </c>
      <c r="L5" s="62" t="s">
        <v>86</v>
      </c>
    </row>
    <row r="6" spans="1:13" s="62" customFormat="1" ht="25.5" customHeight="1" x14ac:dyDescent="0.35">
      <c r="B6" s="37" t="s">
        <v>0</v>
      </c>
      <c r="C6" s="38">
        <v>84575</v>
      </c>
      <c r="D6" s="38">
        <v>47402</v>
      </c>
      <c r="E6" s="38">
        <v>37173</v>
      </c>
      <c r="F6" s="38">
        <v>26894</v>
      </c>
      <c r="G6" s="38">
        <v>3383</v>
      </c>
      <c r="H6" s="38">
        <v>529</v>
      </c>
      <c r="I6" s="38">
        <v>64</v>
      </c>
      <c r="J6" s="38">
        <v>124</v>
      </c>
      <c r="K6" s="38">
        <v>10223</v>
      </c>
      <c r="L6" s="38">
        <v>1704266</v>
      </c>
      <c r="M6" s="41"/>
    </row>
    <row r="7" spans="1:13" s="37" customFormat="1" ht="26.25" customHeight="1" x14ac:dyDescent="0.35">
      <c r="A7" s="27"/>
      <c r="B7" s="37" t="s">
        <v>52</v>
      </c>
      <c r="C7" s="42">
        <v>49672</v>
      </c>
      <c r="D7" s="42">
        <v>28446</v>
      </c>
      <c r="E7" s="42">
        <v>21226</v>
      </c>
      <c r="F7" s="42">
        <v>19182</v>
      </c>
      <c r="G7" s="42">
        <v>1889</v>
      </c>
      <c r="H7" s="42">
        <v>373</v>
      </c>
      <c r="I7" s="42">
        <v>35</v>
      </c>
      <c r="J7" s="42">
        <v>102</v>
      </c>
      <c r="K7" s="42">
        <v>7617</v>
      </c>
      <c r="L7" s="42">
        <v>1267000</v>
      </c>
    </row>
    <row r="8" spans="1:13" s="62" customFormat="1" ht="12.5" x14ac:dyDescent="0.35">
      <c r="A8" s="28">
        <v>51</v>
      </c>
      <c r="B8" s="62" t="s">
        <v>5</v>
      </c>
      <c r="C8" s="41">
        <v>888</v>
      </c>
      <c r="D8" s="43">
        <v>478</v>
      </c>
      <c r="E8" s="43">
        <v>410</v>
      </c>
      <c r="F8" s="43">
        <v>386</v>
      </c>
      <c r="G8" s="43">
        <v>37</v>
      </c>
      <c r="H8" s="43">
        <v>15</v>
      </c>
      <c r="I8" s="43">
        <v>2</v>
      </c>
      <c r="J8" s="43">
        <v>9</v>
      </c>
      <c r="K8" s="43">
        <v>360</v>
      </c>
      <c r="L8" s="43">
        <v>10762</v>
      </c>
    </row>
    <row r="9" spans="1:13" s="62" customFormat="1" ht="12.5" x14ac:dyDescent="0.35">
      <c r="A9" s="28">
        <v>52</v>
      </c>
      <c r="B9" s="62" t="s">
        <v>6</v>
      </c>
      <c r="C9" s="41">
        <v>1193</v>
      </c>
      <c r="D9" s="43">
        <v>32</v>
      </c>
      <c r="E9" s="43">
        <v>1161</v>
      </c>
      <c r="F9" s="43">
        <v>1157</v>
      </c>
      <c r="G9" s="43">
        <v>34</v>
      </c>
      <c r="H9" s="43">
        <v>3</v>
      </c>
      <c r="I9" s="43">
        <v>0</v>
      </c>
      <c r="J9" s="43">
        <v>0</v>
      </c>
      <c r="K9" s="43">
        <v>1193</v>
      </c>
      <c r="L9" s="43">
        <v>20633</v>
      </c>
    </row>
    <row r="10" spans="1:13" s="62" customFormat="1" ht="12.5" x14ac:dyDescent="0.35">
      <c r="A10" s="28">
        <v>86</v>
      </c>
      <c r="B10" s="62" t="s">
        <v>7</v>
      </c>
      <c r="C10" s="41">
        <v>1229</v>
      </c>
      <c r="D10" s="43">
        <v>711</v>
      </c>
      <c r="E10" s="43">
        <v>518</v>
      </c>
      <c r="F10" s="43">
        <v>383</v>
      </c>
      <c r="G10" s="43">
        <v>13</v>
      </c>
      <c r="H10" s="43">
        <v>0</v>
      </c>
      <c r="I10" s="43">
        <v>0</v>
      </c>
      <c r="J10" s="43">
        <v>0</v>
      </c>
      <c r="K10" s="43">
        <v>0</v>
      </c>
      <c r="L10" s="43">
        <v>402173</v>
      </c>
    </row>
    <row r="11" spans="1:13" s="62" customFormat="1" ht="12.5" x14ac:dyDescent="0.35">
      <c r="A11" s="28">
        <v>53</v>
      </c>
      <c r="B11" s="62" t="s">
        <v>8</v>
      </c>
      <c r="C11" s="41">
        <v>872</v>
      </c>
      <c r="D11" s="43">
        <v>602</v>
      </c>
      <c r="E11" s="43">
        <v>270</v>
      </c>
      <c r="F11" s="43">
        <v>517</v>
      </c>
      <c r="G11" s="43">
        <v>52</v>
      </c>
      <c r="H11" s="43">
        <v>17</v>
      </c>
      <c r="I11" s="43">
        <v>4</v>
      </c>
      <c r="J11" s="43">
        <v>3</v>
      </c>
      <c r="K11" s="43">
        <v>42</v>
      </c>
      <c r="L11" s="43">
        <v>11016</v>
      </c>
    </row>
    <row r="12" spans="1:13" s="62" customFormat="1" ht="12.5" x14ac:dyDescent="0.35">
      <c r="A12" s="28">
        <v>54</v>
      </c>
      <c r="B12" s="62" t="s">
        <v>9</v>
      </c>
      <c r="C12" s="41">
        <v>1178</v>
      </c>
      <c r="D12" s="43">
        <v>865</v>
      </c>
      <c r="E12" s="43">
        <v>313</v>
      </c>
      <c r="F12" s="43">
        <v>517</v>
      </c>
      <c r="G12" s="43">
        <v>24</v>
      </c>
      <c r="H12" s="43">
        <v>17</v>
      </c>
      <c r="I12" s="43">
        <v>0</v>
      </c>
      <c r="J12" s="43">
        <v>2</v>
      </c>
      <c r="K12" s="43">
        <v>292</v>
      </c>
      <c r="L12" s="43">
        <v>21508</v>
      </c>
    </row>
    <row r="13" spans="1:13" s="62" customFormat="1" ht="12.5" x14ac:dyDescent="0.35">
      <c r="A13" s="28">
        <v>55</v>
      </c>
      <c r="B13" s="62" t="s">
        <v>10</v>
      </c>
      <c r="C13" s="41">
        <v>2135</v>
      </c>
      <c r="D13" s="43">
        <v>1814</v>
      </c>
      <c r="E13" s="43">
        <v>321</v>
      </c>
      <c r="F13" s="43">
        <v>567</v>
      </c>
      <c r="G13" s="43">
        <v>85</v>
      </c>
      <c r="H13" s="43">
        <v>15</v>
      </c>
      <c r="I13" s="43">
        <v>3</v>
      </c>
      <c r="J13" s="43">
        <v>0</v>
      </c>
      <c r="K13" s="43">
        <v>228</v>
      </c>
      <c r="L13" s="43">
        <v>23914</v>
      </c>
    </row>
    <row r="14" spans="1:13" s="62" customFormat="1" ht="12.5" x14ac:dyDescent="0.35">
      <c r="A14" s="28">
        <v>56</v>
      </c>
      <c r="B14" s="62" t="s">
        <v>11</v>
      </c>
      <c r="C14" s="41">
        <v>984</v>
      </c>
      <c r="D14" s="43">
        <v>771</v>
      </c>
      <c r="E14" s="43">
        <v>213</v>
      </c>
      <c r="F14" s="43">
        <v>162</v>
      </c>
      <c r="G14" s="43">
        <v>16</v>
      </c>
      <c r="H14" s="43">
        <v>2</v>
      </c>
      <c r="I14" s="43">
        <v>2</v>
      </c>
      <c r="J14" s="43">
        <v>0</v>
      </c>
      <c r="K14" s="43">
        <v>74</v>
      </c>
      <c r="L14" s="43">
        <v>13821</v>
      </c>
    </row>
    <row r="15" spans="1:13" s="62" customFormat="1" ht="12.5" x14ac:dyDescent="0.35">
      <c r="A15" s="28">
        <v>57</v>
      </c>
      <c r="B15" s="62" t="s">
        <v>12</v>
      </c>
      <c r="C15" s="41">
        <v>1053</v>
      </c>
      <c r="D15" s="43">
        <v>678</v>
      </c>
      <c r="E15" s="43">
        <v>375</v>
      </c>
      <c r="F15" s="43">
        <v>314</v>
      </c>
      <c r="G15" s="43">
        <v>9</v>
      </c>
      <c r="H15" s="43">
        <v>2</v>
      </c>
      <c r="I15" s="43">
        <v>0</v>
      </c>
      <c r="J15" s="43">
        <v>0</v>
      </c>
      <c r="K15" s="43">
        <v>104</v>
      </c>
      <c r="L15" s="43">
        <v>15165</v>
      </c>
    </row>
    <row r="16" spans="1:13" s="62" customFormat="1" ht="12.5" x14ac:dyDescent="0.35">
      <c r="A16" s="28">
        <v>59</v>
      </c>
      <c r="B16" s="62" t="s">
        <v>13</v>
      </c>
      <c r="C16" s="41">
        <v>536</v>
      </c>
      <c r="D16" s="43">
        <v>349</v>
      </c>
      <c r="E16" s="43">
        <v>187</v>
      </c>
      <c r="F16" s="43">
        <v>124</v>
      </c>
      <c r="G16" s="43">
        <v>62</v>
      </c>
      <c r="H16" s="43">
        <v>6</v>
      </c>
      <c r="I16" s="43">
        <v>1</v>
      </c>
      <c r="J16" s="43">
        <v>0</v>
      </c>
      <c r="K16" s="43">
        <v>39</v>
      </c>
      <c r="L16" s="43">
        <v>4141</v>
      </c>
    </row>
    <row r="17" spans="1:12" s="62" customFormat="1" ht="12.5" x14ac:dyDescent="0.35">
      <c r="A17" s="28">
        <v>60</v>
      </c>
      <c r="B17" s="62" t="s">
        <v>14</v>
      </c>
      <c r="C17" s="41">
        <v>1216</v>
      </c>
      <c r="D17" s="43">
        <v>628</v>
      </c>
      <c r="E17" s="43">
        <v>588</v>
      </c>
      <c r="F17" s="43">
        <v>442</v>
      </c>
      <c r="G17" s="43">
        <v>81</v>
      </c>
      <c r="H17" s="43">
        <v>8</v>
      </c>
      <c r="I17" s="43">
        <v>0</v>
      </c>
      <c r="J17" s="43">
        <v>0</v>
      </c>
      <c r="K17" s="43">
        <v>77</v>
      </c>
      <c r="L17" s="43">
        <v>22683</v>
      </c>
    </row>
    <row r="18" spans="1:12" s="62" customFormat="1" ht="12.5" x14ac:dyDescent="0.35">
      <c r="A18" s="28">
        <v>61</v>
      </c>
      <c r="B18" s="45" t="s">
        <v>53</v>
      </c>
      <c r="C18" s="46">
        <v>1352</v>
      </c>
      <c r="D18" s="43">
        <v>689</v>
      </c>
      <c r="E18" s="43">
        <v>663</v>
      </c>
      <c r="F18" s="43">
        <v>567</v>
      </c>
      <c r="G18" s="43">
        <v>96</v>
      </c>
      <c r="H18" s="43">
        <v>40</v>
      </c>
      <c r="I18" s="43">
        <v>2</v>
      </c>
      <c r="J18" s="43">
        <v>5</v>
      </c>
      <c r="K18" s="43">
        <v>189</v>
      </c>
      <c r="L18" s="43">
        <v>48491</v>
      </c>
    </row>
    <row r="19" spans="1:12" s="98" customFormat="1" ht="12.5" x14ac:dyDescent="0.35">
      <c r="A19" s="28"/>
      <c r="B19" s="45" t="s">
        <v>113</v>
      </c>
      <c r="C19" s="46" t="s">
        <v>114</v>
      </c>
      <c r="D19" s="46" t="s">
        <v>114</v>
      </c>
      <c r="E19" s="46" t="s">
        <v>114</v>
      </c>
      <c r="F19" s="46" t="s">
        <v>114</v>
      </c>
      <c r="G19" s="46" t="s">
        <v>114</v>
      </c>
      <c r="H19" s="46" t="s">
        <v>114</v>
      </c>
      <c r="I19" s="46" t="s">
        <v>114</v>
      </c>
      <c r="J19" s="46" t="s">
        <v>114</v>
      </c>
      <c r="K19" s="46" t="s">
        <v>114</v>
      </c>
      <c r="L19" s="46" t="s">
        <v>114</v>
      </c>
    </row>
    <row r="20" spans="1:12" s="62" customFormat="1" ht="12.5" x14ac:dyDescent="0.35">
      <c r="A20" s="28">
        <v>62</v>
      </c>
      <c r="B20" s="62" t="s">
        <v>16</v>
      </c>
      <c r="C20" s="41">
        <v>1547</v>
      </c>
      <c r="D20" s="43">
        <v>985</v>
      </c>
      <c r="E20" s="43">
        <v>562</v>
      </c>
      <c r="F20" s="43">
        <v>525</v>
      </c>
      <c r="G20" s="43">
        <v>48</v>
      </c>
      <c r="H20" s="43">
        <v>1</v>
      </c>
      <c r="I20" s="43">
        <v>2</v>
      </c>
      <c r="J20" s="43">
        <v>0</v>
      </c>
      <c r="K20" s="43">
        <v>76</v>
      </c>
      <c r="L20" s="43">
        <v>48586</v>
      </c>
    </row>
    <row r="21" spans="1:12" s="62" customFormat="1" ht="12.5" x14ac:dyDescent="0.35">
      <c r="A21" s="28">
        <v>58</v>
      </c>
      <c r="B21" s="62" t="s">
        <v>17</v>
      </c>
      <c r="C21" s="41">
        <v>775</v>
      </c>
      <c r="D21" s="43">
        <v>380</v>
      </c>
      <c r="E21" s="43">
        <v>395</v>
      </c>
      <c r="F21" s="43">
        <v>458</v>
      </c>
      <c r="G21" s="43">
        <v>3</v>
      </c>
      <c r="H21" s="43">
        <v>11</v>
      </c>
      <c r="I21" s="43">
        <v>0</v>
      </c>
      <c r="J21" s="43">
        <v>0</v>
      </c>
      <c r="K21" s="43">
        <v>53</v>
      </c>
      <c r="L21" s="43">
        <v>15516</v>
      </c>
    </row>
    <row r="22" spans="1:12" s="62" customFormat="1" ht="12.5" x14ac:dyDescent="0.35">
      <c r="A22" s="28">
        <v>63</v>
      </c>
      <c r="B22" s="62" t="s">
        <v>18</v>
      </c>
      <c r="C22" s="41">
        <v>683</v>
      </c>
      <c r="D22" s="43">
        <v>189</v>
      </c>
      <c r="E22" s="43">
        <v>494</v>
      </c>
      <c r="F22" s="43">
        <v>560</v>
      </c>
      <c r="G22" s="43">
        <v>18</v>
      </c>
      <c r="H22" s="43">
        <v>6</v>
      </c>
      <c r="I22" s="43">
        <v>0</v>
      </c>
      <c r="J22" s="43">
        <v>2</v>
      </c>
      <c r="K22" s="43">
        <v>485</v>
      </c>
      <c r="L22" s="43">
        <v>36788</v>
      </c>
    </row>
    <row r="23" spans="1:12" s="62" customFormat="1" ht="12.5" x14ac:dyDescent="0.35">
      <c r="A23" s="28">
        <v>64</v>
      </c>
      <c r="B23" s="62" t="s">
        <v>19</v>
      </c>
      <c r="C23" s="41">
        <v>2166</v>
      </c>
      <c r="D23" s="43">
        <v>1662</v>
      </c>
      <c r="E23" s="43">
        <v>504</v>
      </c>
      <c r="F23" s="43">
        <v>484</v>
      </c>
      <c r="G23" s="43">
        <v>20</v>
      </c>
      <c r="H23" s="43">
        <v>15</v>
      </c>
      <c r="I23" s="43">
        <v>0</v>
      </c>
      <c r="J23" s="43">
        <v>0</v>
      </c>
      <c r="K23" s="43">
        <v>491</v>
      </c>
      <c r="L23" s="43">
        <v>20180</v>
      </c>
    </row>
    <row r="24" spans="1:12" s="62" customFormat="1" ht="12.5" x14ac:dyDescent="0.35">
      <c r="A24" s="28">
        <v>65</v>
      </c>
      <c r="B24" s="62" t="s">
        <v>20</v>
      </c>
      <c r="C24" s="41">
        <v>1368</v>
      </c>
      <c r="D24" s="43">
        <v>957</v>
      </c>
      <c r="E24" s="43">
        <v>411</v>
      </c>
      <c r="F24" s="43">
        <v>380</v>
      </c>
      <c r="G24" s="43">
        <v>46</v>
      </c>
      <c r="H24" s="43">
        <v>1</v>
      </c>
      <c r="I24" s="43">
        <v>1</v>
      </c>
      <c r="J24" s="43">
        <v>3</v>
      </c>
      <c r="K24" s="43">
        <v>36</v>
      </c>
      <c r="L24" s="43">
        <v>21969</v>
      </c>
    </row>
    <row r="25" spans="1:12" s="62" customFormat="1" ht="12.5" x14ac:dyDescent="0.35">
      <c r="A25" s="28">
        <v>67</v>
      </c>
      <c r="B25" s="62" t="s">
        <v>23</v>
      </c>
      <c r="C25" s="41">
        <v>1984</v>
      </c>
      <c r="D25" s="43">
        <v>644</v>
      </c>
      <c r="E25" s="43">
        <v>1340</v>
      </c>
      <c r="F25" s="43">
        <v>894</v>
      </c>
      <c r="G25" s="43">
        <v>72</v>
      </c>
      <c r="H25" s="43">
        <v>51</v>
      </c>
      <c r="I25" s="43">
        <v>2</v>
      </c>
      <c r="J25" s="43">
        <v>12</v>
      </c>
      <c r="K25" s="43">
        <v>214</v>
      </c>
      <c r="L25" s="43">
        <v>98841</v>
      </c>
    </row>
    <row r="26" spans="1:12" s="62" customFormat="1" ht="12.5" x14ac:dyDescent="0.35">
      <c r="A26" s="28">
        <v>68</v>
      </c>
      <c r="B26" s="62" t="s">
        <v>54</v>
      </c>
      <c r="C26" s="41">
        <v>1002</v>
      </c>
      <c r="D26" s="43">
        <v>486</v>
      </c>
      <c r="E26" s="43">
        <v>516</v>
      </c>
      <c r="F26" s="43">
        <v>252</v>
      </c>
      <c r="G26" s="43">
        <v>23</v>
      </c>
      <c r="H26" s="43">
        <v>8</v>
      </c>
      <c r="I26" s="43">
        <v>2</v>
      </c>
      <c r="J26" s="43">
        <v>3</v>
      </c>
      <c r="K26" s="43">
        <v>101</v>
      </c>
      <c r="L26" s="43">
        <v>15122</v>
      </c>
    </row>
    <row r="27" spans="1:12" s="62" customFormat="1" ht="12.5" x14ac:dyDescent="0.35">
      <c r="A27" s="28">
        <v>69</v>
      </c>
      <c r="B27" s="62" t="s">
        <v>25</v>
      </c>
      <c r="C27" s="41">
        <v>240</v>
      </c>
      <c r="D27" s="43">
        <v>189</v>
      </c>
      <c r="E27" s="43">
        <v>51</v>
      </c>
      <c r="F27" s="43">
        <v>23</v>
      </c>
      <c r="G27" s="43">
        <v>9</v>
      </c>
      <c r="H27" s="43">
        <v>4</v>
      </c>
      <c r="I27" s="43">
        <v>1</v>
      </c>
      <c r="J27" s="43">
        <v>0</v>
      </c>
      <c r="K27" s="43">
        <v>33</v>
      </c>
      <c r="L27" s="43">
        <v>16724</v>
      </c>
    </row>
    <row r="28" spans="1:12" s="62" customFormat="1" ht="12.5" x14ac:dyDescent="0.35">
      <c r="A28" s="28">
        <v>70</v>
      </c>
      <c r="B28" s="62" t="s">
        <v>26</v>
      </c>
      <c r="C28" s="41">
        <v>2654</v>
      </c>
      <c r="D28" s="43">
        <v>2218</v>
      </c>
      <c r="E28" s="43">
        <v>436</v>
      </c>
      <c r="F28" s="43">
        <v>596</v>
      </c>
      <c r="G28" s="43">
        <v>8</v>
      </c>
      <c r="H28" s="43">
        <v>2</v>
      </c>
      <c r="I28" s="43">
        <v>0</v>
      </c>
      <c r="J28" s="43">
        <v>4</v>
      </c>
      <c r="K28" s="43">
        <v>239</v>
      </c>
      <c r="L28" s="43">
        <v>24868</v>
      </c>
    </row>
    <row r="29" spans="1:12" s="62" customFormat="1" ht="12.5" x14ac:dyDescent="0.35">
      <c r="A29" s="28">
        <v>71</v>
      </c>
      <c r="B29" s="62" t="s">
        <v>55</v>
      </c>
      <c r="C29" s="41">
        <v>211</v>
      </c>
      <c r="D29" s="43">
        <v>89</v>
      </c>
      <c r="E29" s="43">
        <v>122</v>
      </c>
      <c r="F29" s="43">
        <v>110</v>
      </c>
      <c r="G29" s="43">
        <v>4</v>
      </c>
      <c r="H29" s="43">
        <v>3</v>
      </c>
      <c r="I29" s="43">
        <v>1</v>
      </c>
      <c r="J29" s="43">
        <v>0</v>
      </c>
      <c r="K29" s="43">
        <v>30</v>
      </c>
      <c r="L29" s="43">
        <v>6248</v>
      </c>
    </row>
    <row r="30" spans="1:12" s="62" customFormat="1" ht="12.5" x14ac:dyDescent="0.35">
      <c r="A30" s="28">
        <v>73</v>
      </c>
      <c r="B30" s="62" t="s">
        <v>29</v>
      </c>
      <c r="C30" s="41">
        <v>2222</v>
      </c>
      <c r="D30" s="43">
        <v>1596</v>
      </c>
      <c r="E30" s="43">
        <v>626</v>
      </c>
      <c r="F30" s="43">
        <v>431</v>
      </c>
      <c r="G30" s="43">
        <v>102</v>
      </c>
      <c r="H30" s="43">
        <v>7</v>
      </c>
      <c r="I30" s="43">
        <v>0</v>
      </c>
      <c r="J30" s="43">
        <v>6</v>
      </c>
      <c r="K30" s="43">
        <v>464</v>
      </c>
      <c r="L30" s="43">
        <v>38179</v>
      </c>
    </row>
    <row r="31" spans="1:12" s="62" customFormat="1" ht="12.5" x14ac:dyDescent="0.35">
      <c r="A31" s="28">
        <v>74</v>
      </c>
      <c r="B31" s="62" t="s">
        <v>30</v>
      </c>
      <c r="C31" s="41">
        <v>5021</v>
      </c>
      <c r="D31" s="43">
        <v>1700</v>
      </c>
      <c r="E31" s="43">
        <v>3321</v>
      </c>
      <c r="F31" s="43">
        <v>2465</v>
      </c>
      <c r="G31" s="43">
        <v>615</v>
      </c>
      <c r="H31" s="43">
        <v>25</v>
      </c>
      <c r="I31" s="43">
        <v>5</v>
      </c>
      <c r="J31" s="43">
        <v>49</v>
      </c>
      <c r="K31" s="43">
        <v>451</v>
      </c>
      <c r="L31" s="43">
        <v>25349</v>
      </c>
    </row>
    <row r="32" spans="1:12" s="62" customFormat="1" ht="12.5" x14ac:dyDescent="0.35">
      <c r="A32" s="28">
        <v>75</v>
      </c>
      <c r="B32" s="62" t="s">
        <v>31</v>
      </c>
      <c r="C32" s="41">
        <v>775</v>
      </c>
      <c r="D32" s="43">
        <v>670</v>
      </c>
      <c r="E32" s="43">
        <v>105</v>
      </c>
      <c r="F32" s="43">
        <v>243</v>
      </c>
      <c r="G32" s="43">
        <v>38</v>
      </c>
      <c r="H32" s="43">
        <v>21</v>
      </c>
      <c r="I32" s="43">
        <v>1</v>
      </c>
      <c r="J32" s="43">
        <v>0</v>
      </c>
      <c r="K32" s="43">
        <v>106</v>
      </c>
      <c r="L32" s="43">
        <v>13487</v>
      </c>
    </row>
    <row r="33" spans="1:12" s="62" customFormat="1" ht="14.5" x14ac:dyDescent="0.35">
      <c r="A33" s="28">
        <v>76</v>
      </c>
      <c r="B33" s="62" t="s">
        <v>87</v>
      </c>
      <c r="C33" s="41">
        <v>2050</v>
      </c>
      <c r="D33" s="43">
        <v>1602</v>
      </c>
      <c r="E33" s="43">
        <v>448</v>
      </c>
      <c r="F33" s="43">
        <v>490</v>
      </c>
      <c r="G33" s="43">
        <v>3</v>
      </c>
      <c r="H33" s="43">
        <v>11</v>
      </c>
      <c r="I33" s="43">
        <v>0</v>
      </c>
      <c r="J33" s="43">
        <v>0</v>
      </c>
      <c r="K33" s="43">
        <v>23</v>
      </c>
      <c r="L33" s="43">
        <v>19269</v>
      </c>
    </row>
    <row r="34" spans="1:12" s="62" customFormat="1" ht="12.5" x14ac:dyDescent="0.35">
      <c r="A34" s="28">
        <v>79</v>
      </c>
      <c r="B34" s="62" t="s">
        <v>34</v>
      </c>
      <c r="C34" s="41">
        <v>1302</v>
      </c>
      <c r="D34" s="43">
        <v>837</v>
      </c>
      <c r="E34" s="43">
        <v>465</v>
      </c>
      <c r="F34" s="43">
        <v>379</v>
      </c>
      <c r="G34" s="43">
        <v>13</v>
      </c>
      <c r="H34" s="43">
        <v>7</v>
      </c>
      <c r="I34" s="43">
        <v>1</v>
      </c>
      <c r="J34" s="43">
        <v>0</v>
      </c>
      <c r="K34" s="43">
        <v>526</v>
      </c>
      <c r="L34" s="43">
        <v>19050</v>
      </c>
    </row>
    <row r="35" spans="1:12" s="62" customFormat="1" ht="12.5" x14ac:dyDescent="0.35">
      <c r="A35" s="28">
        <v>80</v>
      </c>
      <c r="B35" s="62" t="s">
        <v>35</v>
      </c>
      <c r="C35" s="41">
        <v>2811</v>
      </c>
      <c r="D35" s="43">
        <v>1773</v>
      </c>
      <c r="E35" s="43">
        <v>1038</v>
      </c>
      <c r="F35" s="43">
        <v>1038</v>
      </c>
      <c r="G35" s="43">
        <v>37</v>
      </c>
      <c r="H35" s="43">
        <v>15</v>
      </c>
      <c r="I35" s="43">
        <v>2</v>
      </c>
      <c r="J35" s="43">
        <v>0</v>
      </c>
      <c r="K35" s="43">
        <v>43</v>
      </c>
      <c r="L35" s="43">
        <v>41001</v>
      </c>
    </row>
    <row r="36" spans="1:12" s="62" customFormat="1" ht="12.5" x14ac:dyDescent="0.35">
      <c r="A36" s="28">
        <v>81</v>
      </c>
      <c r="B36" s="62" t="s">
        <v>36</v>
      </c>
      <c r="C36" s="41">
        <v>511</v>
      </c>
      <c r="D36" s="43">
        <v>202</v>
      </c>
      <c r="E36" s="43">
        <v>309</v>
      </c>
      <c r="F36" s="43">
        <v>262</v>
      </c>
      <c r="G36" s="43">
        <v>51</v>
      </c>
      <c r="H36" s="43">
        <v>11</v>
      </c>
      <c r="I36" s="43">
        <v>1</v>
      </c>
      <c r="J36" s="43">
        <v>1</v>
      </c>
      <c r="K36" s="43">
        <v>180</v>
      </c>
      <c r="L36" s="43">
        <v>18293</v>
      </c>
    </row>
    <row r="37" spans="1:12" s="62" customFormat="1" ht="12.5" x14ac:dyDescent="0.35">
      <c r="A37" s="28">
        <v>83</v>
      </c>
      <c r="B37" s="62" t="s">
        <v>37</v>
      </c>
      <c r="C37" s="41">
        <v>1560</v>
      </c>
      <c r="D37" s="43">
        <v>732</v>
      </c>
      <c r="E37" s="43">
        <v>828</v>
      </c>
      <c r="F37" s="43">
        <v>430</v>
      </c>
      <c r="G37" s="43">
        <v>14</v>
      </c>
      <c r="H37" s="43">
        <v>0</v>
      </c>
      <c r="I37" s="43">
        <v>0</v>
      </c>
      <c r="J37" s="43">
        <v>0</v>
      </c>
      <c r="K37" s="43">
        <v>148</v>
      </c>
      <c r="L37" s="43">
        <v>8290</v>
      </c>
    </row>
    <row r="38" spans="1:12" s="62" customFormat="1" ht="12.5" x14ac:dyDescent="0.35">
      <c r="A38" s="28">
        <v>84</v>
      </c>
      <c r="B38" s="62" t="s">
        <v>38</v>
      </c>
      <c r="C38" s="41">
        <v>814</v>
      </c>
      <c r="D38" s="43">
        <v>346</v>
      </c>
      <c r="E38" s="43">
        <v>468</v>
      </c>
      <c r="F38" s="43">
        <v>446</v>
      </c>
      <c r="G38" s="43">
        <v>15</v>
      </c>
      <c r="H38" s="43">
        <v>10</v>
      </c>
      <c r="I38" s="43">
        <v>0</v>
      </c>
      <c r="J38" s="43">
        <v>0</v>
      </c>
      <c r="K38" s="43">
        <v>74</v>
      </c>
      <c r="L38" s="43">
        <v>27378</v>
      </c>
    </row>
    <row r="39" spans="1:12" s="62" customFormat="1" ht="12.5" x14ac:dyDescent="0.35">
      <c r="A39" s="28">
        <v>85</v>
      </c>
      <c r="B39" s="62" t="s">
        <v>39</v>
      </c>
      <c r="C39" s="41">
        <v>589</v>
      </c>
      <c r="D39" s="43">
        <v>293</v>
      </c>
      <c r="E39" s="43">
        <v>296</v>
      </c>
      <c r="F39" s="43">
        <v>269</v>
      </c>
      <c r="G39" s="43">
        <v>23</v>
      </c>
      <c r="H39" s="43">
        <v>5</v>
      </c>
      <c r="I39" s="43">
        <v>0</v>
      </c>
      <c r="J39" s="43">
        <v>0</v>
      </c>
      <c r="K39" s="43">
        <v>250</v>
      </c>
      <c r="L39" s="43">
        <v>21826</v>
      </c>
    </row>
    <row r="40" spans="1:12" s="62" customFormat="1" ht="12.5" x14ac:dyDescent="0.35">
      <c r="A40" s="28">
        <v>87</v>
      </c>
      <c r="B40" s="62" t="s">
        <v>40</v>
      </c>
      <c r="C40" s="41">
        <v>410</v>
      </c>
      <c r="D40" s="43">
        <v>318</v>
      </c>
      <c r="E40" s="43">
        <v>92</v>
      </c>
      <c r="F40" s="43">
        <v>75</v>
      </c>
      <c r="G40" s="43">
        <v>4</v>
      </c>
      <c r="H40" s="43">
        <v>7</v>
      </c>
      <c r="I40" s="43">
        <v>1</v>
      </c>
      <c r="J40" s="43">
        <v>0</v>
      </c>
      <c r="K40" s="43">
        <v>46</v>
      </c>
      <c r="L40" s="43">
        <v>8942</v>
      </c>
    </row>
    <row r="41" spans="1:12" s="62" customFormat="1" ht="12.5" x14ac:dyDescent="0.35">
      <c r="A41" s="28">
        <v>90</v>
      </c>
      <c r="B41" s="62" t="s">
        <v>42</v>
      </c>
      <c r="C41" s="41">
        <v>69</v>
      </c>
      <c r="D41" s="43">
        <v>37</v>
      </c>
      <c r="E41" s="43">
        <v>32</v>
      </c>
      <c r="F41" s="43">
        <v>57</v>
      </c>
      <c r="G41" s="43">
        <v>15</v>
      </c>
      <c r="H41" s="43">
        <v>7</v>
      </c>
      <c r="I41" s="43">
        <v>0</v>
      </c>
      <c r="J41" s="43">
        <v>2</v>
      </c>
      <c r="K41" s="43">
        <v>19</v>
      </c>
      <c r="L41" s="43">
        <v>20605</v>
      </c>
    </row>
    <row r="42" spans="1:12" s="62" customFormat="1" ht="12.5" x14ac:dyDescent="0.35">
      <c r="A42" s="28">
        <v>91</v>
      </c>
      <c r="B42" s="62" t="s">
        <v>43</v>
      </c>
      <c r="C42" s="41">
        <v>711</v>
      </c>
      <c r="D42" s="43">
        <v>478</v>
      </c>
      <c r="E42" s="43">
        <v>233</v>
      </c>
      <c r="F42" s="43">
        <v>229</v>
      </c>
      <c r="G42" s="43">
        <v>14</v>
      </c>
      <c r="H42" s="43">
        <v>4</v>
      </c>
      <c r="I42" s="43">
        <v>0</v>
      </c>
      <c r="J42" s="43">
        <v>1</v>
      </c>
      <c r="K42" s="43">
        <v>23</v>
      </c>
      <c r="L42" s="43">
        <v>37084</v>
      </c>
    </row>
    <row r="43" spans="1:12" s="62" customFormat="1" ht="12.5" x14ac:dyDescent="0.35">
      <c r="A43" s="28">
        <v>92</v>
      </c>
      <c r="B43" s="62" t="s">
        <v>44</v>
      </c>
      <c r="C43" s="41">
        <v>1520</v>
      </c>
      <c r="D43" s="43">
        <v>919</v>
      </c>
      <c r="E43" s="43">
        <v>601</v>
      </c>
      <c r="F43" s="43">
        <v>559</v>
      </c>
      <c r="G43" s="43">
        <v>48</v>
      </c>
      <c r="H43" s="43">
        <v>8</v>
      </c>
      <c r="I43" s="43">
        <v>0</v>
      </c>
      <c r="J43" s="43">
        <v>0</v>
      </c>
      <c r="K43" s="43">
        <v>42</v>
      </c>
      <c r="L43" s="43">
        <v>20814</v>
      </c>
    </row>
    <row r="44" spans="1:12" s="62" customFormat="1" ht="12.5" x14ac:dyDescent="0.35">
      <c r="A44" s="28">
        <v>94</v>
      </c>
      <c r="B44" s="62" t="s">
        <v>46</v>
      </c>
      <c r="C44" s="41">
        <v>399</v>
      </c>
      <c r="D44" s="43">
        <v>255</v>
      </c>
      <c r="E44" s="43">
        <v>144</v>
      </c>
      <c r="F44" s="43">
        <v>144</v>
      </c>
      <c r="G44" s="43">
        <v>10</v>
      </c>
      <c r="H44" s="43">
        <v>2</v>
      </c>
      <c r="I44" s="43">
        <v>0</v>
      </c>
      <c r="J44" s="43">
        <v>0</v>
      </c>
      <c r="K44" s="43">
        <v>14</v>
      </c>
      <c r="L44" s="43">
        <v>11763</v>
      </c>
    </row>
    <row r="45" spans="1:12" s="62" customFormat="1" ht="12.5" x14ac:dyDescent="0.35">
      <c r="A45" s="28">
        <v>96</v>
      </c>
      <c r="B45" s="62" t="s">
        <v>48</v>
      </c>
      <c r="C45" s="41">
        <v>3149</v>
      </c>
      <c r="D45" s="43">
        <v>1028</v>
      </c>
      <c r="E45" s="43">
        <v>2121</v>
      </c>
      <c r="F45" s="43">
        <v>2007</v>
      </c>
      <c r="G45" s="43">
        <v>120</v>
      </c>
      <c r="H45" s="43">
        <v>0</v>
      </c>
      <c r="I45" s="43">
        <v>0</v>
      </c>
      <c r="J45" s="43">
        <v>0</v>
      </c>
      <c r="K45" s="43">
        <v>818</v>
      </c>
      <c r="L45" s="43">
        <v>18983</v>
      </c>
    </row>
    <row r="46" spans="1:12" s="62" customFormat="1" ht="12.5" x14ac:dyDescent="0.35">
      <c r="A46" s="28">
        <v>98</v>
      </c>
      <c r="B46" s="62" t="s">
        <v>50</v>
      </c>
      <c r="C46" s="41">
        <v>451</v>
      </c>
      <c r="D46" s="43">
        <v>214</v>
      </c>
      <c r="E46" s="43">
        <v>237</v>
      </c>
      <c r="F46" s="43">
        <v>228</v>
      </c>
      <c r="G46" s="43">
        <v>7</v>
      </c>
      <c r="H46" s="43">
        <v>6</v>
      </c>
      <c r="I46" s="43">
        <v>1</v>
      </c>
      <c r="J46" s="43">
        <v>0</v>
      </c>
      <c r="K46" s="43">
        <v>33</v>
      </c>
      <c r="L46" s="43">
        <v>17229</v>
      </c>
    </row>
    <row r="47" spans="1:12" s="62" customFormat="1" ht="12.5" x14ac:dyDescent="0.35">
      <c r="A47" s="28">
        <v>72</v>
      </c>
      <c r="B47" s="62" t="s">
        <v>28</v>
      </c>
      <c r="C47" s="41">
        <v>42</v>
      </c>
      <c r="D47" s="43">
        <v>30</v>
      </c>
      <c r="E47" s="43">
        <v>12</v>
      </c>
      <c r="F47" s="43">
        <v>12</v>
      </c>
      <c r="G47" s="43">
        <v>0</v>
      </c>
      <c r="H47" s="43">
        <v>0</v>
      </c>
      <c r="I47" s="43">
        <v>0</v>
      </c>
      <c r="J47" s="43">
        <v>0</v>
      </c>
      <c r="K47" s="43">
        <v>1</v>
      </c>
      <c r="L47" s="43">
        <v>309</v>
      </c>
    </row>
    <row r="48" spans="1:12" s="37" customFormat="1" ht="26.25" customHeight="1" x14ac:dyDescent="0.35">
      <c r="B48" s="37" t="s">
        <v>56</v>
      </c>
      <c r="C48" s="42">
        <v>34903</v>
      </c>
      <c r="D48" s="42">
        <v>18956</v>
      </c>
      <c r="E48" s="42">
        <v>15947</v>
      </c>
      <c r="F48" s="42">
        <v>7712</v>
      </c>
      <c r="G48" s="42">
        <v>1494</v>
      </c>
      <c r="H48" s="42">
        <v>156</v>
      </c>
      <c r="I48" s="42">
        <v>29</v>
      </c>
      <c r="J48" s="42">
        <v>22</v>
      </c>
      <c r="K48" s="42">
        <v>2606</v>
      </c>
      <c r="L48" s="42">
        <v>437266</v>
      </c>
    </row>
    <row r="49" spans="1:12" s="62" customFormat="1" ht="12.5" x14ac:dyDescent="0.35">
      <c r="A49" s="28">
        <v>66</v>
      </c>
      <c r="B49" s="62" t="s">
        <v>22</v>
      </c>
      <c r="C49" s="41">
        <v>3671</v>
      </c>
      <c r="D49" s="43">
        <v>1843</v>
      </c>
      <c r="E49" s="43">
        <v>1828</v>
      </c>
      <c r="F49" s="43">
        <v>1366</v>
      </c>
      <c r="G49" s="43">
        <v>414</v>
      </c>
      <c r="H49" s="43">
        <v>38</v>
      </c>
      <c r="I49" s="43">
        <v>7</v>
      </c>
      <c r="J49" s="43">
        <v>0</v>
      </c>
      <c r="K49" s="43">
        <v>541</v>
      </c>
      <c r="L49" s="43">
        <v>53749</v>
      </c>
    </row>
    <row r="50" spans="1:12" s="62" customFormat="1" ht="12.5" x14ac:dyDescent="0.35">
      <c r="A50" s="28">
        <v>78</v>
      </c>
      <c r="B50" s="62" t="s">
        <v>33</v>
      </c>
      <c r="C50" s="41">
        <v>1240</v>
      </c>
      <c r="D50" s="43">
        <v>949</v>
      </c>
      <c r="E50" s="43">
        <v>291</v>
      </c>
      <c r="F50" s="43">
        <v>244</v>
      </c>
      <c r="G50" s="43">
        <v>43</v>
      </c>
      <c r="H50" s="43">
        <v>5</v>
      </c>
      <c r="I50" s="43">
        <v>1</v>
      </c>
      <c r="J50" s="43">
        <v>1</v>
      </c>
      <c r="K50" s="43">
        <v>25</v>
      </c>
      <c r="L50" s="43">
        <v>30235</v>
      </c>
    </row>
    <row r="51" spans="1:12" s="62" customFormat="1" ht="12.5" x14ac:dyDescent="0.35">
      <c r="A51" s="28">
        <v>89</v>
      </c>
      <c r="B51" s="62" t="s">
        <v>41</v>
      </c>
      <c r="C51" s="41">
        <v>3291</v>
      </c>
      <c r="D51" s="43">
        <v>1308</v>
      </c>
      <c r="E51" s="43">
        <v>1983</v>
      </c>
      <c r="F51" s="43">
        <v>1843</v>
      </c>
      <c r="G51" s="43">
        <v>43</v>
      </c>
      <c r="H51" s="43">
        <v>5</v>
      </c>
      <c r="I51" s="43">
        <v>0</v>
      </c>
      <c r="J51" s="43">
        <v>0</v>
      </c>
      <c r="K51" s="43">
        <v>437</v>
      </c>
      <c r="L51" s="43">
        <v>40005</v>
      </c>
    </row>
    <row r="52" spans="1:12" s="62" customFormat="1" ht="12.5" x14ac:dyDescent="0.35">
      <c r="A52" s="28">
        <v>93</v>
      </c>
      <c r="B52" s="62" t="s">
        <v>57</v>
      </c>
      <c r="C52" s="41">
        <v>5003</v>
      </c>
      <c r="D52" s="43">
        <v>1665</v>
      </c>
      <c r="E52" s="43">
        <v>3338</v>
      </c>
      <c r="F52" s="43">
        <v>1564</v>
      </c>
      <c r="G52" s="43">
        <v>37</v>
      </c>
      <c r="H52" s="43">
        <v>10</v>
      </c>
      <c r="I52" s="43">
        <v>2</v>
      </c>
      <c r="J52" s="43">
        <v>1</v>
      </c>
      <c r="K52" s="43">
        <v>109</v>
      </c>
      <c r="L52" s="43">
        <v>37371</v>
      </c>
    </row>
    <row r="53" spans="1:12" s="62" customFormat="1" ht="12.5" x14ac:dyDescent="0.35">
      <c r="A53" s="28">
        <v>95</v>
      </c>
      <c r="B53" s="62" t="s">
        <v>47</v>
      </c>
      <c r="C53" s="41">
        <v>1646</v>
      </c>
      <c r="D53" s="43">
        <v>572</v>
      </c>
      <c r="E53" s="43">
        <v>1074</v>
      </c>
      <c r="F53" s="43">
        <v>76</v>
      </c>
      <c r="G53" s="43">
        <v>76</v>
      </c>
      <c r="H53" s="43">
        <v>50</v>
      </c>
      <c r="I53" s="43">
        <v>9</v>
      </c>
      <c r="J53" s="43">
        <v>15</v>
      </c>
      <c r="K53" s="43">
        <v>590</v>
      </c>
      <c r="L53" s="43">
        <v>85095</v>
      </c>
    </row>
    <row r="54" spans="1:12" s="62" customFormat="1" ht="12.5" x14ac:dyDescent="0.35">
      <c r="A54" s="28">
        <v>97</v>
      </c>
      <c r="B54" s="62" t="s">
        <v>49</v>
      </c>
      <c r="C54" s="41">
        <v>5401</v>
      </c>
      <c r="D54" s="43">
        <v>883</v>
      </c>
      <c r="E54" s="43">
        <v>4518</v>
      </c>
      <c r="F54" s="43">
        <v>235</v>
      </c>
      <c r="G54" s="43">
        <v>266</v>
      </c>
      <c r="H54" s="43">
        <v>12</v>
      </c>
      <c r="I54" s="43">
        <v>1</v>
      </c>
      <c r="J54" s="43">
        <v>0</v>
      </c>
      <c r="K54" s="43">
        <v>243</v>
      </c>
      <c r="L54" s="43">
        <v>77965</v>
      </c>
    </row>
    <row r="55" spans="1:12" s="62" customFormat="1" ht="12.5" x14ac:dyDescent="0.35">
      <c r="A55" s="28">
        <v>77</v>
      </c>
      <c r="B55" s="63" t="s">
        <v>21</v>
      </c>
      <c r="C55" s="48">
        <v>14651</v>
      </c>
      <c r="D55" s="49">
        <v>11736</v>
      </c>
      <c r="E55" s="49">
        <v>2915</v>
      </c>
      <c r="F55" s="49">
        <v>2384</v>
      </c>
      <c r="G55" s="49">
        <v>615</v>
      </c>
      <c r="H55" s="49">
        <v>36</v>
      </c>
      <c r="I55" s="49">
        <v>9</v>
      </c>
      <c r="J55" s="49">
        <v>5</v>
      </c>
      <c r="K55" s="49">
        <v>661</v>
      </c>
      <c r="L55" s="49">
        <v>112846</v>
      </c>
    </row>
    <row r="56" spans="1:12" s="62" customFormat="1" ht="6" customHeight="1" x14ac:dyDescent="0.35">
      <c r="B56" s="50"/>
      <c r="C56" s="50"/>
      <c r="I56" s="51"/>
    </row>
    <row r="57" spans="1:12" s="62" customFormat="1" ht="14.25" customHeight="1" x14ac:dyDescent="0.35">
      <c r="B57" s="52" t="s">
        <v>89</v>
      </c>
      <c r="C57" s="50"/>
      <c r="I57" s="51"/>
    </row>
    <row r="58" spans="1:12" s="62" customFormat="1" ht="14.25" customHeight="1" x14ac:dyDescent="0.35">
      <c r="B58" s="50"/>
      <c r="C58" s="50"/>
      <c r="I58" s="51"/>
    </row>
    <row r="59" spans="1:12" s="62" customFormat="1" x14ac:dyDescent="0.35">
      <c r="B59" s="53" t="s">
        <v>91</v>
      </c>
      <c r="C59" s="53"/>
      <c r="I59" s="54"/>
    </row>
    <row r="60" spans="1:12" s="62" customFormat="1" ht="9.75" customHeight="1" x14ac:dyDescent="0.35">
      <c r="I60" s="51"/>
    </row>
  </sheetData>
  <mergeCells count="11">
    <mergeCell ref="M3:M4"/>
    <mergeCell ref="B2:L2"/>
    <mergeCell ref="B3:B4"/>
    <mergeCell ref="C3:E3"/>
    <mergeCell ref="F3:F4"/>
    <mergeCell ref="G3:G4"/>
    <mergeCell ref="H3:H4"/>
    <mergeCell ref="I3:I4"/>
    <mergeCell ref="J3:J4"/>
    <mergeCell ref="K3:K4"/>
    <mergeCell ref="L3:L4"/>
  </mergeCells>
  <pageMargins left="0.48" right="0.31" top="0.24" bottom="0.16" header="0.5" footer="0.16"/>
  <pageSetup paperSize="9" scale="7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FF0000"/>
    <pageSetUpPr fitToPage="1"/>
  </sheetPr>
  <dimension ref="A2:Z61"/>
  <sheetViews>
    <sheetView showGridLines="0" zoomScaleNormal="100" workbookViewId="0">
      <pane xSplit="2" ySplit="4" topLeftCell="C28" activePane="bottomRight" state="frozen"/>
      <selection activeCell="B1" sqref="B1"/>
      <selection pane="topRight" activeCell="C1" sqref="C1"/>
      <selection pane="bottomLeft" activeCell="B4" sqref="B4"/>
      <selection pane="bottomRight" activeCell="C34" sqref="C34:L34"/>
    </sheetView>
  </sheetViews>
  <sheetFormatPr defaultRowHeight="13" x14ac:dyDescent="0.3"/>
  <cols>
    <col min="1" max="1" width="3" style="31" hidden="1" customWidth="1"/>
    <col min="2" max="2" width="25.54296875" style="31" customWidth="1"/>
    <col min="3" max="3" width="17" style="31" customWidth="1"/>
    <col min="4" max="4" width="11.453125" style="31" customWidth="1"/>
    <col min="5" max="5" width="14.453125" style="55" customWidth="1"/>
    <col min="6" max="6" width="12.54296875" style="55" customWidth="1"/>
    <col min="7" max="9" width="13.6328125" style="55" customWidth="1"/>
    <col min="10" max="11" width="13.6328125" style="31" customWidth="1"/>
    <col min="12" max="12" width="13.453125" style="31" customWidth="1"/>
    <col min="13" max="256" width="8.90625" style="31"/>
    <col min="257" max="257" width="0" style="31" hidden="1" customWidth="1"/>
    <col min="258" max="258" width="25.54296875" style="31" customWidth="1"/>
    <col min="259" max="259" width="17" style="31" customWidth="1"/>
    <col min="260" max="260" width="11.453125" style="31" customWidth="1"/>
    <col min="261" max="261" width="14.453125" style="31" customWidth="1"/>
    <col min="262" max="262" width="12.54296875" style="31" customWidth="1"/>
    <col min="263" max="267" width="13.6328125" style="31" customWidth="1"/>
    <col min="268" max="268" width="13.453125" style="31" customWidth="1"/>
    <col min="269" max="512" width="8.90625" style="31"/>
    <col min="513" max="513" width="0" style="31" hidden="1" customWidth="1"/>
    <col min="514" max="514" width="25.54296875" style="31" customWidth="1"/>
    <col min="515" max="515" width="17" style="31" customWidth="1"/>
    <col min="516" max="516" width="11.453125" style="31" customWidth="1"/>
    <col min="517" max="517" width="14.453125" style="31" customWidth="1"/>
    <col min="518" max="518" width="12.54296875" style="31" customWidth="1"/>
    <col min="519" max="523" width="13.6328125" style="31" customWidth="1"/>
    <col min="524" max="524" width="13.453125" style="31" customWidth="1"/>
    <col min="525" max="768" width="8.90625" style="31"/>
    <col min="769" max="769" width="0" style="31" hidden="1" customWidth="1"/>
    <col min="770" max="770" width="25.54296875" style="31" customWidth="1"/>
    <col min="771" max="771" width="17" style="31" customWidth="1"/>
    <col min="772" max="772" width="11.453125" style="31" customWidth="1"/>
    <col min="773" max="773" width="14.453125" style="31" customWidth="1"/>
    <col min="774" max="774" width="12.54296875" style="31" customWidth="1"/>
    <col min="775" max="779" width="13.6328125" style="31" customWidth="1"/>
    <col min="780" max="780" width="13.453125" style="31" customWidth="1"/>
    <col min="781" max="1024" width="8.90625" style="31"/>
    <col min="1025" max="1025" width="0" style="31" hidden="1" customWidth="1"/>
    <col min="1026" max="1026" width="25.54296875" style="31" customWidth="1"/>
    <col min="1027" max="1027" width="17" style="31" customWidth="1"/>
    <col min="1028" max="1028" width="11.453125" style="31" customWidth="1"/>
    <col min="1029" max="1029" width="14.453125" style="31" customWidth="1"/>
    <col min="1030" max="1030" width="12.54296875" style="31" customWidth="1"/>
    <col min="1031" max="1035" width="13.6328125" style="31" customWidth="1"/>
    <col min="1036" max="1036" width="13.453125" style="31" customWidth="1"/>
    <col min="1037" max="1280" width="8.90625" style="31"/>
    <col min="1281" max="1281" width="0" style="31" hidden="1" customWidth="1"/>
    <col min="1282" max="1282" width="25.54296875" style="31" customWidth="1"/>
    <col min="1283" max="1283" width="17" style="31" customWidth="1"/>
    <col min="1284" max="1284" width="11.453125" style="31" customWidth="1"/>
    <col min="1285" max="1285" width="14.453125" style="31" customWidth="1"/>
    <col min="1286" max="1286" width="12.54296875" style="31" customWidth="1"/>
    <col min="1287" max="1291" width="13.6328125" style="31" customWidth="1"/>
    <col min="1292" max="1292" width="13.453125" style="31" customWidth="1"/>
    <col min="1293" max="1536" width="8.90625" style="31"/>
    <col min="1537" max="1537" width="0" style="31" hidden="1" customWidth="1"/>
    <col min="1538" max="1538" width="25.54296875" style="31" customWidth="1"/>
    <col min="1539" max="1539" width="17" style="31" customWidth="1"/>
    <col min="1540" max="1540" width="11.453125" style="31" customWidth="1"/>
    <col min="1541" max="1541" width="14.453125" style="31" customWidth="1"/>
    <col min="1542" max="1542" width="12.54296875" style="31" customWidth="1"/>
    <col min="1543" max="1547" width="13.6328125" style="31" customWidth="1"/>
    <col min="1548" max="1548" width="13.453125" style="31" customWidth="1"/>
    <col min="1549" max="1792" width="8.90625" style="31"/>
    <col min="1793" max="1793" width="0" style="31" hidden="1" customWidth="1"/>
    <col min="1794" max="1794" width="25.54296875" style="31" customWidth="1"/>
    <col min="1795" max="1795" width="17" style="31" customWidth="1"/>
    <col min="1796" max="1796" width="11.453125" style="31" customWidth="1"/>
    <col min="1797" max="1797" width="14.453125" style="31" customWidth="1"/>
    <col min="1798" max="1798" width="12.54296875" style="31" customWidth="1"/>
    <col min="1799" max="1803" width="13.6328125" style="31" customWidth="1"/>
    <col min="1804" max="1804" width="13.453125" style="31" customWidth="1"/>
    <col min="1805" max="2048" width="8.90625" style="31"/>
    <col min="2049" max="2049" width="0" style="31" hidden="1" customWidth="1"/>
    <col min="2050" max="2050" width="25.54296875" style="31" customWidth="1"/>
    <col min="2051" max="2051" width="17" style="31" customWidth="1"/>
    <col min="2052" max="2052" width="11.453125" style="31" customWidth="1"/>
    <col min="2053" max="2053" width="14.453125" style="31" customWidth="1"/>
    <col min="2054" max="2054" width="12.54296875" style="31" customWidth="1"/>
    <col min="2055" max="2059" width="13.6328125" style="31" customWidth="1"/>
    <col min="2060" max="2060" width="13.453125" style="31" customWidth="1"/>
    <col min="2061" max="2304" width="8.90625" style="31"/>
    <col min="2305" max="2305" width="0" style="31" hidden="1" customWidth="1"/>
    <col min="2306" max="2306" width="25.54296875" style="31" customWidth="1"/>
    <col min="2307" max="2307" width="17" style="31" customWidth="1"/>
    <col min="2308" max="2308" width="11.453125" style="31" customWidth="1"/>
    <col min="2309" max="2309" width="14.453125" style="31" customWidth="1"/>
    <col min="2310" max="2310" width="12.54296875" style="31" customWidth="1"/>
    <col min="2311" max="2315" width="13.6328125" style="31" customWidth="1"/>
    <col min="2316" max="2316" width="13.453125" style="31" customWidth="1"/>
    <col min="2317" max="2560" width="8.90625" style="31"/>
    <col min="2561" max="2561" width="0" style="31" hidden="1" customWidth="1"/>
    <col min="2562" max="2562" width="25.54296875" style="31" customWidth="1"/>
    <col min="2563" max="2563" width="17" style="31" customWidth="1"/>
    <col min="2564" max="2564" width="11.453125" style="31" customWidth="1"/>
    <col min="2565" max="2565" width="14.453125" style="31" customWidth="1"/>
    <col min="2566" max="2566" width="12.54296875" style="31" customWidth="1"/>
    <col min="2567" max="2571" width="13.6328125" style="31" customWidth="1"/>
    <col min="2572" max="2572" width="13.453125" style="31" customWidth="1"/>
    <col min="2573" max="2816" width="8.90625" style="31"/>
    <col min="2817" max="2817" width="0" style="31" hidden="1" customWidth="1"/>
    <col min="2818" max="2818" width="25.54296875" style="31" customWidth="1"/>
    <col min="2819" max="2819" width="17" style="31" customWidth="1"/>
    <col min="2820" max="2820" width="11.453125" style="31" customWidth="1"/>
    <col min="2821" max="2821" width="14.453125" style="31" customWidth="1"/>
    <col min="2822" max="2822" width="12.54296875" style="31" customWidth="1"/>
    <col min="2823" max="2827" width="13.6328125" style="31" customWidth="1"/>
    <col min="2828" max="2828" width="13.453125" style="31" customWidth="1"/>
    <col min="2829" max="3072" width="8.90625" style="31"/>
    <col min="3073" max="3073" width="0" style="31" hidden="1" customWidth="1"/>
    <col min="3074" max="3074" width="25.54296875" style="31" customWidth="1"/>
    <col min="3075" max="3075" width="17" style="31" customWidth="1"/>
    <col min="3076" max="3076" width="11.453125" style="31" customWidth="1"/>
    <col min="3077" max="3077" width="14.453125" style="31" customWidth="1"/>
    <col min="3078" max="3078" width="12.54296875" style="31" customWidth="1"/>
    <col min="3079" max="3083" width="13.6328125" style="31" customWidth="1"/>
    <col min="3084" max="3084" width="13.453125" style="31" customWidth="1"/>
    <col min="3085" max="3328" width="8.90625" style="31"/>
    <col min="3329" max="3329" width="0" style="31" hidden="1" customWidth="1"/>
    <col min="3330" max="3330" width="25.54296875" style="31" customWidth="1"/>
    <col min="3331" max="3331" width="17" style="31" customWidth="1"/>
    <col min="3332" max="3332" width="11.453125" style="31" customWidth="1"/>
    <col min="3333" max="3333" width="14.453125" style="31" customWidth="1"/>
    <col min="3334" max="3334" width="12.54296875" style="31" customWidth="1"/>
    <col min="3335" max="3339" width="13.6328125" style="31" customWidth="1"/>
    <col min="3340" max="3340" width="13.453125" style="31" customWidth="1"/>
    <col min="3341" max="3584" width="8.90625" style="31"/>
    <col min="3585" max="3585" width="0" style="31" hidden="1" customWidth="1"/>
    <col min="3586" max="3586" width="25.54296875" style="31" customWidth="1"/>
    <col min="3587" max="3587" width="17" style="31" customWidth="1"/>
    <col min="3588" max="3588" width="11.453125" style="31" customWidth="1"/>
    <col min="3589" max="3589" width="14.453125" style="31" customWidth="1"/>
    <col min="3590" max="3590" width="12.54296875" style="31" customWidth="1"/>
    <col min="3591" max="3595" width="13.6328125" style="31" customWidth="1"/>
    <col min="3596" max="3596" width="13.453125" style="31" customWidth="1"/>
    <col min="3597" max="3840" width="8.90625" style="31"/>
    <col min="3841" max="3841" width="0" style="31" hidden="1" customWidth="1"/>
    <col min="3842" max="3842" width="25.54296875" style="31" customWidth="1"/>
    <col min="3843" max="3843" width="17" style="31" customWidth="1"/>
    <col min="3844" max="3844" width="11.453125" style="31" customWidth="1"/>
    <col min="3845" max="3845" width="14.453125" style="31" customWidth="1"/>
    <col min="3846" max="3846" width="12.54296875" style="31" customWidth="1"/>
    <col min="3847" max="3851" width="13.6328125" style="31" customWidth="1"/>
    <col min="3852" max="3852" width="13.453125" style="31" customWidth="1"/>
    <col min="3853" max="4096" width="8.90625" style="31"/>
    <col min="4097" max="4097" width="0" style="31" hidden="1" customWidth="1"/>
    <col min="4098" max="4098" width="25.54296875" style="31" customWidth="1"/>
    <col min="4099" max="4099" width="17" style="31" customWidth="1"/>
    <col min="4100" max="4100" width="11.453125" style="31" customWidth="1"/>
    <col min="4101" max="4101" width="14.453125" style="31" customWidth="1"/>
    <col min="4102" max="4102" width="12.54296875" style="31" customWidth="1"/>
    <col min="4103" max="4107" width="13.6328125" style="31" customWidth="1"/>
    <col min="4108" max="4108" width="13.453125" style="31" customWidth="1"/>
    <col min="4109" max="4352" width="8.90625" style="31"/>
    <col min="4353" max="4353" width="0" style="31" hidden="1" customWidth="1"/>
    <col min="4354" max="4354" width="25.54296875" style="31" customWidth="1"/>
    <col min="4355" max="4355" width="17" style="31" customWidth="1"/>
    <col min="4356" max="4356" width="11.453125" style="31" customWidth="1"/>
    <col min="4357" max="4357" width="14.453125" style="31" customWidth="1"/>
    <col min="4358" max="4358" width="12.54296875" style="31" customWidth="1"/>
    <col min="4359" max="4363" width="13.6328125" style="31" customWidth="1"/>
    <col min="4364" max="4364" width="13.453125" style="31" customWidth="1"/>
    <col min="4365" max="4608" width="8.90625" style="31"/>
    <col min="4609" max="4609" width="0" style="31" hidden="1" customWidth="1"/>
    <col min="4610" max="4610" width="25.54296875" style="31" customWidth="1"/>
    <col min="4611" max="4611" width="17" style="31" customWidth="1"/>
    <col min="4612" max="4612" width="11.453125" style="31" customWidth="1"/>
    <col min="4613" max="4613" width="14.453125" style="31" customWidth="1"/>
    <col min="4614" max="4614" width="12.54296875" style="31" customWidth="1"/>
    <col min="4615" max="4619" width="13.6328125" style="31" customWidth="1"/>
    <col min="4620" max="4620" width="13.453125" style="31" customWidth="1"/>
    <col min="4621" max="4864" width="8.90625" style="31"/>
    <col min="4865" max="4865" width="0" style="31" hidden="1" customWidth="1"/>
    <col min="4866" max="4866" width="25.54296875" style="31" customWidth="1"/>
    <col min="4867" max="4867" width="17" style="31" customWidth="1"/>
    <col min="4868" max="4868" width="11.453125" style="31" customWidth="1"/>
    <col min="4869" max="4869" width="14.453125" style="31" customWidth="1"/>
    <col min="4870" max="4870" width="12.54296875" style="31" customWidth="1"/>
    <col min="4871" max="4875" width="13.6328125" style="31" customWidth="1"/>
    <col min="4876" max="4876" width="13.453125" style="31" customWidth="1"/>
    <col min="4877" max="5120" width="8.90625" style="31"/>
    <col min="5121" max="5121" width="0" style="31" hidden="1" customWidth="1"/>
    <col min="5122" max="5122" width="25.54296875" style="31" customWidth="1"/>
    <col min="5123" max="5123" width="17" style="31" customWidth="1"/>
    <col min="5124" max="5124" width="11.453125" style="31" customWidth="1"/>
    <col min="5125" max="5125" width="14.453125" style="31" customWidth="1"/>
    <col min="5126" max="5126" width="12.54296875" style="31" customWidth="1"/>
    <col min="5127" max="5131" width="13.6328125" style="31" customWidth="1"/>
    <col min="5132" max="5132" width="13.453125" style="31" customWidth="1"/>
    <col min="5133" max="5376" width="8.90625" style="31"/>
    <col min="5377" max="5377" width="0" style="31" hidden="1" customWidth="1"/>
    <col min="5378" max="5378" width="25.54296875" style="31" customWidth="1"/>
    <col min="5379" max="5379" width="17" style="31" customWidth="1"/>
    <col min="5380" max="5380" width="11.453125" style="31" customWidth="1"/>
    <col min="5381" max="5381" width="14.453125" style="31" customWidth="1"/>
    <col min="5382" max="5382" width="12.54296875" style="31" customWidth="1"/>
    <col min="5383" max="5387" width="13.6328125" style="31" customWidth="1"/>
    <col min="5388" max="5388" width="13.453125" style="31" customWidth="1"/>
    <col min="5389" max="5632" width="8.90625" style="31"/>
    <col min="5633" max="5633" width="0" style="31" hidden="1" customWidth="1"/>
    <col min="5634" max="5634" width="25.54296875" style="31" customWidth="1"/>
    <col min="5635" max="5635" width="17" style="31" customWidth="1"/>
    <col min="5636" max="5636" width="11.453125" style="31" customWidth="1"/>
    <col min="5637" max="5637" width="14.453125" style="31" customWidth="1"/>
    <col min="5638" max="5638" width="12.54296875" style="31" customWidth="1"/>
    <col min="5639" max="5643" width="13.6328125" style="31" customWidth="1"/>
    <col min="5644" max="5644" width="13.453125" style="31" customWidth="1"/>
    <col min="5645" max="5888" width="8.90625" style="31"/>
    <col min="5889" max="5889" width="0" style="31" hidden="1" customWidth="1"/>
    <col min="5890" max="5890" width="25.54296875" style="31" customWidth="1"/>
    <col min="5891" max="5891" width="17" style="31" customWidth="1"/>
    <col min="5892" max="5892" width="11.453125" style="31" customWidth="1"/>
    <col min="5893" max="5893" width="14.453125" style="31" customWidth="1"/>
    <col min="5894" max="5894" width="12.54296875" style="31" customWidth="1"/>
    <col min="5895" max="5899" width="13.6328125" style="31" customWidth="1"/>
    <col min="5900" max="5900" width="13.453125" style="31" customWidth="1"/>
    <col min="5901" max="6144" width="8.90625" style="31"/>
    <col min="6145" max="6145" width="0" style="31" hidden="1" customWidth="1"/>
    <col min="6146" max="6146" width="25.54296875" style="31" customWidth="1"/>
    <col min="6147" max="6147" width="17" style="31" customWidth="1"/>
    <col min="6148" max="6148" width="11.453125" style="31" customWidth="1"/>
    <col min="6149" max="6149" width="14.453125" style="31" customWidth="1"/>
    <col min="6150" max="6150" width="12.54296875" style="31" customWidth="1"/>
    <col min="6151" max="6155" width="13.6328125" style="31" customWidth="1"/>
    <col min="6156" max="6156" width="13.453125" style="31" customWidth="1"/>
    <col min="6157" max="6400" width="8.90625" style="31"/>
    <col min="6401" max="6401" width="0" style="31" hidden="1" customWidth="1"/>
    <col min="6402" max="6402" width="25.54296875" style="31" customWidth="1"/>
    <col min="6403" max="6403" width="17" style="31" customWidth="1"/>
    <col min="6404" max="6404" width="11.453125" style="31" customWidth="1"/>
    <col min="6405" max="6405" width="14.453125" style="31" customWidth="1"/>
    <col min="6406" max="6406" width="12.54296875" style="31" customWidth="1"/>
    <col min="6407" max="6411" width="13.6328125" style="31" customWidth="1"/>
    <col min="6412" max="6412" width="13.453125" style="31" customWidth="1"/>
    <col min="6413" max="6656" width="8.90625" style="31"/>
    <col min="6657" max="6657" width="0" style="31" hidden="1" customWidth="1"/>
    <col min="6658" max="6658" width="25.54296875" style="31" customWidth="1"/>
    <col min="6659" max="6659" width="17" style="31" customWidth="1"/>
    <col min="6660" max="6660" width="11.453125" style="31" customWidth="1"/>
    <col min="6661" max="6661" width="14.453125" style="31" customWidth="1"/>
    <col min="6662" max="6662" width="12.54296875" style="31" customWidth="1"/>
    <col min="6663" max="6667" width="13.6328125" style="31" customWidth="1"/>
    <col min="6668" max="6668" width="13.453125" style="31" customWidth="1"/>
    <col min="6669" max="6912" width="8.90625" style="31"/>
    <col min="6913" max="6913" width="0" style="31" hidden="1" customWidth="1"/>
    <col min="6914" max="6914" width="25.54296875" style="31" customWidth="1"/>
    <col min="6915" max="6915" width="17" style="31" customWidth="1"/>
    <col min="6916" max="6916" width="11.453125" style="31" customWidth="1"/>
    <col min="6917" max="6917" width="14.453125" style="31" customWidth="1"/>
    <col min="6918" max="6918" width="12.54296875" style="31" customWidth="1"/>
    <col min="6919" max="6923" width="13.6328125" style="31" customWidth="1"/>
    <col min="6924" max="6924" width="13.453125" style="31" customWidth="1"/>
    <col min="6925" max="7168" width="8.90625" style="31"/>
    <col min="7169" max="7169" width="0" style="31" hidden="1" customWidth="1"/>
    <col min="7170" max="7170" width="25.54296875" style="31" customWidth="1"/>
    <col min="7171" max="7171" width="17" style="31" customWidth="1"/>
    <col min="7172" max="7172" width="11.453125" style="31" customWidth="1"/>
    <col min="7173" max="7173" width="14.453125" style="31" customWidth="1"/>
    <col min="7174" max="7174" width="12.54296875" style="31" customWidth="1"/>
    <col min="7175" max="7179" width="13.6328125" style="31" customWidth="1"/>
    <col min="7180" max="7180" width="13.453125" style="31" customWidth="1"/>
    <col min="7181" max="7424" width="8.90625" style="31"/>
    <col min="7425" max="7425" width="0" style="31" hidden="1" customWidth="1"/>
    <col min="7426" max="7426" width="25.54296875" style="31" customWidth="1"/>
    <col min="7427" max="7427" width="17" style="31" customWidth="1"/>
    <col min="7428" max="7428" width="11.453125" style="31" customWidth="1"/>
    <col min="7429" max="7429" width="14.453125" style="31" customWidth="1"/>
    <col min="7430" max="7430" width="12.54296875" style="31" customWidth="1"/>
    <col min="7431" max="7435" width="13.6328125" style="31" customWidth="1"/>
    <col min="7436" max="7436" width="13.453125" style="31" customWidth="1"/>
    <col min="7437" max="7680" width="8.90625" style="31"/>
    <col min="7681" max="7681" width="0" style="31" hidden="1" customWidth="1"/>
    <col min="7682" max="7682" width="25.54296875" style="31" customWidth="1"/>
    <col min="7683" max="7683" width="17" style="31" customWidth="1"/>
    <col min="7684" max="7684" width="11.453125" style="31" customWidth="1"/>
    <col min="7685" max="7685" width="14.453125" style="31" customWidth="1"/>
    <col min="7686" max="7686" width="12.54296875" style="31" customWidth="1"/>
    <col min="7687" max="7691" width="13.6328125" style="31" customWidth="1"/>
    <col min="7692" max="7692" width="13.453125" style="31" customWidth="1"/>
    <col min="7693" max="7936" width="8.90625" style="31"/>
    <col min="7937" max="7937" width="0" style="31" hidden="1" customWidth="1"/>
    <col min="7938" max="7938" width="25.54296875" style="31" customWidth="1"/>
    <col min="7939" max="7939" width="17" style="31" customWidth="1"/>
    <col min="7940" max="7940" width="11.453125" style="31" customWidth="1"/>
    <col min="7941" max="7941" width="14.453125" style="31" customWidth="1"/>
    <col min="7942" max="7942" width="12.54296875" style="31" customWidth="1"/>
    <col min="7943" max="7947" width="13.6328125" style="31" customWidth="1"/>
    <col min="7948" max="7948" width="13.453125" style="31" customWidth="1"/>
    <col min="7949" max="8192" width="8.90625" style="31"/>
    <col min="8193" max="8193" width="0" style="31" hidden="1" customWidth="1"/>
    <col min="8194" max="8194" width="25.54296875" style="31" customWidth="1"/>
    <col min="8195" max="8195" width="17" style="31" customWidth="1"/>
    <col min="8196" max="8196" width="11.453125" style="31" customWidth="1"/>
    <col min="8197" max="8197" width="14.453125" style="31" customWidth="1"/>
    <col min="8198" max="8198" width="12.54296875" style="31" customWidth="1"/>
    <col min="8199" max="8203" width="13.6328125" style="31" customWidth="1"/>
    <col min="8204" max="8204" width="13.453125" style="31" customWidth="1"/>
    <col min="8205" max="8448" width="8.90625" style="31"/>
    <col min="8449" max="8449" width="0" style="31" hidden="1" customWidth="1"/>
    <col min="8450" max="8450" width="25.54296875" style="31" customWidth="1"/>
    <col min="8451" max="8451" width="17" style="31" customWidth="1"/>
    <col min="8452" max="8452" width="11.453125" style="31" customWidth="1"/>
    <col min="8453" max="8453" width="14.453125" style="31" customWidth="1"/>
    <col min="8454" max="8454" width="12.54296875" style="31" customWidth="1"/>
    <col min="8455" max="8459" width="13.6328125" style="31" customWidth="1"/>
    <col min="8460" max="8460" width="13.453125" style="31" customWidth="1"/>
    <col min="8461" max="8704" width="8.90625" style="31"/>
    <col min="8705" max="8705" width="0" style="31" hidden="1" customWidth="1"/>
    <col min="8706" max="8706" width="25.54296875" style="31" customWidth="1"/>
    <col min="8707" max="8707" width="17" style="31" customWidth="1"/>
    <col min="8708" max="8708" width="11.453125" style="31" customWidth="1"/>
    <col min="8709" max="8709" width="14.453125" style="31" customWidth="1"/>
    <col min="8710" max="8710" width="12.54296875" style="31" customWidth="1"/>
    <col min="8711" max="8715" width="13.6328125" style="31" customWidth="1"/>
    <col min="8716" max="8716" width="13.453125" style="31" customWidth="1"/>
    <col min="8717" max="8960" width="8.90625" style="31"/>
    <col min="8961" max="8961" width="0" style="31" hidden="1" customWidth="1"/>
    <col min="8962" max="8962" width="25.54296875" style="31" customWidth="1"/>
    <col min="8963" max="8963" width="17" style="31" customWidth="1"/>
    <col min="8964" max="8964" width="11.453125" style="31" customWidth="1"/>
    <col min="8965" max="8965" width="14.453125" style="31" customWidth="1"/>
    <col min="8966" max="8966" width="12.54296875" style="31" customWidth="1"/>
    <col min="8967" max="8971" width="13.6328125" style="31" customWidth="1"/>
    <col min="8972" max="8972" width="13.453125" style="31" customWidth="1"/>
    <col min="8973" max="9216" width="8.90625" style="31"/>
    <col min="9217" max="9217" width="0" style="31" hidden="1" customWidth="1"/>
    <col min="9218" max="9218" width="25.54296875" style="31" customWidth="1"/>
    <col min="9219" max="9219" width="17" style="31" customWidth="1"/>
    <col min="9220" max="9220" width="11.453125" style="31" customWidth="1"/>
    <col min="9221" max="9221" width="14.453125" style="31" customWidth="1"/>
    <col min="9222" max="9222" width="12.54296875" style="31" customWidth="1"/>
    <col min="9223" max="9227" width="13.6328125" style="31" customWidth="1"/>
    <col min="9228" max="9228" width="13.453125" style="31" customWidth="1"/>
    <col min="9229" max="9472" width="8.90625" style="31"/>
    <col min="9473" max="9473" width="0" style="31" hidden="1" customWidth="1"/>
    <col min="9474" max="9474" width="25.54296875" style="31" customWidth="1"/>
    <col min="9475" max="9475" width="17" style="31" customWidth="1"/>
    <col min="9476" max="9476" width="11.453125" style="31" customWidth="1"/>
    <col min="9477" max="9477" width="14.453125" style="31" customWidth="1"/>
    <col min="9478" max="9478" width="12.54296875" style="31" customWidth="1"/>
    <col min="9479" max="9483" width="13.6328125" style="31" customWidth="1"/>
    <col min="9484" max="9484" width="13.453125" style="31" customWidth="1"/>
    <col min="9485" max="9728" width="8.90625" style="31"/>
    <col min="9729" max="9729" width="0" style="31" hidden="1" customWidth="1"/>
    <col min="9730" max="9730" width="25.54296875" style="31" customWidth="1"/>
    <col min="9731" max="9731" width="17" style="31" customWidth="1"/>
    <col min="9732" max="9732" width="11.453125" style="31" customWidth="1"/>
    <col min="9733" max="9733" width="14.453125" style="31" customWidth="1"/>
    <col min="9734" max="9734" width="12.54296875" style="31" customWidth="1"/>
    <col min="9735" max="9739" width="13.6328125" style="31" customWidth="1"/>
    <col min="9740" max="9740" width="13.453125" style="31" customWidth="1"/>
    <col min="9741" max="9984" width="8.90625" style="31"/>
    <col min="9985" max="9985" width="0" style="31" hidden="1" customWidth="1"/>
    <col min="9986" max="9986" width="25.54296875" style="31" customWidth="1"/>
    <col min="9987" max="9987" width="17" style="31" customWidth="1"/>
    <col min="9988" max="9988" width="11.453125" style="31" customWidth="1"/>
    <col min="9989" max="9989" width="14.453125" style="31" customWidth="1"/>
    <col min="9990" max="9990" width="12.54296875" style="31" customWidth="1"/>
    <col min="9991" max="9995" width="13.6328125" style="31" customWidth="1"/>
    <col min="9996" max="9996" width="13.453125" style="31" customWidth="1"/>
    <col min="9997" max="10240" width="8.90625" style="31"/>
    <col min="10241" max="10241" width="0" style="31" hidden="1" customWidth="1"/>
    <col min="10242" max="10242" width="25.54296875" style="31" customWidth="1"/>
    <col min="10243" max="10243" width="17" style="31" customWidth="1"/>
    <col min="10244" max="10244" width="11.453125" style="31" customWidth="1"/>
    <col min="10245" max="10245" width="14.453125" style="31" customWidth="1"/>
    <col min="10246" max="10246" width="12.54296875" style="31" customWidth="1"/>
    <col min="10247" max="10251" width="13.6328125" style="31" customWidth="1"/>
    <col min="10252" max="10252" width="13.453125" style="31" customWidth="1"/>
    <col min="10253" max="10496" width="8.90625" style="31"/>
    <col min="10497" max="10497" width="0" style="31" hidden="1" customWidth="1"/>
    <col min="10498" max="10498" width="25.54296875" style="31" customWidth="1"/>
    <col min="10499" max="10499" width="17" style="31" customWidth="1"/>
    <col min="10500" max="10500" width="11.453125" style="31" customWidth="1"/>
    <col min="10501" max="10501" width="14.453125" style="31" customWidth="1"/>
    <col min="10502" max="10502" width="12.54296875" style="31" customWidth="1"/>
    <col min="10503" max="10507" width="13.6328125" style="31" customWidth="1"/>
    <col min="10508" max="10508" width="13.453125" style="31" customWidth="1"/>
    <col min="10509" max="10752" width="8.90625" style="31"/>
    <col min="10753" max="10753" width="0" style="31" hidden="1" customWidth="1"/>
    <col min="10754" max="10754" width="25.54296875" style="31" customWidth="1"/>
    <col min="10755" max="10755" width="17" style="31" customWidth="1"/>
    <col min="10756" max="10756" width="11.453125" style="31" customWidth="1"/>
    <col min="10757" max="10757" width="14.453125" style="31" customWidth="1"/>
    <col min="10758" max="10758" width="12.54296875" style="31" customWidth="1"/>
    <col min="10759" max="10763" width="13.6328125" style="31" customWidth="1"/>
    <col min="10764" max="10764" width="13.453125" style="31" customWidth="1"/>
    <col min="10765" max="11008" width="8.90625" style="31"/>
    <col min="11009" max="11009" width="0" style="31" hidden="1" customWidth="1"/>
    <col min="11010" max="11010" width="25.54296875" style="31" customWidth="1"/>
    <col min="11011" max="11011" width="17" style="31" customWidth="1"/>
    <col min="11012" max="11012" width="11.453125" style="31" customWidth="1"/>
    <col min="11013" max="11013" width="14.453125" style="31" customWidth="1"/>
    <col min="11014" max="11014" width="12.54296875" style="31" customWidth="1"/>
    <col min="11015" max="11019" width="13.6328125" style="31" customWidth="1"/>
    <col min="11020" max="11020" width="13.453125" style="31" customWidth="1"/>
    <col min="11021" max="11264" width="8.90625" style="31"/>
    <col min="11265" max="11265" width="0" style="31" hidden="1" customWidth="1"/>
    <col min="11266" max="11266" width="25.54296875" style="31" customWidth="1"/>
    <col min="11267" max="11267" width="17" style="31" customWidth="1"/>
    <col min="11268" max="11268" width="11.453125" style="31" customWidth="1"/>
    <col min="11269" max="11269" width="14.453125" style="31" customWidth="1"/>
    <col min="11270" max="11270" width="12.54296875" style="31" customWidth="1"/>
    <col min="11271" max="11275" width="13.6328125" style="31" customWidth="1"/>
    <col min="11276" max="11276" width="13.453125" style="31" customWidth="1"/>
    <col min="11277" max="11520" width="8.90625" style="31"/>
    <col min="11521" max="11521" width="0" style="31" hidden="1" customWidth="1"/>
    <col min="11522" max="11522" width="25.54296875" style="31" customWidth="1"/>
    <col min="11523" max="11523" width="17" style="31" customWidth="1"/>
    <col min="11524" max="11524" width="11.453125" style="31" customWidth="1"/>
    <col min="11525" max="11525" width="14.453125" style="31" customWidth="1"/>
    <col min="11526" max="11526" width="12.54296875" style="31" customWidth="1"/>
    <col min="11527" max="11531" width="13.6328125" style="31" customWidth="1"/>
    <col min="11532" max="11532" width="13.453125" style="31" customWidth="1"/>
    <col min="11533" max="11776" width="8.90625" style="31"/>
    <col min="11777" max="11777" width="0" style="31" hidden="1" customWidth="1"/>
    <col min="11778" max="11778" width="25.54296875" style="31" customWidth="1"/>
    <col min="11779" max="11779" width="17" style="31" customWidth="1"/>
    <col min="11780" max="11780" width="11.453125" style="31" customWidth="1"/>
    <col min="11781" max="11781" width="14.453125" style="31" customWidth="1"/>
    <col min="11782" max="11782" width="12.54296875" style="31" customWidth="1"/>
    <col min="11783" max="11787" width="13.6328125" style="31" customWidth="1"/>
    <col min="11788" max="11788" width="13.453125" style="31" customWidth="1"/>
    <col min="11789" max="12032" width="8.90625" style="31"/>
    <col min="12033" max="12033" width="0" style="31" hidden="1" customWidth="1"/>
    <col min="12034" max="12034" width="25.54296875" style="31" customWidth="1"/>
    <col min="12035" max="12035" width="17" style="31" customWidth="1"/>
    <col min="12036" max="12036" width="11.453125" style="31" customWidth="1"/>
    <col min="12037" max="12037" width="14.453125" style="31" customWidth="1"/>
    <col min="12038" max="12038" width="12.54296875" style="31" customWidth="1"/>
    <col min="12039" max="12043" width="13.6328125" style="31" customWidth="1"/>
    <col min="12044" max="12044" width="13.453125" style="31" customWidth="1"/>
    <col min="12045" max="12288" width="8.90625" style="31"/>
    <col min="12289" max="12289" width="0" style="31" hidden="1" customWidth="1"/>
    <col min="12290" max="12290" width="25.54296875" style="31" customWidth="1"/>
    <col min="12291" max="12291" width="17" style="31" customWidth="1"/>
    <col min="12292" max="12292" width="11.453125" style="31" customWidth="1"/>
    <col min="12293" max="12293" width="14.453125" style="31" customWidth="1"/>
    <col min="12294" max="12294" width="12.54296875" style="31" customWidth="1"/>
    <col min="12295" max="12299" width="13.6328125" style="31" customWidth="1"/>
    <col min="12300" max="12300" width="13.453125" style="31" customWidth="1"/>
    <col min="12301" max="12544" width="8.90625" style="31"/>
    <col min="12545" max="12545" width="0" style="31" hidden="1" customWidth="1"/>
    <col min="12546" max="12546" width="25.54296875" style="31" customWidth="1"/>
    <col min="12547" max="12547" width="17" style="31" customWidth="1"/>
    <col min="12548" max="12548" width="11.453125" style="31" customWidth="1"/>
    <col min="12549" max="12549" width="14.453125" style="31" customWidth="1"/>
    <col min="12550" max="12550" width="12.54296875" style="31" customWidth="1"/>
    <col min="12551" max="12555" width="13.6328125" style="31" customWidth="1"/>
    <col min="12556" max="12556" width="13.453125" style="31" customWidth="1"/>
    <col min="12557" max="12800" width="8.90625" style="31"/>
    <col min="12801" max="12801" width="0" style="31" hidden="1" customWidth="1"/>
    <col min="12802" max="12802" width="25.54296875" style="31" customWidth="1"/>
    <col min="12803" max="12803" width="17" style="31" customWidth="1"/>
    <col min="12804" max="12804" width="11.453125" style="31" customWidth="1"/>
    <col min="12805" max="12805" width="14.453125" style="31" customWidth="1"/>
    <col min="12806" max="12806" width="12.54296875" style="31" customWidth="1"/>
    <col min="12807" max="12811" width="13.6328125" style="31" customWidth="1"/>
    <col min="12812" max="12812" width="13.453125" style="31" customWidth="1"/>
    <col min="12813" max="13056" width="8.90625" style="31"/>
    <col min="13057" max="13057" width="0" style="31" hidden="1" customWidth="1"/>
    <col min="13058" max="13058" width="25.54296875" style="31" customWidth="1"/>
    <col min="13059" max="13059" width="17" style="31" customWidth="1"/>
    <col min="13060" max="13060" width="11.453125" style="31" customWidth="1"/>
    <col min="13061" max="13061" width="14.453125" style="31" customWidth="1"/>
    <col min="13062" max="13062" width="12.54296875" style="31" customWidth="1"/>
    <col min="13063" max="13067" width="13.6328125" style="31" customWidth="1"/>
    <col min="13068" max="13068" width="13.453125" style="31" customWidth="1"/>
    <col min="13069" max="13312" width="8.90625" style="31"/>
    <col min="13313" max="13313" width="0" style="31" hidden="1" customWidth="1"/>
    <col min="13314" max="13314" width="25.54296875" style="31" customWidth="1"/>
    <col min="13315" max="13315" width="17" style="31" customWidth="1"/>
    <col min="13316" max="13316" width="11.453125" style="31" customWidth="1"/>
    <col min="13317" max="13317" width="14.453125" style="31" customWidth="1"/>
    <col min="13318" max="13318" width="12.54296875" style="31" customWidth="1"/>
    <col min="13319" max="13323" width="13.6328125" style="31" customWidth="1"/>
    <col min="13324" max="13324" width="13.453125" style="31" customWidth="1"/>
    <col min="13325" max="13568" width="8.90625" style="31"/>
    <col min="13569" max="13569" width="0" style="31" hidden="1" customWidth="1"/>
    <col min="13570" max="13570" width="25.54296875" style="31" customWidth="1"/>
    <col min="13571" max="13571" width="17" style="31" customWidth="1"/>
    <col min="13572" max="13572" width="11.453125" style="31" customWidth="1"/>
    <col min="13573" max="13573" width="14.453125" style="31" customWidth="1"/>
    <col min="13574" max="13574" width="12.54296875" style="31" customWidth="1"/>
    <col min="13575" max="13579" width="13.6328125" style="31" customWidth="1"/>
    <col min="13580" max="13580" width="13.453125" style="31" customWidth="1"/>
    <col min="13581" max="13824" width="8.90625" style="31"/>
    <col min="13825" max="13825" width="0" style="31" hidden="1" customWidth="1"/>
    <col min="13826" max="13826" width="25.54296875" style="31" customWidth="1"/>
    <col min="13827" max="13827" width="17" style="31" customWidth="1"/>
    <col min="13828" max="13828" width="11.453125" style="31" customWidth="1"/>
    <col min="13829" max="13829" width="14.453125" style="31" customWidth="1"/>
    <col min="13830" max="13830" width="12.54296875" style="31" customWidth="1"/>
    <col min="13831" max="13835" width="13.6328125" style="31" customWidth="1"/>
    <col min="13836" max="13836" width="13.453125" style="31" customWidth="1"/>
    <col min="13837" max="14080" width="8.90625" style="31"/>
    <col min="14081" max="14081" width="0" style="31" hidden="1" customWidth="1"/>
    <col min="14082" max="14082" width="25.54296875" style="31" customWidth="1"/>
    <col min="14083" max="14083" width="17" style="31" customWidth="1"/>
    <col min="14084" max="14084" width="11.453125" style="31" customWidth="1"/>
    <col min="14085" max="14085" width="14.453125" style="31" customWidth="1"/>
    <col min="14086" max="14086" width="12.54296875" style="31" customWidth="1"/>
    <col min="14087" max="14091" width="13.6328125" style="31" customWidth="1"/>
    <col min="14092" max="14092" width="13.453125" style="31" customWidth="1"/>
    <col min="14093" max="14336" width="8.90625" style="31"/>
    <col min="14337" max="14337" width="0" style="31" hidden="1" customWidth="1"/>
    <col min="14338" max="14338" width="25.54296875" style="31" customWidth="1"/>
    <col min="14339" max="14339" width="17" style="31" customWidth="1"/>
    <col min="14340" max="14340" width="11.453125" style="31" customWidth="1"/>
    <col min="14341" max="14341" width="14.453125" style="31" customWidth="1"/>
    <col min="14342" max="14342" width="12.54296875" style="31" customWidth="1"/>
    <col min="14343" max="14347" width="13.6328125" style="31" customWidth="1"/>
    <col min="14348" max="14348" width="13.453125" style="31" customWidth="1"/>
    <col min="14349" max="14592" width="8.90625" style="31"/>
    <col min="14593" max="14593" width="0" style="31" hidden="1" customWidth="1"/>
    <col min="14594" max="14594" width="25.54296875" style="31" customWidth="1"/>
    <col min="14595" max="14595" width="17" style="31" customWidth="1"/>
    <col min="14596" max="14596" width="11.453125" style="31" customWidth="1"/>
    <col min="14597" max="14597" width="14.453125" style="31" customWidth="1"/>
    <col min="14598" max="14598" width="12.54296875" style="31" customWidth="1"/>
    <col min="14599" max="14603" width="13.6328125" style="31" customWidth="1"/>
    <col min="14604" max="14604" width="13.453125" style="31" customWidth="1"/>
    <col min="14605" max="14848" width="8.90625" style="31"/>
    <col min="14849" max="14849" width="0" style="31" hidden="1" customWidth="1"/>
    <col min="14850" max="14850" width="25.54296875" style="31" customWidth="1"/>
    <col min="14851" max="14851" width="17" style="31" customWidth="1"/>
    <col min="14852" max="14852" width="11.453125" style="31" customWidth="1"/>
    <col min="14853" max="14853" width="14.453125" style="31" customWidth="1"/>
    <col min="14854" max="14854" width="12.54296875" style="31" customWidth="1"/>
    <col min="14855" max="14859" width="13.6328125" style="31" customWidth="1"/>
    <col min="14860" max="14860" width="13.453125" style="31" customWidth="1"/>
    <col min="14861" max="15104" width="8.90625" style="31"/>
    <col min="15105" max="15105" width="0" style="31" hidden="1" customWidth="1"/>
    <col min="15106" max="15106" width="25.54296875" style="31" customWidth="1"/>
    <col min="15107" max="15107" width="17" style="31" customWidth="1"/>
    <col min="15108" max="15108" width="11.453125" style="31" customWidth="1"/>
    <col min="15109" max="15109" width="14.453125" style="31" customWidth="1"/>
    <col min="15110" max="15110" width="12.54296875" style="31" customWidth="1"/>
    <col min="15111" max="15115" width="13.6328125" style="31" customWidth="1"/>
    <col min="15116" max="15116" width="13.453125" style="31" customWidth="1"/>
    <col min="15117" max="15360" width="8.90625" style="31"/>
    <col min="15361" max="15361" width="0" style="31" hidden="1" customWidth="1"/>
    <col min="15362" max="15362" width="25.54296875" style="31" customWidth="1"/>
    <col min="15363" max="15363" width="17" style="31" customWidth="1"/>
    <col min="15364" max="15364" width="11.453125" style="31" customWidth="1"/>
    <col min="15365" max="15365" width="14.453125" style="31" customWidth="1"/>
    <col min="15366" max="15366" width="12.54296875" style="31" customWidth="1"/>
    <col min="15367" max="15371" width="13.6328125" style="31" customWidth="1"/>
    <col min="15372" max="15372" width="13.453125" style="31" customWidth="1"/>
    <col min="15373" max="15616" width="8.90625" style="31"/>
    <col min="15617" max="15617" width="0" style="31" hidden="1" customWidth="1"/>
    <col min="15618" max="15618" width="25.54296875" style="31" customWidth="1"/>
    <col min="15619" max="15619" width="17" style="31" customWidth="1"/>
    <col min="15620" max="15620" width="11.453125" style="31" customWidth="1"/>
    <col min="15621" max="15621" width="14.453125" style="31" customWidth="1"/>
    <col min="15622" max="15622" width="12.54296875" style="31" customWidth="1"/>
    <col min="15623" max="15627" width="13.6328125" style="31" customWidth="1"/>
    <col min="15628" max="15628" width="13.453125" style="31" customWidth="1"/>
    <col min="15629" max="15872" width="8.90625" style="31"/>
    <col min="15873" max="15873" width="0" style="31" hidden="1" customWidth="1"/>
    <col min="15874" max="15874" width="25.54296875" style="31" customWidth="1"/>
    <col min="15875" max="15875" width="17" style="31" customWidth="1"/>
    <col min="15876" max="15876" width="11.453125" style="31" customWidth="1"/>
    <col min="15877" max="15877" width="14.453125" style="31" customWidth="1"/>
    <col min="15878" max="15878" width="12.54296875" style="31" customWidth="1"/>
    <col min="15879" max="15883" width="13.6328125" style="31" customWidth="1"/>
    <col min="15884" max="15884" width="13.453125" style="31" customWidth="1"/>
    <col min="15885" max="16128" width="8.90625" style="31"/>
    <col min="16129" max="16129" width="0" style="31" hidden="1" customWidth="1"/>
    <col min="16130" max="16130" width="25.54296875" style="31" customWidth="1"/>
    <col min="16131" max="16131" width="17" style="31" customWidth="1"/>
    <col min="16132" max="16132" width="11.453125" style="31" customWidth="1"/>
    <col min="16133" max="16133" width="14.453125" style="31" customWidth="1"/>
    <col min="16134" max="16134" width="12.54296875" style="31" customWidth="1"/>
    <col min="16135" max="16139" width="13.6328125" style="31" customWidth="1"/>
    <col min="16140" max="16140" width="13.453125" style="31" customWidth="1"/>
    <col min="16141" max="16384" width="8.90625" style="31"/>
  </cols>
  <sheetData>
    <row r="2" spans="1:26" ht="40.5" customHeight="1" x14ac:dyDescent="0.3">
      <c r="B2" s="120" t="s">
        <v>66</v>
      </c>
      <c r="C2" s="121"/>
      <c r="D2" s="122"/>
      <c r="E2" s="122"/>
      <c r="F2" s="122"/>
      <c r="G2" s="122"/>
      <c r="H2" s="122"/>
      <c r="I2" s="122"/>
      <c r="J2" s="122"/>
      <c r="K2" s="122"/>
      <c r="L2" s="123"/>
    </row>
    <row r="3" spans="1:26" s="104" customFormat="1" ht="43.5" customHeight="1" x14ac:dyDescent="0.35">
      <c r="B3" s="125"/>
      <c r="C3" s="117" t="s">
        <v>67</v>
      </c>
      <c r="D3" s="117"/>
      <c r="E3" s="117"/>
      <c r="F3" s="111" t="s">
        <v>68</v>
      </c>
      <c r="G3" s="111" t="s">
        <v>69</v>
      </c>
      <c r="H3" s="111" t="s">
        <v>70</v>
      </c>
      <c r="I3" s="111" t="s">
        <v>71</v>
      </c>
      <c r="J3" s="111" t="s">
        <v>72</v>
      </c>
      <c r="K3" s="111" t="s">
        <v>73</v>
      </c>
      <c r="L3" s="111" t="s">
        <v>74</v>
      </c>
      <c r="M3" s="111"/>
    </row>
    <row r="4" spans="1:26" s="104" customFormat="1" ht="47.25" customHeight="1" x14ac:dyDescent="0.35">
      <c r="B4" s="116"/>
      <c r="C4" s="33" t="s">
        <v>75</v>
      </c>
      <c r="D4" s="33" t="s">
        <v>76</v>
      </c>
      <c r="E4" s="33" t="s">
        <v>77</v>
      </c>
      <c r="F4" s="112"/>
      <c r="G4" s="112"/>
      <c r="H4" s="112"/>
      <c r="I4" s="112"/>
      <c r="J4" s="112"/>
      <c r="K4" s="112"/>
      <c r="L4" s="112"/>
      <c r="M4" s="112"/>
    </row>
    <row r="5" spans="1:26" s="104" customFormat="1" ht="18" hidden="1" customHeight="1" x14ac:dyDescent="0.35">
      <c r="D5" s="34" t="s">
        <v>78</v>
      </c>
      <c r="E5" s="34" t="s">
        <v>79</v>
      </c>
      <c r="F5" s="35" t="s">
        <v>80</v>
      </c>
      <c r="G5" s="35" t="s">
        <v>81</v>
      </c>
      <c r="H5" s="34" t="s">
        <v>82</v>
      </c>
      <c r="I5" s="34" t="s">
        <v>83</v>
      </c>
      <c r="J5" s="36" t="s">
        <v>84</v>
      </c>
      <c r="K5" s="104" t="s">
        <v>85</v>
      </c>
      <c r="L5" s="104" t="s">
        <v>86</v>
      </c>
    </row>
    <row r="6" spans="1:26" s="104" customFormat="1" ht="25.5" customHeight="1" x14ac:dyDescent="0.35">
      <c r="B6" s="37" t="s">
        <v>0</v>
      </c>
      <c r="C6" s="38">
        <f>C7+C48</f>
        <v>49423</v>
      </c>
      <c r="D6" s="38">
        <f t="shared" ref="D6:L6" si="0">D7+D48</f>
        <v>33851</v>
      </c>
      <c r="E6" s="38">
        <f t="shared" si="0"/>
        <v>15572</v>
      </c>
      <c r="F6" s="38">
        <f t="shared" si="0"/>
        <v>14734</v>
      </c>
      <c r="G6" s="38">
        <f t="shared" si="0"/>
        <v>1424</v>
      </c>
      <c r="H6" s="38">
        <f t="shared" si="0"/>
        <v>635</v>
      </c>
      <c r="I6" s="38">
        <f t="shared" si="0"/>
        <v>82</v>
      </c>
      <c r="J6" s="38">
        <f t="shared" si="0"/>
        <v>105</v>
      </c>
      <c r="K6" s="38">
        <f t="shared" si="0"/>
        <v>3500</v>
      </c>
      <c r="L6" s="38">
        <f t="shared" si="0"/>
        <v>1556463.1625000001</v>
      </c>
      <c r="M6" s="39"/>
      <c r="N6" s="40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s="37" customFormat="1" ht="26.25" customHeight="1" x14ac:dyDescent="0.35">
      <c r="A7" s="27"/>
      <c r="B7" s="37" t="s">
        <v>52</v>
      </c>
      <c r="C7" s="42">
        <f>SUM(C8:C47)</f>
        <v>30298</v>
      </c>
      <c r="D7" s="42">
        <f t="shared" ref="D7:L7" si="1">SUM(D8:D47)</f>
        <v>21122</v>
      </c>
      <c r="E7" s="42">
        <f t="shared" si="1"/>
        <v>9176</v>
      </c>
      <c r="F7" s="42">
        <f t="shared" si="1"/>
        <v>8033</v>
      </c>
      <c r="G7" s="42">
        <f t="shared" si="1"/>
        <v>752</v>
      </c>
      <c r="H7" s="42">
        <f t="shared" si="1"/>
        <v>415</v>
      </c>
      <c r="I7" s="42">
        <f t="shared" si="1"/>
        <v>41</v>
      </c>
      <c r="J7" s="42">
        <f t="shared" si="1"/>
        <v>96</v>
      </c>
      <c r="K7" s="42">
        <f t="shared" si="1"/>
        <v>2544</v>
      </c>
      <c r="L7" s="42">
        <f t="shared" si="1"/>
        <v>1081522.1625000001</v>
      </c>
      <c r="N7" s="41"/>
      <c r="O7" s="41"/>
      <c r="P7" s="41"/>
      <c r="Q7" s="41"/>
      <c r="R7" s="41"/>
      <c r="S7" s="41"/>
      <c r="T7" s="41"/>
      <c r="U7" s="41"/>
      <c r="V7" s="41"/>
      <c r="W7" s="41"/>
    </row>
    <row r="8" spans="1:26" s="104" customFormat="1" ht="12.5" x14ac:dyDescent="0.35">
      <c r="A8" s="28">
        <v>51</v>
      </c>
      <c r="B8" s="104" t="s">
        <v>5</v>
      </c>
      <c r="C8" s="41">
        <v>282</v>
      </c>
      <c r="D8" s="43">
        <v>130</v>
      </c>
      <c r="E8" s="43">
        <v>152</v>
      </c>
      <c r="F8" s="43">
        <v>149</v>
      </c>
      <c r="G8" s="43">
        <v>13</v>
      </c>
      <c r="H8" s="43">
        <v>20</v>
      </c>
      <c r="I8" s="43">
        <v>0</v>
      </c>
      <c r="J8" s="43">
        <v>3</v>
      </c>
      <c r="K8" s="43">
        <v>44</v>
      </c>
      <c r="L8" s="43">
        <v>18781</v>
      </c>
      <c r="N8" s="44"/>
      <c r="O8" s="41"/>
      <c r="P8" s="41"/>
      <c r="Q8" s="41"/>
      <c r="R8" s="41"/>
      <c r="S8" s="41"/>
      <c r="T8" s="41"/>
      <c r="U8" s="41"/>
      <c r="V8" s="41"/>
      <c r="W8" s="41"/>
    </row>
    <row r="9" spans="1:26" s="104" customFormat="1" ht="12.5" x14ac:dyDescent="0.35">
      <c r="A9" s="28">
        <v>52</v>
      </c>
      <c r="B9" s="104" t="s">
        <v>6</v>
      </c>
      <c r="C9" s="41">
        <v>1321</v>
      </c>
      <c r="D9" s="43">
        <v>1210</v>
      </c>
      <c r="E9" s="43">
        <v>111</v>
      </c>
      <c r="F9" s="43">
        <v>0</v>
      </c>
      <c r="G9" s="43">
        <v>1</v>
      </c>
      <c r="H9" s="43">
        <v>2</v>
      </c>
      <c r="I9" s="43">
        <v>0</v>
      </c>
      <c r="J9" s="43">
        <v>0</v>
      </c>
      <c r="K9" s="43">
        <v>15</v>
      </c>
      <c r="L9" s="43">
        <v>19748</v>
      </c>
      <c r="N9" s="41"/>
      <c r="O9" s="41"/>
      <c r="P9" s="41"/>
      <c r="Q9" s="41"/>
      <c r="R9" s="41"/>
      <c r="S9" s="41"/>
      <c r="T9" s="41"/>
      <c r="U9" s="41"/>
      <c r="V9" s="41"/>
      <c r="W9" s="41"/>
    </row>
    <row r="10" spans="1:26" s="104" customFormat="1" ht="12.5" x14ac:dyDescent="0.35">
      <c r="A10" s="28">
        <v>86</v>
      </c>
      <c r="B10" s="104" t="s">
        <v>7</v>
      </c>
      <c r="C10" s="41">
        <v>943</v>
      </c>
      <c r="D10" s="43">
        <v>564</v>
      </c>
      <c r="E10" s="43">
        <v>379</v>
      </c>
      <c r="F10" s="43">
        <v>257</v>
      </c>
      <c r="G10" s="43">
        <v>23</v>
      </c>
      <c r="H10" s="43">
        <v>2</v>
      </c>
      <c r="I10" s="43">
        <v>2</v>
      </c>
      <c r="J10" s="43">
        <v>4</v>
      </c>
      <c r="K10" s="43">
        <v>361</v>
      </c>
      <c r="L10" s="43">
        <v>0</v>
      </c>
      <c r="N10" s="41"/>
      <c r="O10" s="41"/>
      <c r="P10" s="41"/>
      <c r="Q10" s="41"/>
      <c r="R10" s="41"/>
      <c r="S10" s="41"/>
      <c r="T10" s="41"/>
      <c r="U10" s="41"/>
      <c r="V10" s="41"/>
      <c r="W10" s="41"/>
    </row>
    <row r="11" spans="1:26" s="104" customFormat="1" ht="12.5" x14ac:dyDescent="0.35">
      <c r="A11" s="28">
        <v>53</v>
      </c>
      <c r="B11" s="104" t="s">
        <v>8</v>
      </c>
      <c r="C11" s="41">
        <v>364</v>
      </c>
      <c r="D11" s="43">
        <v>125</v>
      </c>
      <c r="E11" s="43">
        <v>239</v>
      </c>
      <c r="F11" s="43">
        <v>251</v>
      </c>
      <c r="G11" s="43">
        <v>5</v>
      </c>
      <c r="H11" s="43">
        <v>1</v>
      </c>
      <c r="I11" s="43">
        <v>0</v>
      </c>
      <c r="J11" s="43">
        <v>1</v>
      </c>
      <c r="K11" s="43">
        <v>17</v>
      </c>
      <c r="L11" s="43">
        <v>12678</v>
      </c>
      <c r="N11" s="41"/>
      <c r="O11" s="41"/>
      <c r="P11" s="41"/>
      <c r="Q11" s="41"/>
      <c r="R11" s="41"/>
      <c r="S11" s="41"/>
      <c r="T11" s="41"/>
      <c r="U11" s="41"/>
      <c r="V11" s="41"/>
      <c r="W11" s="41"/>
    </row>
    <row r="12" spans="1:26" s="104" customFormat="1" ht="12.5" x14ac:dyDescent="0.35">
      <c r="A12" s="28">
        <v>54</v>
      </c>
      <c r="B12" s="104" t="s">
        <v>9</v>
      </c>
      <c r="C12" s="41">
        <v>1506</v>
      </c>
      <c r="D12" s="43">
        <v>1240</v>
      </c>
      <c r="E12" s="43">
        <v>266</v>
      </c>
      <c r="F12" s="43">
        <v>219</v>
      </c>
      <c r="G12" s="43">
        <v>2</v>
      </c>
      <c r="H12" s="43">
        <v>0</v>
      </c>
      <c r="I12" s="43">
        <v>0</v>
      </c>
      <c r="J12" s="43">
        <v>0</v>
      </c>
      <c r="K12" s="43">
        <v>77</v>
      </c>
      <c r="L12" s="43">
        <v>35597</v>
      </c>
      <c r="N12" s="41"/>
      <c r="O12" s="41"/>
      <c r="P12" s="41"/>
      <c r="Q12" s="41"/>
      <c r="R12" s="41"/>
      <c r="S12" s="41"/>
      <c r="T12" s="41"/>
      <c r="U12" s="41"/>
      <c r="V12" s="41"/>
      <c r="W12" s="41"/>
    </row>
    <row r="13" spans="1:26" s="104" customFormat="1" ht="12.5" x14ac:dyDescent="0.35">
      <c r="A13" s="28">
        <v>55</v>
      </c>
      <c r="B13" s="104" t="s">
        <v>10</v>
      </c>
      <c r="C13" s="41">
        <v>1317</v>
      </c>
      <c r="D13" s="43">
        <v>864</v>
      </c>
      <c r="E13" s="43">
        <v>453</v>
      </c>
      <c r="F13" s="43">
        <v>424</v>
      </c>
      <c r="G13" s="43">
        <v>26</v>
      </c>
      <c r="H13" s="43">
        <v>5</v>
      </c>
      <c r="I13" s="43">
        <v>3</v>
      </c>
      <c r="J13" s="43">
        <v>0</v>
      </c>
      <c r="K13" s="43">
        <v>199</v>
      </c>
      <c r="L13" s="43">
        <v>27374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</row>
    <row r="14" spans="1:26" s="104" customFormat="1" ht="12.5" x14ac:dyDescent="0.35">
      <c r="A14" s="28">
        <v>56</v>
      </c>
      <c r="B14" s="104" t="s">
        <v>11</v>
      </c>
      <c r="C14" s="41">
        <v>1862</v>
      </c>
      <c r="D14" s="43">
        <v>1638</v>
      </c>
      <c r="E14" s="43">
        <v>224</v>
      </c>
      <c r="F14" s="43">
        <v>161</v>
      </c>
      <c r="G14" s="43">
        <v>3</v>
      </c>
      <c r="H14" s="43">
        <v>7</v>
      </c>
      <c r="I14" s="43">
        <v>0</v>
      </c>
      <c r="J14" s="43">
        <v>0</v>
      </c>
      <c r="K14" s="43">
        <v>24</v>
      </c>
      <c r="L14" s="43">
        <v>15352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</row>
    <row r="15" spans="1:26" s="104" customFormat="1" ht="12.5" x14ac:dyDescent="0.35">
      <c r="A15" s="28">
        <v>57</v>
      </c>
      <c r="B15" s="104" t="s">
        <v>12</v>
      </c>
      <c r="C15" s="41">
        <v>505</v>
      </c>
      <c r="D15" s="43">
        <v>362</v>
      </c>
      <c r="E15" s="43">
        <v>143</v>
      </c>
      <c r="F15" s="43">
        <v>126</v>
      </c>
      <c r="G15" s="43">
        <v>15</v>
      </c>
      <c r="H15" s="43">
        <v>9</v>
      </c>
      <c r="I15" s="43">
        <v>0</v>
      </c>
      <c r="J15" s="43">
        <v>0</v>
      </c>
      <c r="K15" s="43">
        <v>41</v>
      </c>
      <c r="L15" s="43">
        <v>18582</v>
      </c>
      <c r="N15" s="41"/>
      <c r="O15" s="41"/>
      <c r="P15" s="41"/>
      <c r="Q15" s="41"/>
      <c r="R15" s="41"/>
      <c r="S15" s="41"/>
      <c r="T15" s="41"/>
      <c r="U15" s="41"/>
      <c r="V15" s="41"/>
      <c r="W15" s="41"/>
    </row>
    <row r="16" spans="1:26" s="104" customFormat="1" ht="12.5" x14ac:dyDescent="0.35">
      <c r="A16" s="28">
        <v>59</v>
      </c>
      <c r="B16" s="104" t="s">
        <v>13</v>
      </c>
      <c r="C16" s="41">
        <v>1056</v>
      </c>
      <c r="D16" s="43">
        <v>682</v>
      </c>
      <c r="E16" s="43">
        <v>374</v>
      </c>
      <c r="F16" s="43">
        <v>337</v>
      </c>
      <c r="G16" s="43">
        <v>28</v>
      </c>
      <c r="H16" s="43">
        <v>7</v>
      </c>
      <c r="I16" s="43">
        <v>1</v>
      </c>
      <c r="J16" s="43">
        <v>0</v>
      </c>
      <c r="K16" s="43">
        <v>21</v>
      </c>
      <c r="L16" s="43">
        <v>7455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</row>
    <row r="17" spans="1:23" s="104" customFormat="1" ht="12.5" x14ac:dyDescent="0.35">
      <c r="A17" s="28">
        <v>60</v>
      </c>
      <c r="B17" s="104" t="s">
        <v>14</v>
      </c>
      <c r="C17" s="41">
        <v>980</v>
      </c>
      <c r="D17" s="43">
        <v>612</v>
      </c>
      <c r="E17" s="43">
        <v>368</v>
      </c>
      <c r="F17" s="43">
        <v>324</v>
      </c>
      <c r="G17" s="43">
        <v>39</v>
      </c>
      <c r="H17" s="43">
        <v>13</v>
      </c>
      <c r="I17" s="43">
        <v>0</v>
      </c>
      <c r="J17" s="43">
        <v>0</v>
      </c>
      <c r="K17" s="43">
        <v>305</v>
      </c>
      <c r="L17" s="43">
        <v>34845</v>
      </c>
      <c r="N17" s="41"/>
      <c r="O17" s="41"/>
      <c r="P17" s="41"/>
      <c r="Q17" s="41"/>
      <c r="R17" s="41"/>
      <c r="S17" s="41"/>
      <c r="T17" s="41"/>
      <c r="U17" s="41"/>
      <c r="V17" s="41"/>
      <c r="W17" s="41"/>
    </row>
    <row r="18" spans="1:23" s="104" customFormat="1" ht="12.5" x14ac:dyDescent="0.35">
      <c r="A18" s="28">
        <v>61</v>
      </c>
      <c r="B18" s="45" t="s">
        <v>53</v>
      </c>
      <c r="C18" s="41">
        <v>683</v>
      </c>
      <c r="D18" s="43">
        <v>181</v>
      </c>
      <c r="E18" s="43">
        <v>502</v>
      </c>
      <c r="F18" s="43">
        <v>428</v>
      </c>
      <c r="G18" s="43">
        <v>45</v>
      </c>
      <c r="H18" s="43">
        <v>44</v>
      </c>
      <c r="I18" s="43">
        <v>6</v>
      </c>
      <c r="J18" s="43">
        <v>4</v>
      </c>
      <c r="K18" s="43">
        <v>59</v>
      </c>
      <c r="L18" s="43">
        <v>97800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</row>
    <row r="19" spans="1:23" s="104" customFormat="1" ht="12.5" x14ac:dyDescent="0.35">
      <c r="A19" s="28"/>
      <c r="B19" s="45" t="s">
        <v>113</v>
      </c>
      <c r="C19" s="41">
        <v>1230</v>
      </c>
      <c r="D19" s="43">
        <v>879</v>
      </c>
      <c r="E19" s="43">
        <v>351</v>
      </c>
      <c r="F19" s="43">
        <v>96</v>
      </c>
      <c r="G19" s="43">
        <v>7</v>
      </c>
      <c r="H19" s="43">
        <v>19</v>
      </c>
      <c r="I19" s="43">
        <v>1</v>
      </c>
      <c r="J19" s="43">
        <v>0</v>
      </c>
      <c r="K19" s="43">
        <v>5</v>
      </c>
      <c r="L19" s="43">
        <v>95621</v>
      </c>
      <c r="N19" s="41"/>
      <c r="O19" s="41"/>
      <c r="P19" s="41"/>
      <c r="Q19" s="41"/>
      <c r="R19" s="41"/>
      <c r="S19" s="41"/>
      <c r="T19" s="41"/>
      <c r="U19" s="41"/>
      <c r="V19" s="41"/>
      <c r="W19" s="41"/>
    </row>
    <row r="20" spans="1:23" s="104" customFormat="1" ht="12.5" x14ac:dyDescent="0.35">
      <c r="A20" s="28">
        <v>62</v>
      </c>
      <c r="B20" s="104" t="s">
        <v>16</v>
      </c>
      <c r="C20" s="41" t="s">
        <v>114</v>
      </c>
      <c r="D20" s="41" t="s">
        <v>114</v>
      </c>
      <c r="E20" s="41" t="s">
        <v>114</v>
      </c>
      <c r="F20" s="41" t="s">
        <v>114</v>
      </c>
      <c r="G20" s="41" t="s">
        <v>114</v>
      </c>
      <c r="H20" s="41" t="s">
        <v>114</v>
      </c>
      <c r="I20" s="41" t="s">
        <v>114</v>
      </c>
      <c r="J20" s="41" t="s">
        <v>114</v>
      </c>
      <c r="K20" s="41" t="s">
        <v>114</v>
      </c>
      <c r="L20" s="41" t="s">
        <v>114</v>
      </c>
      <c r="N20" s="41"/>
      <c r="O20" s="41"/>
      <c r="P20" s="41"/>
      <c r="Q20" s="41"/>
      <c r="R20" s="41"/>
      <c r="S20" s="41"/>
      <c r="T20" s="41"/>
      <c r="U20" s="41"/>
      <c r="V20" s="41"/>
      <c r="W20" s="41"/>
    </row>
    <row r="21" spans="1:23" s="104" customFormat="1" ht="12.5" x14ac:dyDescent="0.35">
      <c r="A21" s="28">
        <v>58</v>
      </c>
      <c r="B21" s="104" t="s">
        <v>17</v>
      </c>
      <c r="C21" s="41">
        <v>2138</v>
      </c>
      <c r="D21" s="43">
        <v>1815</v>
      </c>
      <c r="E21" s="43">
        <v>323</v>
      </c>
      <c r="F21" s="43">
        <v>353</v>
      </c>
      <c r="G21" s="43">
        <v>0</v>
      </c>
      <c r="H21" s="43">
        <v>4</v>
      </c>
      <c r="I21" s="43">
        <v>0</v>
      </c>
      <c r="J21" s="43">
        <v>0</v>
      </c>
      <c r="K21" s="43">
        <v>1</v>
      </c>
      <c r="L21" s="43">
        <v>15699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</row>
    <row r="22" spans="1:23" s="104" customFormat="1" ht="12.5" x14ac:dyDescent="0.35">
      <c r="A22" s="28">
        <v>63</v>
      </c>
      <c r="B22" s="104" t="s">
        <v>18</v>
      </c>
      <c r="C22" s="41">
        <v>499</v>
      </c>
      <c r="D22" s="43">
        <v>372</v>
      </c>
      <c r="E22" s="43">
        <v>127</v>
      </c>
      <c r="F22" s="43">
        <v>117</v>
      </c>
      <c r="G22" s="43">
        <v>7</v>
      </c>
      <c r="H22" s="43">
        <v>17</v>
      </c>
      <c r="I22" s="43">
        <v>2</v>
      </c>
      <c r="J22" s="43">
        <v>1</v>
      </c>
      <c r="K22" s="43">
        <v>123</v>
      </c>
      <c r="L22" s="43">
        <v>27060</v>
      </c>
      <c r="N22" s="41"/>
      <c r="O22" s="41"/>
      <c r="P22" s="41"/>
      <c r="Q22" s="41"/>
      <c r="R22" s="41"/>
      <c r="S22" s="41"/>
      <c r="T22" s="41"/>
      <c r="U22" s="41"/>
      <c r="V22" s="41"/>
      <c r="W22" s="41"/>
    </row>
    <row r="23" spans="1:23" s="104" customFormat="1" ht="12.5" x14ac:dyDescent="0.35">
      <c r="A23" s="28">
        <v>64</v>
      </c>
      <c r="B23" s="104" t="s">
        <v>19</v>
      </c>
      <c r="C23" s="41">
        <v>1290</v>
      </c>
      <c r="D23" s="43">
        <v>1252</v>
      </c>
      <c r="E23" s="43">
        <v>38</v>
      </c>
      <c r="F23" s="43">
        <v>112</v>
      </c>
      <c r="G23" s="43">
        <v>5</v>
      </c>
      <c r="H23" s="43">
        <v>0</v>
      </c>
      <c r="I23" s="43">
        <v>8</v>
      </c>
      <c r="J23" s="43">
        <v>3</v>
      </c>
      <c r="K23" s="43">
        <v>2</v>
      </c>
      <c r="L23" s="43">
        <v>41430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</row>
    <row r="24" spans="1:23" s="104" customFormat="1" ht="12.5" x14ac:dyDescent="0.35">
      <c r="A24" s="28">
        <v>65</v>
      </c>
      <c r="B24" s="104" t="s">
        <v>20</v>
      </c>
      <c r="C24" s="41">
        <v>277</v>
      </c>
      <c r="D24" s="43">
        <v>217</v>
      </c>
      <c r="E24" s="43">
        <v>60</v>
      </c>
      <c r="F24" s="43">
        <v>43</v>
      </c>
      <c r="G24" s="43">
        <v>8</v>
      </c>
      <c r="H24" s="43">
        <v>4</v>
      </c>
      <c r="I24" s="43">
        <v>1</v>
      </c>
      <c r="J24" s="43">
        <v>0</v>
      </c>
      <c r="K24" s="43">
        <v>10</v>
      </c>
      <c r="L24" s="43">
        <v>16674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</row>
    <row r="25" spans="1:23" s="104" customFormat="1" ht="12.5" x14ac:dyDescent="0.35">
      <c r="A25" s="28">
        <v>67</v>
      </c>
      <c r="B25" s="104" t="s">
        <v>23</v>
      </c>
      <c r="C25" s="41">
        <v>457</v>
      </c>
      <c r="D25" s="43">
        <v>148</v>
      </c>
      <c r="E25" s="43">
        <v>309</v>
      </c>
      <c r="F25" s="43">
        <v>165</v>
      </c>
      <c r="G25" s="43">
        <v>1</v>
      </c>
      <c r="H25" s="43">
        <v>24</v>
      </c>
      <c r="I25" s="43">
        <v>0</v>
      </c>
      <c r="J25" s="43">
        <v>5</v>
      </c>
      <c r="K25" s="43">
        <v>141</v>
      </c>
      <c r="L25" s="43">
        <v>104639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</row>
    <row r="26" spans="1:23" s="104" customFormat="1" ht="12.5" x14ac:dyDescent="0.35">
      <c r="A26" s="28">
        <v>68</v>
      </c>
      <c r="B26" s="104" t="s">
        <v>54</v>
      </c>
      <c r="C26" s="41">
        <v>726</v>
      </c>
      <c r="D26" s="43">
        <v>362</v>
      </c>
      <c r="E26" s="43">
        <v>364</v>
      </c>
      <c r="F26" s="43">
        <v>319</v>
      </c>
      <c r="G26" s="43">
        <v>132</v>
      </c>
      <c r="H26" s="43">
        <v>113</v>
      </c>
      <c r="I26" s="43">
        <v>0</v>
      </c>
      <c r="J26" s="43">
        <v>62</v>
      </c>
      <c r="K26" s="43">
        <v>112</v>
      </c>
      <c r="L26" s="43">
        <v>18689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</row>
    <row r="27" spans="1:23" s="104" customFormat="1" ht="12.5" x14ac:dyDescent="0.35">
      <c r="A27" s="28">
        <v>69</v>
      </c>
      <c r="B27" s="104" t="s">
        <v>25</v>
      </c>
      <c r="C27" s="41">
        <v>282</v>
      </c>
      <c r="D27" s="43">
        <v>256</v>
      </c>
      <c r="E27" s="43">
        <v>26</v>
      </c>
      <c r="F27" s="43">
        <v>30</v>
      </c>
      <c r="G27" s="43">
        <v>6</v>
      </c>
      <c r="H27" s="43">
        <v>6</v>
      </c>
      <c r="I27" s="43">
        <v>0</v>
      </c>
      <c r="J27" s="43">
        <v>0</v>
      </c>
      <c r="K27" s="43">
        <v>24</v>
      </c>
      <c r="L27" s="43">
        <v>27885</v>
      </c>
      <c r="N27" s="41"/>
      <c r="O27" s="41"/>
      <c r="P27" s="41"/>
      <c r="Q27" s="41"/>
      <c r="R27" s="41"/>
      <c r="S27" s="41"/>
      <c r="T27" s="41"/>
      <c r="U27" s="41"/>
      <c r="V27" s="41"/>
      <c r="W27" s="41"/>
    </row>
    <row r="28" spans="1:23" s="104" customFormat="1" ht="12.5" x14ac:dyDescent="0.35">
      <c r="A28" s="28">
        <v>70</v>
      </c>
      <c r="B28" s="104" t="s">
        <v>26</v>
      </c>
      <c r="C28" s="41">
        <v>881</v>
      </c>
      <c r="D28" s="43">
        <v>715</v>
      </c>
      <c r="E28" s="43">
        <v>166</v>
      </c>
      <c r="F28" s="43">
        <v>128</v>
      </c>
      <c r="G28" s="43">
        <v>21</v>
      </c>
      <c r="H28" s="43">
        <v>6</v>
      </c>
      <c r="I28" s="43">
        <v>0</v>
      </c>
      <c r="J28" s="43">
        <v>4</v>
      </c>
      <c r="K28" s="43">
        <v>117</v>
      </c>
      <c r="L28" s="43">
        <v>38319</v>
      </c>
      <c r="N28" s="41"/>
      <c r="O28" s="41"/>
      <c r="P28" s="41"/>
      <c r="Q28" s="41"/>
      <c r="R28" s="41"/>
      <c r="S28" s="41"/>
      <c r="T28" s="41"/>
      <c r="U28" s="41"/>
      <c r="V28" s="41"/>
      <c r="W28" s="41"/>
    </row>
    <row r="29" spans="1:23" s="104" customFormat="1" ht="12.5" x14ac:dyDescent="0.35">
      <c r="A29" s="28">
        <v>71</v>
      </c>
      <c r="B29" s="104" t="s">
        <v>55</v>
      </c>
      <c r="C29" s="41">
        <v>106</v>
      </c>
      <c r="D29" s="43">
        <v>66</v>
      </c>
      <c r="E29" s="43">
        <v>40</v>
      </c>
      <c r="F29" s="43">
        <v>40</v>
      </c>
      <c r="G29" s="43">
        <v>2</v>
      </c>
      <c r="H29" s="43">
        <v>0</v>
      </c>
      <c r="I29" s="43">
        <v>0</v>
      </c>
      <c r="J29" s="43">
        <v>0</v>
      </c>
      <c r="K29" s="43">
        <v>1</v>
      </c>
      <c r="L29" s="43">
        <v>6492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</row>
    <row r="30" spans="1:23" s="104" customFormat="1" ht="12.5" x14ac:dyDescent="0.35">
      <c r="A30" s="28">
        <v>73</v>
      </c>
      <c r="B30" s="104" t="s">
        <v>29</v>
      </c>
      <c r="C30" s="41">
        <v>802</v>
      </c>
      <c r="D30" s="43">
        <v>649</v>
      </c>
      <c r="E30" s="43">
        <v>153</v>
      </c>
      <c r="F30" s="43">
        <v>232</v>
      </c>
      <c r="G30" s="43">
        <v>77</v>
      </c>
      <c r="H30" s="43">
        <v>12</v>
      </c>
      <c r="I30" s="43">
        <v>0</v>
      </c>
      <c r="J30" s="43">
        <v>0</v>
      </c>
      <c r="K30" s="43">
        <v>44</v>
      </c>
      <c r="L30" s="43">
        <v>25440</v>
      </c>
      <c r="N30" s="41"/>
      <c r="O30" s="41"/>
      <c r="P30" s="41"/>
      <c r="Q30" s="41"/>
      <c r="R30" s="41"/>
      <c r="S30" s="41"/>
      <c r="T30" s="41"/>
      <c r="U30" s="41"/>
      <c r="V30" s="41"/>
      <c r="W30" s="41"/>
    </row>
    <row r="31" spans="1:23" s="104" customFormat="1" ht="12.5" x14ac:dyDescent="0.35">
      <c r="A31" s="28">
        <v>74</v>
      </c>
      <c r="B31" s="104" t="s">
        <v>30</v>
      </c>
      <c r="C31" s="41">
        <v>2101</v>
      </c>
      <c r="D31" s="43">
        <v>561</v>
      </c>
      <c r="E31" s="43">
        <v>1540</v>
      </c>
      <c r="F31" s="43">
        <v>1317</v>
      </c>
      <c r="G31" s="43">
        <v>125</v>
      </c>
      <c r="H31" s="43">
        <v>14</v>
      </c>
      <c r="I31" s="43">
        <v>7</v>
      </c>
      <c r="J31" s="43">
        <v>3</v>
      </c>
      <c r="K31" s="43">
        <v>53</v>
      </c>
      <c r="L31" s="43">
        <v>25510</v>
      </c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1:23" s="104" customFormat="1" ht="12.5" x14ac:dyDescent="0.35">
      <c r="A32" s="28">
        <v>75</v>
      </c>
      <c r="B32" s="104" t="s">
        <v>31</v>
      </c>
      <c r="C32" s="41">
        <v>259</v>
      </c>
      <c r="D32" s="43">
        <v>166</v>
      </c>
      <c r="E32" s="43">
        <v>93</v>
      </c>
      <c r="F32" s="43">
        <v>128</v>
      </c>
      <c r="G32" s="43">
        <v>37</v>
      </c>
      <c r="H32" s="43">
        <v>13</v>
      </c>
      <c r="I32" s="43">
        <v>1</v>
      </c>
      <c r="J32" s="43">
        <v>3</v>
      </c>
      <c r="K32" s="43">
        <v>77</v>
      </c>
      <c r="L32" s="43">
        <v>25587</v>
      </c>
      <c r="N32" s="41"/>
      <c r="O32" s="41"/>
      <c r="P32" s="41"/>
      <c r="Q32" s="41"/>
      <c r="R32" s="41"/>
      <c r="S32" s="41"/>
      <c r="T32" s="41"/>
      <c r="U32" s="41"/>
      <c r="V32" s="41"/>
      <c r="W32" s="41"/>
    </row>
    <row r="33" spans="1:23" s="104" customFormat="1" ht="14.5" x14ac:dyDescent="0.35">
      <c r="A33" s="28">
        <v>76</v>
      </c>
      <c r="B33" s="104" t="s">
        <v>87</v>
      </c>
      <c r="C33" s="41">
        <v>299</v>
      </c>
      <c r="D33" s="43">
        <v>198</v>
      </c>
      <c r="E33" s="43">
        <v>101</v>
      </c>
      <c r="F33" s="43">
        <v>85</v>
      </c>
      <c r="G33" s="43">
        <v>6</v>
      </c>
      <c r="H33" s="43">
        <v>3</v>
      </c>
      <c r="I33" s="43">
        <v>0</v>
      </c>
      <c r="J33" s="43">
        <v>1</v>
      </c>
      <c r="K33" s="43">
        <v>4</v>
      </c>
      <c r="L33" s="43">
        <v>28639</v>
      </c>
      <c r="N33" s="41"/>
      <c r="O33" s="41"/>
      <c r="P33" s="41"/>
      <c r="Q33" s="41"/>
      <c r="R33" s="41"/>
      <c r="S33" s="41"/>
      <c r="T33" s="41"/>
      <c r="U33" s="41"/>
      <c r="V33" s="41"/>
      <c r="W33" s="41"/>
    </row>
    <row r="34" spans="1:23" s="104" customFormat="1" ht="12.5" x14ac:dyDescent="0.35">
      <c r="A34" s="28">
        <v>79</v>
      </c>
      <c r="B34" s="104" t="s">
        <v>34</v>
      </c>
      <c r="C34" s="41">
        <v>676</v>
      </c>
      <c r="D34" s="43">
        <v>598</v>
      </c>
      <c r="E34" s="43">
        <v>78</v>
      </c>
      <c r="F34" s="43">
        <v>63</v>
      </c>
      <c r="G34" s="43">
        <v>4</v>
      </c>
      <c r="H34" s="43">
        <v>3</v>
      </c>
      <c r="I34" s="43">
        <v>1</v>
      </c>
      <c r="J34" s="43">
        <v>0</v>
      </c>
      <c r="K34" s="43">
        <v>99</v>
      </c>
      <c r="L34" s="43">
        <v>23275</v>
      </c>
      <c r="N34" s="41"/>
      <c r="O34" s="41"/>
      <c r="P34" s="41"/>
      <c r="Q34" s="41"/>
      <c r="R34" s="41"/>
      <c r="S34" s="41"/>
      <c r="T34" s="41"/>
      <c r="U34" s="41"/>
      <c r="V34" s="41"/>
      <c r="W34" s="41"/>
    </row>
    <row r="35" spans="1:23" s="104" customFormat="1" ht="12.5" x14ac:dyDescent="0.35">
      <c r="A35" s="28">
        <v>80</v>
      </c>
      <c r="B35" s="104" t="s">
        <v>35</v>
      </c>
      <c r="C35" s="41">
        <v>1767</v>
      </c>
      <c r="D35" s="43">
        <v>1182</v>
      </c>
      <c r="E35" s="43">
        <v>585</v>
      </c>
      <c r="F35" s="43">
        <v>563</v>
      </c>
      <c r="G35" s="43">
        <v>20</v>
      </c>
      <c r="H35" s="43">
        <v>4</v>
      </c>
      <c r="I35" s="43">
        <v>5</v>
      </c>
      <c r="J35" s="43">
        <v>0</v>
      </c>
      <c r="K35" s="43">
        <v>156</v>
      </c>
      <c r="L35" s="43">
        <v>44124</v>
      </c>
      <c r="N35" s="41"/>
      <c r="O35" s="41"/>
      <c r="P35" s="41"/>
      <c r="Q35" s="41"/>
      <c r="R35" s="41"/>
      <c r="S35" s="41"/>
      <c r="T35" s="41"/>
      <c r="U35" s="41"/>
      <c r="V35" s="41"/>
      <c r="W35" s="41"/>
    </row>
    <row r="36" spans="1:23" s="104" customFormat="1" ht="12.5" x14ac:dyDescent="0.35">
      <c r="A36" s="28">
        <v>81</v>
      </c>
      <c r="B36" s="104" t="s">
        <v>36</v>
      </c>
      <c r="C36" s="41">
        <v>510</v>
      </c>
      <c r="D36" s="43">
        <v>368</v>
      </c>
      <c r="E36" s="43">
        <v>142</v>
      </c>
      <c r="F36" s="43">
        <v>137</v>
      </c>
      <c r="G36" s="43">
        <v>19</v>
      </c>
      <c r="H36" s="43">
        <v>6</v>
      </c>
      <c r="I36" s="43">
        <v>0</v>
      </c>
      <c r="J36" s="43">
        <v>0</v>
      </c>
      <c r="K36" s="43">
        <v>5</v>
      </c>
      <c r="L36" s="43">
        <v>20981</v>
      </c>
      <c r="N36" s="41"/>
      <c r="O36" s="41"/>
      <c r="P36" s="41"/>
      <c r="Q36" s="41"/>
      <c r="R36" s="41"/>
      <c r="S36" s="41"/>
      <c r="T36" s="41"/>
      <c r="U36" s="41"/>
      <c r="V36" s="41"/>
      <c r="W36" s="41"/>
    </row>
    <row r="37" spans="1:23" s="104" customFormat="1" ht="12.5" x14ac:dyDescent="0.35">
      <c r="A37" s="28">
        <v>83</v>
      </c>
      <c r="B37" s="104" t="s">
        <v>37</v>
      </c>
      <c r="C37" s="41">
        <v>339</v>
      </c>
      <c r="D37" s="43">
        <v>226</v>
      </c>
      <c r="E37" s="43">
        <v>113</v>
      </c>
      <c r="F37" s="43">
        <v>99</v>
      </c>
      <c r="G37" s="43">
        <v>0</v>
      </c>
      <c r="H37" s="43">
        <v>1</v>
      </c>
      <c r="I37" s="43">
        <v>0</v>
      </c>
      <c r="J37" s="43">
        <v>0</v>
      </c>
      <c r="K37" s="43">
        <v>24</v>
      </c>
      <c r="L37" s="43">
        <v>8856</v>
      </c>
      <c r="N37" s="41"/>
      <c r="O37" s="41"/>
      <c r="P37" s="41"/>
      <c r="Q37" s="41"/>
      <c r="R37" s="41"/>
      <c r="S37" s="41"/>
      <c r="T37" s="41"/>
      <c r="U37" s="41"/>
      <c r="V37" s="41"/>
      <c r="W37" s="41"/>
    </row>
    <row r="38" spans="1:23" s="104" customFormat="1" ht="12.5" x14ac:dyDescent="0.35">
      <c r="A38" s="28">
        <v>84</v>
      </c>
      <c r="B38" s="104" t="s">
        <v>38</v>
      </c>
      <c r="C38" s="41">
        <v>853</v>
      </c>
      <c r="D38" s="43">
        <v>579</v>
      </c>
      <c r="E38" s="43">
        <v>274</v>
      </c>
      <c r="F38" s="43">
        <v>236</v>
      </c>
      <c r="G38" s="43">
        <v>19</v>
      </c>
      <c r="H38" s="43">
        <v>9</v>
      </c>
      <c r="I38" s="43">
        <v>0</v>
      </c>
      <c r="J38" s="43">
        <v>0</v>
      </c>
      <c r="K38" s="43">
        <v>170</v>
      </c>
      <c r="L38" s="43">
        <v>25537</v>
      </c>
      <c r="N38" s="41"/>
      <c r="O38" s="41"/>
      <c r="P38" s="41"/>
      <c r="Q38" s="41"/>
      <c r="R38" s="41"/>
      <c r="S38" s="41"/>
      <c r="T38" s="41"/>
      <c r="U38" s="41"/>
      <c r="V38" s="41"/>
      <c r="W38" s="41"/>
    </row>
    <row r="39" spans="1:23" s="104" customFormat="1" ht="12.5" x14ac:dyDescent="0.35">
      <c r="A39" s="28">
        <v>85</v>
      </c>
      <c r="B39" s="104" t="s">
        <v>39</v>
      </c>
      <c r="C39" s="41">
        <v>349</v>
      </c>
      <c r="D39" s="43">
        <v>233</v>
      </c>
      <c r="E39" s="43">
        <v>116</v>
      </c>
      <c r="F39" s="43">
        <v>98</v>
      </c>
      <c r="G39" s="43">
        <v>11</v>
      </c>
      <c r="H39" s="43">
        <v>5</v>
      </c>
      <c r="I39" s="43">
        <v>1</v>
      </c>
      <c r="J39" s="43">
        <v>2</v>
      </c>
      <c r="K39" s="43">
        <v>65</v>
      </c>
      <c r="L39" s="43">
        <v>19804</v>
      </c>
      <c r="N39" s="41"/>
      <c r="O39" s="41"/>
      <c r="P39" s="41"/>
      <c r="Q39" s="41"/>
      <c r="R39" s="41"/>
      <c r="S39" s="41"/>
      <c r="T39" s="41"/>
      <c r="U39" s="41"/>
      <c r="V39" s="41"/>
      <c r="W39" s="41"/>
    </row>
    <row r="40" spans="1:23" s="104" customFormat="1" ht="12.5" x14ac:dyDescent="0.35">
      <c r="A40" s="28">
        <v>87</v>
      </c>
      <c r="B40" s="104" t="s">
        <v>40</v>
      </c>
      <c r="C40" s="41">
        <v>451</v>
      </c>
      <c r="D40" s="43">
        <v>344</v>
      </c>
      <c r="E40" s="43">
        <v>107</v>
      </c>
      <c r="F40" s="43">
        <v>98</v>
      </c>
      <c r="G40" s="43">
        <v>2</v>
      </c>
      <c r="H40" s="43">
        <v>8</v>
      </c>
      <c r="I40" s="43">
        <v>0</v>
      </c>
      <c r="J40" s="43">
        <v>0</v>
      </c>
      <c r="K40" s="43">
        <v>79</v>
      </c>
      <c r="L40" s="43">
        <v>14709</v>
      </c>
      <c r="N40" s="41"/>
      <c r="O40" s="41"/>
      <c r="P40" s="41"/>
      <c r="Q40" s="41"/>
      <c r="R40" s="41"/>
      <c r="S40" s="41"/>
      <c r="T40" s="41"/>
      <c r="U40" s="41"/>
      <c r="V40" s="41"/>
      <c r="W40" s="41"/>
    </row>
    <row r="41" spans="1:23" s="104" customFormat="1" ht="14.5" x14ac:dyDescent="0.35">
      <c r="A41" s="28">
        <v>90</v>
      </c>
      <c r="B41" s="104" t="s">
        <v>88</v>
      </c>
      <c r="C41" s="41">
        <v>416</v>
      </c>
      <c r="D41" s="43">
        <v>249</v>
      </c>
      <c r="E41" s="43">
        <v>167</v>
      </c>
      <c r="F41" s="43">
        <v>162</v>
      </c>
      <c r="G41" s="43">
        <v>9</v>
      </c>
      <c r="H41" s="43">
        <v>4</v>
      </c>
      <c r="I41" s="43">
        <v>0</v>
      </c>
      <c r="J41" s="43">
        <v>0</v>
      </c>
      <c r="K41" s="43">
        <v>0</v>
      </c>
      <c r="L41" s="43">
        <v>26218</v>
      </c>
      <c r="N41" s="41"/>
      <c r="O41" s="41"/>
      <c r="P41" s="41"/>
      <c r="Q41" s="41"/>
      <c r="R41" s="41"/>
      <c r="S41" s="41"/>
      <c r="T41" s="41"/>
      <c r="U41" s="41"/>
      <c r="V41" s="41"/>
      <c r="W41" s="41"/>
    </row>
    <row r="42" spans="1:23" s="104" customFormat="1" ht="12.5" x14ac:dyDescent="0.35">
      <c r="A42" s="28">
        <v>91</v>
      </c>
      <c r="B42" s="104" t="s">
        <v>43</v>
      </c>
      <c r="C42" s="41">
        <v>294</v>
      </c>
      <c r="D42" s="43">
        <v>210</v>
      </c>
      <c r="E42" s="43">
        <v>84</v>
      </c>
      <c r="F42" s="43">
        <v>81</v>
      </c>
      <c r="G42" s="43">
        <v>2</v>
      </c>
      <c r="H42" s="43">
        <v>9</v>
      </c>
      <c r="I42" s="43">
        <v>0</v>
      </c>
      <c r="J42" s="43">
        <v>0</v>
      </c>
      <c r="K42" s="43">
        <v>13</v>
      </c>
      <c r="L42" s="43">
        <v>49187</v>
      </c>
      <c r="N42" s="41"/>
      <c r="O42" s="41"/>
      <c r="P42" s="41"/>
      <c r="Q42" s="41"/>
      <c r="R42" s="41"/>
      <c r="S42" s="41"/>
      <c r="T42" s="41"/>
      <c r="U42" s="41"/>
      <c r="V42" s="41"/>
      <c r="W42" s="41"/>
    </row>
    <row r="43" spans="1:23" s="104" customFormat="1" ht="12.5" x14ac:dyDescent="0.35">
      <c r="A43" s="28">
        <v>92</v>
      </c>
      <c r="B43" s="104" t="s">
        <v>44</v>
      </c>
      <c r="C43" s="41">
        <v>1525</v>
      </c>
      <c r="D43" s="43">
        <v>1162</v>
      </c>
      <c r="E43" s="43">
        <v>363</v>
      </c>
      <c r="F43" s="43">
        <v>330</v>
      </c>
      <c r="G43" s="43">
        <v>8</v>
      </c>
      <c r="H43" s="43">
        <v>4</v>
      </c>
      <c r="I43" s="43">
        <v>1</v>
      </c>
      <c r="J43" s="43">
        <v>0</v>
      </c>
      <c r="K43" s="43">
        <v>3</v>
      </c>
      <c r="L43" s="43">
        <v>29076.162500000002</v>
      </c>
      <c r="N43" s="41"/>
      <c r="O43" s="41"/>
      <c r="P43" s="41"/>
      <c r="Q43" s="41"/>
      <c r="R43" s="41"/>
      <c r="S43" s="41"/>
      <c r="T43" s="41"/>
      <c r="U43" s="41"/>
      <c r="V43" s="41"/>
      <c r="W43" s="41"/>
    </row>
    <row r="44" spans="1:23" s="104" customFormat="1" ht="12.5" x14ac:dyDescent="0.35">
      <c r="A44" s="28">
        <v>94</v>
      </c>
      <c r="B44" s="104" t="s">
        <v>46</v>
      </c>
      <c r="C44" s="41">
        <v>513</v>
      </c>
      <c r="D44" s="43">
        <v>307</v>
      </c>
      <c r="E44" s="43">
        <v>206</v>
      </c>
      <c r="F44" s="43">
        <v>189</v>
      </c>
      <c r="G44" s="43">
        <v>16</v>
      </c>
      <c r="H44" s="43">
        <v>11</v>
      </c>
      <c r="I44" s="43">
        <v>0</v>
      </c>
      <c r="J44" s="43">
        <v>0</v>
      </c>
      <c r="K44" s="43">
        <v>19</v>
      </c>
      <c r="L44" s="43">
        <v>13060</v>
      </c>
      <c r="N44" s="41"/>
      <c r="O44" s="41"/>
      <c r="P44" s="41"/>
      <c r="Q44" s="41"/>
      <c r="R44" s="41"/>
      <c r="S44" s="41"/>
      <c r="T44" s="41"/>
      <c r="U44" s="41"/>
      <c r="V44" s="41"/>
      <c r="W44" s="41"/>
    </row>
    <row r="45" spans="1:23" s="104" customFormat="1" ht="12.5" x14ac:dyDescent="0.35">
      <c r="A45" s="28">
        <v>96</v>
      </c>
      <c r="B45" s="104" t="s">
        <v>48</v>
      </c>
      <c r="C45" s="41">
        <v>439</v>
      </c>
      <c r="D45" s="43">
        <v>400</v>
      </c>
      <c r="E45" s="43">
        <v>39</v>
      </c>
      <c r="F45" s="43">
        <v>136</v>
      </c>
      <c r="G45" s="43">
        <v>8</v>
      </c>
      <c r="H45" s="43">
        <v>6</v>
      </c>
      <c r="I45" s="43">
        <v>1</v>
      </c>
      <c r="J45" s="43">
        <v>0</v>
      </c>
      <c r="K45" s="43">
        <v>34</v>
      </c>
      <c r="L45" s="43">
        <v>20799</v>
      </c>
      <c r="N45" s="41"/>
      <c r="O45" s="41"/>
      <c r="P45" s="41"/>
      <c r="Q45" s="41"/>
      <c r="R45" s="41"/>
      <c r="S45" s="41"/>
      <c r="T45" s="41"/>
      <c r="U45" s="41"/>
      <c r="V45" s="41"/>
      <c r="W45" s="41"/>
    </row>
    <row r="46" spans="1:23" s="104" customFormat="1" ht="12.5" x14ac:dyDescent="0.35">
      <c r="A46" s="28">
        <v>98</v>
      </c>
      <c r="B46" s="104" t="s">
        <v>50</v>
      </c>
      <c r="C46" s="41" t="s">
        <v>114</v>
      </c>
      <c r="D46" s="41" t="s">
        <v>114</v>
      </c>
      <c r="E46" s="41" t="s">
        <v>114</v>
      </c>
      <c r="F46" s="41" t="s">
        <v>114</v>
      </c>
      <c r="G46" s="41" t="s">
        <v>114</v>
      </c>
      <c r="H46" s="41" t="s">
        <v>114</v>
      </c>
      <c r="I46" s="41" t="s">
        <v>114</v>
      </c>
      <c r="J46" s="41" t="s">
        <v>114</v>
      </c>
      <c r="K46" s="41" t="s">
        <v>114</v>
      </c>
      <c r="L46" s="41" t="s">
        <v>114</v>
      </c>
      <c r="N46" s="41"/>
      <c r="O46" s="41"/>
      <c r="P46" s="41"/>
      <c r="Q46" s="41"/>
      <c r="R46" s="41"/>
      <c r="S46" s="41"/>
      <c r="T46" s="41"/>
      <c r="U46" s="41"/>
      <c r="V46" s="41"/>
      <c r="W46" s="41"/>
    </row>
    <row r="47" spans="1:23" s="104" customFormat="1" ht="12.5" x14ac:dyDescent="0.35">
      <c r="A47" s="28">
        <v>72</v>
      </c>
      <c r="B47" s="104" t="s">
        <v>28</v>
      </c>
      <c r="C47" s="41">
        <v>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N47" s="41"/>
      <c r="O47" s="41"/>
      <c r="P47" s="41"/>
      <c r="Q47" s="41"/>
      <c r="R47" s="41"/>
      <c r="S47" s="41"/>
      <c r="T47" s="41"/>
      <c r="U47" s="41"/>
      <c r="V47" s="41"/>
      <c r="W47" s="41"/>
    </row>
    <row r="48" spans="1:23" s="37" customFormat="1" ht="26.25" customHeight="1" x14ac:dyDescent="0.35">
      <c r="B48" s="37" t="s">
        <v>56</v>
      </c>
      <c r="C48" s="42">
        <f>SUM(C49:C55)</f>
        <v>19125</v>
      </c>
      <c r="D48" s="42">
        <f t="shared" ref="D48:L48" si="2">SUM(D49:D55)</f>
        <v>12729</v>
      </c>
      <c r="E48" s="42">
        <f t="shared" si="2"/>
        <v>6396</v>
      </c>
      <c r="F48" s="42">
        <f t="shared" si="2"/>
        <v>6701</v>
      </c>
      <c r="G48" s="42">
        <f t="shared" si="2"/>
        <v>672</v>
      </c>
      <c r="H48" s="42">
        <f t="shared" si="2"/>
        <v>220</v>
      </c>
      <c r="I48" s="42">
        <f t="shared" si="2"/>
        <v>41</v>
      </c>
      <c r="J48" s="42">
        <f t="shared" si="2"/>
        <v>9</v>
      </c>
      <c r="K48" s="42">
        <f t="shared" si="2"/>
        <v>956</v>
      </c>
      <c r="L48" s="42">
        <f t="shared" si="2"/>
        <v>474941</v>
      </c>
      <c r="N48" s="41"/>
      <c r="O48" s="41"/>
      <c r="P48" s="41"/>
      <c r="Q48" s="41"/>
      <c r="R48" s="41"/>
      <c r="S48" s="41"/>
      <c r="T48" s="41"/>
      <c r="U48" s="41"/>
      <c r="V48" s="41"/>
      <c r="W48" s="41"/>
    </row>
    <row r="49" spans="1:23" s="104" customFormat="1" ht="12.5" x14ac:dyDescent="0.35">
      <c r="A49" s="28">
        <v>66</v>
      </c>
      <c r="B49" s="104" t="s">
        <v>22</v>
      </c>
      <c r="C49" s="41">
        <v>1248</v>
      </c>
      <c r="D49" s="43">
        <v>554</v>
      </c>
      <c r="E49" s="43">
        <v>694</v>
      </c>
      <c r="F49" s="43">
        <v>579</v>
      </c>
      <c r="G49" s="43">
        <v>103</v>
      </c>
      <c r="H49" s="43">
        <v>38</v>
      </c>
      <c r="I49" s="43">
        <v>7</v>
      </c>
      <c r="J49" s="43">
        <v>0</v>
      </c>
      <c r="K49" s="43">
        <v>19</v>
      </c>
      <c r="L49" s="43">
        <v>112713</v>
      </c>
      <c r="N49" s="41"/>
      <c r="O49" s="41"/>
      <c r="P49" s="41"/>
      <c r="Q49" s="41"/>
      <c r="R49" s="41"/>
      <c r="S49" s="41"/>
      <c r="T49" s="41"/>
      <c r="U49" s="41"/>
      <c r="V49" s="41"/>
      <c r="W49" s="41"/>
    </row>
    <row r="50" spans="1:23" s="104" customFormat="1" ht="12.5" x14ac:dyDescent="0.35">
      <c r="A50" s="28">
        <v>78</v>
      </c>
      <c r="B50" s="104" t="s">
        <v>33</v>
      </c>
      <c r="C50" s="41">
        <v>908</v>
      </c>
      <c r="D50" s="43">
        <v>824</v>
      </c>
      <c r="E50" s="43">
        <v>84</v>
      </c>
      <c r="F50" s="43">
        <v>47</v>
      </c>
      <c r="G50" s="43">
        <v>37</v>
      </c>
      <c r="H50" s="43">
        <v>30</v>
      </c>
      <c r="I50" s="43">
        <v>0</v>
      </c>
      <c r="J50" s="43">
        <v>1</v>
      </c>
      <c r="K50" s="43">
        <v>46</v>
      </c>
      <c r="L50" s="43">
        <v>30427</v>
      </c>
      <c r="N50" s="41"/>
      <c r="O50" s="41"/>
      <c r="P50" s="41"/>
      <c r="Q50" s="41"/>
      <c r="R50" s="41"/>
      <c r="S50" s="41"/>
      <c r="T50" s="41"/>
      <c r="U50" s="41"/>
      <c r="V50" s="41"/>
      <c r="W50" s="41"/>
    </row>
    <row r="51" spans="1:23" s="104" customFormat="1" ht="12.5" x14ac:dyDescent="0.35">
      <c r="A51" s="28">
        <v>89</v>
      </c>
      <c r="B51" s="104" t="s">
        <v>41</v>
      </c>
      <c r="C51" s="41">
        <v>1454</v>
      </c>
      <c r="D51" s="43">
        <v>383</v>
      </c>
      <c r="E51" s="43">
        <v>1071</v>
      </c>
      <c r="F51" s="43">
        <v>876</v>
      </c>
      <c r="G51" s="43">
        <v>31</v>
      </c>
      <c r="H51" s="43">
        <v>17</v>
      </c>
      <c r="I51" s="43">
        <v>2</v>
      </c>
      <c r="J51" s="43">
        <v>0</v>
      </c>
      <c r="K51" s="43">
        <v>31</v>
      </c>
      <c r="L51" s="43">
        <v>38569</v>
      </c>
      <c r="N51" s="41"/>
      <c r="O51" s="41"/>
      <c r="P51" s="41"/>
      <c r="Q51" s="41"/>
      <c r="R51" s="41"/>
      <c r="S51" s="41"/>
      <c r="T51" s="41"/>
      <c r="U51" s="41"/>
      <c r="V51" s="41"/>
      <c r="W51" s="41"/>
    </row>
    <row r="52" spans="1:23" s="104" customFormat="1" ht="12.5" x14ac:dyDescent="0.35">
      <c r="A52" s="28">
        <v>93</v>
      </c>
      <c r="B52" s="104" t="s">
        <v>57</v>
      </c>
      <c r="C52" s="41">
        <v>1976</v>
      </c>
      <c r="D52" s="43">
        <v>1327</v>
      </c>
      <c r="E52" s="43">
        <v>649</v>
      </c>
      <c r="F52" s="43">
        <v>635</v>
      </c>
      <c r="G52" s="43">
        <v>10</v>
      </c>
      <c r="H52" s="43">
        <v>18</v>
      </c>
      <c r="I52" s="43">
        <v>2</v>
      </c>
      <c r="J52" s="43">
        <v>2</v>
      </c>
      <c r="K52" s="43">
        <v>25</v>
      </c>
      <c r="L52" s="43">
        <v>31100</v>
      </c>
      <c r="N52" s="41"/>
      <c r="O52" s="41"/>
      <c r="P52" s="41"/>
      <c r="Q52" s="41"/>
      <c r="R52" s="41"/>
      <c r="S52" s="41"/>
      <c r="T52" s="41"/>
      <c r="U52" s="41"/>
      <c r="V52" s="41"/>
      <c r="W52" s="41"/>
    </row>
    <row r="53" spans="1:23" s="104" customFormat="1" ht="12.5" x14ac:dyDescent="0.35">
      <c r="A53" s="28">
        <v>95</v>
      </c>
      <c r="B53" s="104" t="s">
        <v>47</v>
      </c>
      <c r="C53" s="41">
        <v>2211</v>
      </c>
      <c r="D53" s="43">
        <v>1227</v>
      </c>
      <c r="E53" s="43">
        <v>984</v>
      </c>
      <c r="F53" s="43">
        <v>2211</v>
      </c>
      <c r="G53" s="43">
        <v>22</v>
      </c>
      <c r="H53" s="43">
        <v>32</v>
      </c>
      <c r="I53" s="43">
        <v>21</v>
      </c>
      <c r="J53" s="43">
        <v>6</v>
      </c>
      <c r="K53" s="43">
        <v>315</v>
      </c>
      <c r="L53" s="43">
        <v>0</v>
      </c>
      <c r="N53" s="41"/>
      <c r="O53" s="41"/>
      <c r="P53" s="41"/>
      <c r="Q53" s="41"/>
      <c r="R53" s="41"/>
      <c r="S53" s="41"/>
      <c r="T53" s="41"/>
      <c r="U53" s="41"/>
      <c r="V53" s="41"/>
      <c r="W53" s="41"/>
    </row>
    <row r="54" spans="1:23" s="104" customFormat="1" ht="12.5" x14ac:dyDescent="0.35">
      <c r="A54" s="28">
        <v>97</v>
      </c>
      <c r="B54" s="104" t="s">
        <v>49</v>
      </c>
      <c r="C54" s="41">
        <v>928</v>
      </c>
      <c r="D54" s="43">
        <v>538</v>
      </c>
      <c r="E54" s="43">
        <v>390</v>
      </c>
      <c r="F54" s="43">
        <v>224</v>
      </c>
      <c r="G54" s="43">
        <v>87</v>
      </c>
      <c r="H54" s="43">
        <v>22</v>
      </c>
      <c r="I54" s="43">
        <v>1</v>
      </c>
      <c r="J54" s="43">
        <v>0</v>
      </c>
      <c r="K54" s="43">
        <v>79</v>
      </c>
      <c r="L54" s="43">
        <v>82719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</row>
    <row r="55" spans="1:23" s="104" customFormat="1" ht="12.5" x14ac:dyDescent="0.35">
      <c r="A55" s="28">
        <v>77</v>
      </c>
      <c r="B55" s="103" t="s">
        <v>21</v>
      </c>
      <c r="C55" s="41">
        <v>10400</v>
      </c>
      <c r="D55" s="43">
        <v>7876</v>
      </c>
      <c r="E55" s="43">
        <v>2524</v>
      </c>
      <c r="F55" s="43">
        <v>2129</v>
      </c>
      <c r="G55" s="43">
        <v>382</v>
      </c>
      <c r="H55" s="43">
        <v>63</v>
      </c>
      <c r="I55" s="43">
        <v>8</v>
      </c>
      <c r="J55" s="43">
        <v>0</v>
      </c>
      <c r="K55" s="43">
        <v>441</v>
      </c>
      <c r="L55" s="43">
        <v>179413</v>
      </c>
      <c r="N55" s="41"/>
      <c r="O55" s="41"/>
      <c r="P55" s="41"/>
      <c r="Q55" s="41"/>
      <c r="R55" s="41"/>
      <c r="S55" s="41"/>
      <c r="T55" s="41"/>
      <c r="U55" s="41"/>
      <c r="V55" s="41"/>
      <c r="W55" s="41"/>
    </row>
    <row r="56" spans="1:23" s="104" customFormat="1" ht="6" customHeight="1" x14ac:dyDescent="0.35">
      <c r="B56" s="50"/>
      <c r="C56" s="50"/>
      <c r="I56" s="51"/>
    </row>
    <row r="57" spans="1:23" s="104" customFormat="1" ht="14.25" customHeight="1" x14ac:dyDescent="0.35">
      <c r="B57" s="52" t="s">
        <v>89</v>
      </c>
      <c r="C57" s="50"/>
      <c r="I57" s="51"/>
    </row>
    <row r="58" spans="1:23" s="104" customFormat="1" ht="14.25" customHeight="1" x14ac:dyDescent="0.35">
      <c r="B58" s="52" t="s">
        <v>90</v>
      </c>
      <c r="C58" s="50"/>
      <c r="I58" s="51"/>
    </row>
    <row r="59" spans="1:23" s="104" customFormat="1" ht="14.25" customHeight="1" x14ac:dyDescent="0.35">
      <c r="B59" s="50"/>
      <c r="C59" s="50"/>
      <c r="I59" s="51"/>
    </row>
    <row r="60" spans="1:23" s="104" customFormat="1" x14ac:dyDescent="0.35">
      <c r="B60" s="53" t="s">
        <v>91</v>
      </c>
      <c r="C60" s="53"/>
      <c r="I60" s="54"/>
    </row>
    <row r="61" spans="1:23" s="104" customFormat="1" ht="9.75" customHeight="1" x14ac:dyDescent="0.35">
      <c r="I61" s="51"/>
    </row>
  </sheetData>
  <mergeCells count="11">
    <mergeCell ref="M3:M4"/>
    <mergeCell ref="B2:L2"/>
    <mergeCell ref="B3:B4"/>
    <mergeCell ref="C3:E3"/>
    <mergeCell ref="F3:F4"/>
    <mergeCell ref="G3:G4"/>
    <mergeCell ref="H3:H4"/>
    <mergeCell ref="I3:I4"/>
    <mergeCell ref="J3:J4"/>
    <mergeCell ref="K3:K4"/>
    <mergeCell ref="L3:L4"/>
  </mergeCells>
  <pageMargins left="0.48" right="0.31" top="0.24" bottom="0.16" header="0.5" footer="0.16"/>
  <pageSetup paperSize="9" scale="6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FF0000"/>
    <pageSetUpPr fitToPage="1"/>
  </sheetPr>
  <dimension ref="A2:Z61"/>
  <sheetViews>
    <sheetView showGridLines="0" zoomScale="85" zoomScaleNormal="85" workbookViewId="0">
      <pane xSplit="2" ySplit="4" topLeftCell="C5" activePane="bottomRight" state="frozen"/>
      <selection activeCell="B1" sqref="B1"/>
      <selection pane="topRight" activeCell="C1" sqref="C1"/>
      <selection pane="bottomLeft" activeCell="B4" sqref="B4"/>
      <selection pane="bottomRight" activeCell="L11" sqref="L11"/>
    </sheetView>
  </sheetViews>
  <sheetFormatPr defaultRowHeight="13" x14ac:dyDescent="0.3"/>
  <cols>
    <col min="1" max="1" width="3" style="31" hidden="1" customWidth="1"/>
    <col min="2" max="2" width="25.54296875" style="31" customWidth="1"/>
    <col min="3" max="3" width="17" style="31" customWidth="1"/>
    <col min="4" max="4" width="11.453125" style="31" customWidth="1"/>
    <col min="5" max="5" width="14.453125" style="55" customWidth="1"/>
    <col min="6" max="6" width="12.54296875" style="55" customWidth="1"/>
    <col min="7" max="9" width="13.6328125" style="55" customWidth="1"/>
    <col min="10" max="11" width="13.6328125" style="31" customWidth="1"/>
    <col min="12" max="12" width="13.453125" style="31" customWidth="1"/>
    <col min="13" max="256" width="8.90625" style="31"/>
    <col min="257" max="257" width="0" style="31" hidden="1" customWidth="1"/>
    <col min="258" max="258" width="25.54296875" style="31" customWidth="1"/>
    <col min="259" max="259" width="17" style="31" customWidth="1"/>
    <col min="260" max="260" width="11.453125" style="31" customWidth="1"/>
    <col min="261" max="261" width="14.453125" style="31" customWidth="1"/>
    <col min="262" max="262" width="12.54296875" style="31" customWidth="1"/>
    <col min="263" max="267" width="13.6328125" style="31" customWidth="1"/>
    <col min="268" max="268" width="13.453125" style="31" customWidth="1"/>
    <col min="269" max="512" width="8.90625" style="31"/>
    <col min="513" max="513" width="0" style="31" hidden="1" customWidth="1"/>
    <col min="514" max="514" width="25.54296875" style="31" customWidth="1"/>
    <col min="515" max="515" width="17" style="31" customWidth="1"/>
    <col min="516" max="516" width="11.453125" style="31" customWidth="1"/>
    <col min="517" max="517" width="14.453125" style="31" customWidth="1"/>
    <col min="518" max="518" width="12.54296875" style="31" customWidth="1"/>
    <col min="519" max="523" width="13.6328125" style="31" customWidth="1"/>
    <col min="524" max="524" width="13.453125" style="31" customWidth="1"/>
    <col min="525" max="768" width="8.90625" style="31"/>
    <col min="769" max="769" width="0" style="31" hidden="1" customWidth="1"/>
    <col min="770" max="770" width="25.54296875" style="31" customWidth="1"/>
    <col min="771" max="771" width="17" style="31" customWidth="1"/>
    <col min="772" max="772" width="11.453125" style="31" customWidth="1"/>
    <col min="773" max="773" width="14.453125" style="31" customWidth="1"/>
    <col min="774" max="774" width="12.54296875" style="31" customWidth="1"/>
    <col min="775" max="779" width="13.6328125" style="31" customWidth="1"/>
    <col min="780" max="780" width="13.453125" style="31" customWidth="1"/>
    <col min="781" max="1024" width="8.90625" style="31"/>
    <col min="1025" max="1025" width="0" style="31" hidden="1" customWidth="1"/>
    <col min="1026" max="1026" width="25.54296875" style="31" customWidth="1"/>
    <col min="1027" max="1027" width="17" style="31" customWidth="1"/>
    <col min="1028" max="1028" width="11.453125" style="31" customWidth="1"/>
    <col min="1029" max="1029" width="14.453125" style="31" customWidth="1"/>
    <col min="1030" max="1030" width="12.54296875" style="31" customWidth="1"/>
    <col min="1031" max="1035" width="13.6328125" style="31" customWidth="1"/>
    <col min="1036" max="1036" width="13.453125" style="31" customWidth="1"/>
    <col min="1037" max="1280" width="8.90625" style="31"/>
    <col min="1281" max="1281" width="0" style="31" hidden="1" customWidth="1"/>
    <col min="1282" max="1282" width="25.54296875" style="31" customWidth="1"/>
    <col min="1283" max="1283" width="17" style="31" customWidth="1"/>
    <col min="1284" max="1284" width="11.453125" style="31" customWidth="1"/>
    <col min="1285" max="1285" width="14.453125" style="31" customWidth="1"/>
    <col min="1286" max="1286" width="12.54296875" style="31" customWidth="1"/>
    <col min="1287" max="1291" width="13.6328125" style="31" customWidth="1"/>
    <col min="1292" max="1292" width="13.453125" style="31" customWidth="1"/>
    <col min="1293" max="1536" width="8.90625" style="31"/>
    <col min="1537" max="1537" width="0" style="31" hidden="1" customWidth="1"/>
    <col min="1538" max="1538" width="25.54296875" style="31" customWidth="1"/>
    <col min="1539" max="1539" width="17" style="31" customWidth="1"/>
    <col min="1540" max="1540" width="11.453125" style="31" customWidth="1"/>
    <col min="1541" max="1541" width="14.453125" style="31" customWidth="1"/>
    <col min="1542" max="1542" width="12.54296875" style="31" customWidth="1"/>
    <col min="1543" max="1547" width="13.6328125" style="31" customWidth="1"/>
    <col min="1548" max="1548" width="13.453125" style="31" customWidth="1"/>
    <col min="1549" max="1792" width="8.90625" style="31"/>
    <col min="1793" max="1793" width="0" style="31" hidden="1" customWidth="1"/>
    <col min="1794" max="1794" width="25.54296875" style="31" customWidth="1"/>
    <col min="1795" max="1795" width="17" style="31" customWidth="1"/>
    <col min="1796" max="1796" width="11.453125" style="31" customWidth="1"/>
    <col min="1797" max="1797" width="14.453125" style="31" customWidth="1"/>
    <col min="1798" max="1798" width="12.54296875" style="31" customWidth="1"/>
    <col min="1799" max="1803" width="13.6328125" style="31" customWidth="1"/>
    <col min="1804" max="1804" width="13.453125" style="31" customWidth="1"/>
    <col min="1805" max="2048" width="8.90625" style="31"/>
    <col min="2049" max="2049" width="0" style="31" hidden="1" customWidth="1"/>
    <col min="2050" max="2050" width="25.54296875" style="31" customWidth="1"/>
    <col min="2051" max="2051" width="17" style="31" customWidth="1"/>
    <col min="2052" max="2052" width="11.453125" style="31" customWidth="1"/>
    <col min="2053" max="2053" width="14.453125" style="31" customWidth="1"/>
    <col min="2054" max="2054" width="12.54296875" style="31" customWidth="1"/>
    <col min="2055" max="2059" width="13.6328125" style="31" customWidth="1"/>
    <col min="2060" max="2060" width="13.453125" style="31" customWidth="1"/>
    <col min="2061" max="2304" width="8.90625" style="31"/>
    <col min="2305" max="2305" width="0" style="31" hidden="1" customWidth="1"/>
    <col min="2306" max="2306" width="25.54296875" style="31" customWidth="1"/>
    <col min="2307" max="2307" width="17" style="31" customWidth="1"/>
    <col min="2308" max="2308" width="11.453125" style="31" customWidth="1"/>
    <col min="2309" max="2309" width="14.453125" style="31" customWidth="1"/>
    <col min="2310" max="2310" width="12.54296875" style="31" customWidth="1"/>
    <col min="2311" max="2315" width="13.6328125" style="31" customWidth="1"/>
    <col min="2316" max="2316" width="13.453125" style="31" customWidth="1"/>
    <col min="2317" max="2560" width="8.90625" style="31"/>
    <col min="2561" max="2561" width="0" style="31" hidden="1" customWidth="1"/>
    <col min="2562" max="2562" width="25.54296875" style="31" customWidth="1"/>
    <col min="2563" max="2563" width="17" style="31" customWidth="1"/>
    <col min="2564" max="2564" width="11.453125" style="31" customWidth="1"/>
    <col min="2565" max="2565" width="14.453125" style="31" customWidth="1"/>
    <col min="2566" max="2566" width="12.54296875" style="31" customWidth="1"/>
    <col min="2567" max="2571" width="13.6328125" style="31" customWidth="1"/>
    <col min="2572" max="2572" width="13.453125" style="31" customWidth="1"/>
    <col min="2573" max="2816" width="8.90625" style="31"/>
    <col min="2817" max="2817" width="0" style="31" hidden="1" customWidth="1"/>
    <col min="2818" max="2818" width="25.54296875" style="31" customWidth="1"/>
    <col min="2819" max="2819" width="17" style="31" customWidth="1"/>
    <col min="2820" max="2820" width="11.453125" style="31" customWidth="1"/>
    <col min="2821" max="2821" width="14.453125" style="31" customWidth="1"/>
    <col min="2822" max="2822" width="12.54296875" style="31" customWidth="1"/>
    <col min="2823" max="2827" width="13.6328125" style="31" customWidth="1"/>
    <col min="2828" max="2828" width="13.453125" style="31" customWidth="1"/>
    <col min="2829" max="3072" width="8.90625" style="31"/>
    <col min="3073" max="3073" width="0" style="31" hidden="1" customWidth="1"/>
    <col min="3074" max="3074" width="25.54296875" style="31" customWidth="1"/>
    <col min="3075" max="3075" width="17" style="31" customWidth="1"/>
    <col min="3076" max="3076" width="11.453125" style="31" customWidth="1"/>
    <col min="3077" max="3077" width="14.453125" style="31" customWidth="1"/>
    <col min="3078" max="3078" width="12.54296875" style="31" customWidth="1"/>
    <col min="3079" max="3083" width="13.6328125" style="31" customWidth="1"/>
    <col min="3084" max="3084" width="13.453125" style="31" customWidth="1"/>
    <col min="3085" max="3328" width="8.90625" style="31"/>
    <col min="3329" max="3329" width="0" style="31" hidden="1" customWidth="1"/>
    <col min="3330" max="3330" width="25.54296875" style="31" customWidth="1"/>
    <col min="3331" max="3331" width="17" style="31" customWidth="1"/>
    <col min="3332" max="3332" width="11.453125" style="31" customWidth="1"/>
    <col min="3333" max="3333" width="14.453125" style="31" customWidth="1"/>
    <col min="3334" max="3334" width="12.54296875" style="31" customWidth="1"/>
    <col min="3335" max="3339" width="13.6328125" style="31" customWidth="1"/>
    <col min="3340" max="3340" width="13.453125" style="31" customWidth="1"/>
    <col min="3341" max="3584" width="8.90625" style="31"/>
    <col min="3585" max="3585" width="0" style="31" hidden="1" customWidth="1"/>
    <col min="3586" max="3586" width="25.54296875" style="31" customWidth="1"/>
    <col min="3587" max="3587" width="17" style="31" customWidth="1"/>
    <col min="3588" max="3588" width="11.453125" style="31" customWidth="1"/>
    <col min="3589" max="3589" width="14.453125" style="31" customWidth="1"/>
    <col min="3590" max="3590" width="12.54296875" style="31" customWidth="1"/>
    <col min="3591" max="3595" width="13.6328125" style="31" customWidth="1"/>
    <col min="3596" max="3596" width="13.453125" style="31" customWidth="1"/>
    <col min="3597" max="3840" width="8.90625" style="31"/>
    <col min="3841" max="3841" width="0" style="31" hidden="1" customWidth="1"/>
    <col min="3842" max="3842" width="25.54296875" style="31" customWidth="1"/>
    <col min="3843" max="3843" width="17" style="31" customWidth="1"/>
    <col min="3844" max="3844" width="11.453125" style="31" customWidth="1"/>
    <col min="3845" max="3845" width="14.453125" style="31" customWidth="1"/>
    <col min="3846" max="3846" width="12.54296875" style="31" customWidth="1"/>
    <col min="3847" max="3851" width="13.6328125" style="31" customWidth="1"/>
    <col min="3852" max="3852" width="13.453125" style="31" customWidth="1"/>
    <col min="3853" max="4096" width="8.90625" style="31"/>
    <col min="4097" max="4097" width="0" style="31" hidden="1" customWidth="1"/>
    <col min="4098" max="4098" width="25.54296875" style="31" customWidth="1"/>
    <col min="4099" max="4099" width="17" style="31" customWidth="1"/>
    <col min="4100" max="4100" width="11.453125" style="31" customWidth="1"/>
    <col min="4101" max="4101" width="14.453125" style="31" customWidth="1"/>
    <col min="4102" max="4102" width="12.54296875" style="31" customWidth="1"/>
    <col min="4103" max="4107" width="13.6328125" style="31" customWidth="1"/>
    <col min="4108" max="4108" width="13.453125" style="31" customWidth="1"/>
    <col min="4109" max="4352" width="8.90625" style="31"/>
    <col min="4353" max="4353" width="0" style="31" hidden="1" customWidth="1"/>
    <col min="4354" max="4354" width="25.54296875" style="31" customWidth="1"/>
    <col min="4355" max="4355" width="17" style="31" customWidth="1"/>
    <col min="4356" max="4356" width="11.453125" style="31" customWidth="1"/>
    <col min="4357" max="4357" width="14.453125" style="31" customWidth="1"/>
    <col min="4358" max="4358" width="12.54296875" style="31" customWidth="1"/>
    <col min="4359" max="4363" width="13.6328125" style="31" customWidth="1"/>
    <col min="4364" max="4364" width="13.453125" style="31" customWidth="1"/>
    <col min="4365" max="4608" width="8.90625" style="31"/>
    <col min="4609" max="4609" width="0" style="31" hidden="1" customWidth="1"/>
    <col min="4610" max="4610" width="25.54296875" style="31" customWidth="1"/>
    <col min="4611" max="4611" width="17" style="31" customWidth="1"/>
    <col min="4612" max="4612" width="11.453125" style="31" customWidth="1"/>
    <col min="4613" max="4613" width="14.453125" style="31" customWidth="1"/>
    <col min="4614" max="4614" width="12.54296875" style="31" customWidth="1"/>
    <col min="4615" max="4619" width="13.6328125" style="31" customWidth="1"/>
    <col min="4620" max="4620" width="13.453125" style="31" customWidth="1"/>
    <col min="4621" max="4864" width="8.90625" style="31"/>
    <col min="4865" max="4865" width="0" style="31" hidden="1" customWidth="1"/>
    <col min="4866" max="4866" width="25.54296875" style="31" customWidth="1"/>
    <col min="4867" max="4867" width="17" style="31" customWidth="1"/>
    <col min="4868" max="4868" width="11.453125" style="31" customWidth="1"/>
    <col min="4869" max="4869" width="14.453125" style="31" customWidth="1"/>
    <col min="4870" max="4870" width="12.54296875" style="31" customWidth="1"/>
    <col min="4871" max="4875" width="13.6328125" style="31" customWidth="1"/>
    <col min="4876" max="4876" width="13.453125" style="31" customWidth="1"/>
    <col min="4877" max="5120" width="8.90625" style="31"/>
    <col min="5121" max="5121" width="0" style="31" hidden="1" customWidth="1"/>
    <col min="5122" max="5122" width="25.54296875" style="31" customWidth="1"/>
    <col min="5123" max="5123" width="17" style="31" customWidth="1"/>
    <col min="5124" max="5124" width="11.453125" style="31" customWidth="1"/>
    <col min="5125" max="5125" width="14.453125" style="31" customWidth="1"/>
    <col min="5126" max="5126" width="12.54296875" style="31" customWidth="1"/>
    <col min="5127" max="5131" width="13.6328125" style="31" customWidth="1"/>
    <col min="5132" max="5132" width="13.453125" style="31" customWidth="1"/>
    <col min="5133" max="5376" width="8.90625" style="31"/>
    <col min="5377" max="5377" width="0" style="31" hidden="1" customWidth="1"/>
    <col min="5378" max="5378" width="25.54296875" style="31" customWidth="1"/>
    <col min="5379" max="5379" width="17" style="31" customWidth="1"/>
    <col min="5380" max="5380" width="11.453125" style="31" customWidth="1"/>
    <col min="5381" max="5381" width="14.453125" style="31" customWidth="1"/>
    <col min="5382" max="5382" width="12.54296875" style="31" customWidth="1"/>
    <col min="5383" max="5387" width="13.6328125" style="31" customWidth="1"/>
    <col min="5388" max="5388" width="13.453125" style="31" customWidth="1"/>
    <col min="5389" max="5632" width="8.90625" style="31"/>
    <col min="5633" max="5633" width="0" style="31" hidden="1" customWidth="1"/>
    <col min="5634" max="5634" width="25.54296875" style="31" customWidth="1"/>
    <col min="5635" max="5635" width="17" style="31" customWidth="1"/>
    <col min="5636" max="5636" width="11.453125" style="31" customWidth="1"/>
    <col min="5637" max="5637" width="14.453125" style="31" customWidth="1"/>
    <col min="5638" max="5638" width="12.54296875" style="31" customWidth="1"/>
    <col min="5639" max="5643" width="13.6328125" style="31" customWidth="1"/>
    <col min="5644" max="5644" width="13.453125" style="31" customWidth="1"/>
    <col min="5645" max="5888" width="8.90625" style="31"/>
    <col min="5889" max="5889" width="0" style="31" hidden="1" customWidth="1"/>
    <col min="5890" max="5890" width="25.54296875" style="31" customWidth="1"/>
    <col min="5891" max="5891" width="17" style="31" customWidth="1"/>
    <col min="5892" max="5892" width="11.453125" style="31" customWidth="1"/>
    <col min="5893" max="5893" width="14.453125" style="31" customWidth="1"/>
    <col min="5894" max="5894" width="12.54296875" style="31" customWidth="1"/>
    <col min="5895" max="5899" width="13.6328125" style="31" customWidth="1"/>
    <col min="5900" max="5900" width="13.453125" style="31" customWidth="1"/>
    <col min="5901" max="6144" width="8.90625" style="31"/>
    <col min="6145" max="6145" width="0" style="31" hidden="1" customWidth="1"/>
    <col min="6146" max="6146" width="25.54296875" style="31" customWidth="1"/>
    <col min="6147" max="6147" width="17" style="31" customWidth="1"/>
    <col min="6148" max="6148" width="11.453125" style="31" customWidth="1"/>
    <col min="6149" max="6149" width="14.453125" style="31" customWidth="1"/>
    <col min="6150" max="6150" width="12.54296875" style="31" customWidth="1"/>
    <col min="6151" max="6155" width="13.6328125" style="31" customWidth="1"/>
    <col min="6156" max="6156" width="13.453125" style="31" customWidth="1"/>
    <col min="6157" max="6400" width="8.90625" style="31"/>
    <col min="6401" max="6401" width="0" style="31" hidden="1" customWidth="1"/>
    <col min="6402" max="6402" width="25.54296875" style="31" customWidth="1"/>
    <col min="6403" max="6403" width="17" style="31" customWidth="1"/>
    <col min="6404" max="6404" width="11.453125" style="31" customWidth="1"/>
    <col min="6405" max="6405" width="14.453125" style="31" customWidth="1"/>
    <col min="6406" max="6406" width="12.54296875" style="31" customWidth="1"/>
    <col min="6407" max="6411" width="13.6328125" style="31" customWidth="1"/>
    <col min="6412" max="6412" width="13.453125" style="31" customWidth="1"/>
    <col min="6413" max="6656" width="8.90625" style="31"/>
    <col min="6657" max="6657" width="0" style="31" hidden="1" customWidth="1"/>
    <col min="6658" max="6658" width="25.54296875" style="31" customWidth="1"/>
    <col min="6659" max="6659" width="17" style="31" customWidth="1"/>
    <col min="6660" max="6660" width="11.453125" style="31" customWidth="1"/>
    <col min="6661" max="6661" width="14.453125" style="31" customWidth="1"/>
    <col min="6662" max="6662" width="12.54296875" style="31" customWidth="1"/>
    <col min="6663" max="6667" width="13.6328125" style="31" customWidth="1"/>
    <col min="6668" max="6668" width="13.453125" style="31" customWidth="1"/>
    <col min="6669" max="6912" width="8.90625" style="31"/>
    <col min="6913" max="6913" width="0" style="31" hidden="1" customWidth="1"/>
    <col min="6914" max="6914" width="25.54296875" style="31" customWidth="1"/>
    <col min="6915" max="6915" width="17" style="31" customWidth="1"/>
    <col min="6916" max="6916" width="11.453125" style="31" customWidth="1"/>
    <col min="6917" max="6917" width="14.453125" style="31" customWidth="1"/>
    <col min="6918" max="6918" width="12.54296875" style="31" customWidth="1"/>
    <col min="6919" max="6923" width="13.6328125" style="31" customWidth="1"/>
    <col min="6924" max="6924" width="13.453125" style="31" customWidth="1"/>
    <col min="6925" max="7168" width="8.90625" style="31"/>
    <col min="7169" max="7169" width="0" style="31" hidden="1" customWidth="1"/>
    <col min="7170" max="7170" width="25.54296875" style="31" customWidth="1"/>
    <col min="7171" max="7171" width="17" style="31" customWidth="1"/>
    <col min="7172" max="7172" width="11.453125" style="31" customWidth="1"/>
    <col min="7173" max="7173" width="14.453125" style="31" customWidth="1"/>
    <col min="7174" max="7174" width="12.54296875" style="31" customWidth="1"/>
    <col min="7175" max="7179" width="13.6328125" style="31" customWidth="1"/>
    <col min="7180" max="7180" width="13.453125" style="31" customWidth="1"/>
    <col min="7181" max="7424" width="8.90625" style="31"/>
    <col min="7425" max="7425" width="0" style="31" hidden="1" customWidth="1"/>
    <col min="7426" max="7426" width="25.54296875" style="31" customWidth="1"/>
    <col min="7427" max="7427" width="17" style="31" customWidth="1"/>
    <col min="7428" max="7428" width="11.453125" style="31" customWidth="1"/>
    <col min="7429" max="7429" width="14.453125" style="31" customWidth="1"/>
    <col min="7430" max="7430" width="12.54296875" style="31" customWidth="1"/>
    <col min="7431" max="7435" width="13.6328125" style="31" customWidth="1"/>
    <col min="7436" max="7436" width="13.453125" style="31" customWidth="1"/>
    <col min="7437" max="7680" width="8.90625" style="31"/>
    <col min="7681" max="7681" width="0" style="31" hidden="1" customWidth="1"/>
    <col min="7682" max="7682" width="25.54296875" style="31" customWidth="1"/>
    <col min="7683" max="7683" width="17" style="31" customWidth="1"/>
    <col min="7684" max="7684" width="11.453125" style="31" customWidth="1"/>
    <col min="7685" max="7685" width="14.453125" style="31" customWidth="1"/>
    <col min="7686" max="7686" width="12.54296875" style="31" customWidth="1"/>
    <col min="7687" max="7691" width="13.6328125" style="31" customWidth="1"/>
    <col min="7692" max="7692" width="13.453125" style="31" customWidth="1"/>
    <col min="7693" max="7936" width="8.90625" style="31"/>
    <col min="7937" max="7937" width="0" style="31" hidden="1" customWidth="1"/>
    <col min="7938" max="7938" width="25.54296875" style="31" customWidth="1"/>
    <col min="7939" max="7939" width="17" style="31" customWidth="1"/>
    <col min="7940" max="7940" width="11.453125" style="31" customWidth="1"/>
    <col min="7941" max="7941" width="14.453125" style="31" customWidth="1"/>
    <col min="7942" max="7942" width="12.54296875" style="31" customWidth="1"/>
    <col min="7943" max="7947" width="13.6328125" style="31" customWidth="1"/>
    <col min="7948" max="7948" width="13.453125" style="31" customWidth="1"/>
    <col min="7949" max="8192" width="8.90625" style="31"/>
    <col min="8193" max="8193" width="0" style="31" hidden="1" customWidth="1"/>
    <col min="8194" max="8194" width="25.54296875" style="31" customWidth="1"/>
    <col min="8195" max="8195" width="17" style="31" customWidth="1"/>
    <col min="8196" max="8196" width="11.453125" style="31" customWidth="1"/>
    <col min="8197" max="8197" width="14.453125" style="31" customWidth="1"/>
    <col min="8198" max="8198" width="12.54296875" style="31" customWidth="1"/>
    <col min="8199" max="8203" width="13.6328125" style="31" customWidth="1"/>
    <col min="8204" max="8204" width="13.453125" style="31" customWidth="1"/>
    <col min="8205" max="8448" width="8.90625" style="31"/>
    <col min="8449" max="8449" width="0" style="31" hidden="1" customWidth="1"/>
    <col min="8450" max="8450" width="25.54296875" style="31" customWidth="1"/>
    <col min="8451" max="8451" width="17" style="31" customWidth="1"/>
    <col min="8452" max="8452" width="11.453125" style="31" customWidth="1"/>
    <col min="8453" max="8453" width="14.453125" style="31" customWidth="1"/>
    <col min="8454" max="8454" width="12.54296875" style="31" customWidth="1"/>
    <col min="8455" max="8459" width="13.6328125" style="31" customWidth="1"/>
    <col min="8460" max="8460" width="13.453125" style="31" customWidth="1"/>
    <col min="8461" max="8704" width="8.90625" style="31"/>
    <col min="8705" max="8705" width="0" style="31" hidden="1" customWidth="1"/>
    <col min="8706" max="8706" width="25.54296875" style="31" customWidth="1"/>
    <col min="8707" max="8707" width="17" style="31" customWidth="1"/>
    <col min="8708" max="8708" width="11.453125" style="31" customWidth="1"/>
    <col min="8709" max="8709" width="14.453125" style="31" customWidth="1"/>
    <col min="8710" max="8710" width="12.54296875" style="31" customWidth="1"/>
    <col min="8711" max="8715" width="13.6328125" style="31" customWidth="1"/>
    <col min="8716" max="8716" width="13.453125" style="31" customWidth="1"/>
    <col min="8717" max="8960" width="8.90625" style="31"/>
    <col min="8961" max="8961" width="0" style="31" hidden="1" customWidth="1"/>
    <col min="8962" max="8962" width="25.54296875" style="31" customWidth="1"/>
    <col min="8963" max="8963" width="17" style="31" customWidth="1"/>
    <col min="8964" max="8964" width="11.453125" style="31" customWidth="1"/>
    <col min="8965" max="8965" width="14.453125" style="31" customWidth="1"/>
    <col min="8966" max="8966" width="12.54296875" style="31" customWidth="1"/>
    <col min="8967" max="8971" width="13.6328125" style="31" customWidth="1"/>
    <col min="8972" max="8972" width="13.453125" style="31" customWidth="1"/>
    <col min="8973" max="9216" width="8.90625" style="31"/>
    <col min="9217" max="9217" width="0" style="31" hidden="1" customWidth="1"/>
    <col min="9218" max="9218" width="25.54296875" style="31" customWidth="1"/>
    <col min="9219" max="9219" width="17" style="31" customWidth="1"/>
    <col min="9220" max="9220" width="11.453125" style="31" customWidth="1"/>
    <col min="9221" max="9221" width="14.453125" style="31" customWidth="1"/>
    <col min="9222" max="9222" width="12.54296875" style="31" customWidth="1"/>
    <col min="9223" max="9227" width="13.6328125" style="31" customWidth="1"/>
    <col min="9228" max="9228" width="13.453125" style="31" customWidth="1"/>
    <col min="9229" max="9472" width="8.90625" style="31"/>
    <col min="9473" max="9473" width="0" style="31" hidden="1" customWidth="1"/>
    <col min="9474" max="9474" width="25.54296875" style="31" customWidth="1"/>
    <col min="9475" max="9475" width="17" style="31" customWidth="1"/>
    <col min="9476" max="9476" width="11.453125" style="31" customWidth="1"/>
    <col min="9477" max="9477" width="14.453125" style="31" customWidth="1"/>
    <col min="9478" max="9478" width="12.54296875" style="31" customWidth="1"/>
    <col min="9479" max="9483" width="13.6328125" style="31" customWidth="1"/>
    <col min="9484" max="9484" width="13.453125" style="31" customWidth="1"/>
    <col min="9485" max="9728" width="8.90625" style="31"/>
    <col min="9729" max="9729" width="0" style="31" hidden="1" customWidth="1"/>
    <col min="9730" max="9730" width="25.54296875" style="31" customWidth="1"/>
    <col min="9731" max="9731" width="17" style="31" customWidth="1"/>
    <col min="9732" max="9732" width="11.453125" style="31" customWidth="1"/>
    <col min="9733" max="9733" width="14.453125" style="31" customWidth="1"/>
    <col min="9734" max="9734" width="12.54296875" style="31" customWidth="1"/>
    <col min="9735" max="9739" width="13.6328125" style="31" customWidth="1"/>
    <col min="9740" max="9740" width="13.453125" style="31" customWidth="1"/>
    <col min="9741" max="9984" width="8.90625" style="31"/>
    <col min="9985" max="9985" width="0" style="31" hidden="1" customWidth="1"/>
    <col min="9986" max="9986" width="25.54296875" style="31" customWidth="1"/>
    <col min="9987" max="9987" width="17" style="31" customWidth="1"/>
    <col min="9988" max="9988" width="11.453125" style="31" customWidth="1"/>
    <col min="9989" max="9989" width="14.453125" style="31" customWidth="1"/>
    <col min="9990" max="9990" width="12.54296875" style="31" customWidth="1"/>
    <col min="9991" max="9995" width="13.6328125" style="31" customWidth="1"/>
    <col min="9996" max="9996" width="13.453125" style="31" customWidth="1"/>
    <col min="9997" max="10240" width="8.90625" style="31"/>
    <col min="10241" max="10241" width="0" style="31" hidden="1" customWidth="1"/>
    <col min="10242" max="10242" width="25.54296875" style="31" customWidth="1"/>
    <col min="10243" max="10243" width="17" style="31" customWidth="1"/>
    <col min="10244" max="10244" width="11.453125" style="31" customWidth="1"/>
    <col min="10245" max="10245" width="14.453125" style="31" customWidth="1"/>
    <col min="10246" max="10246" width="12.54296875" style="31" customWidth="1"/>
    <col min="10247" max="10251" width="13.6328125" style="31" customWidth="1"/>
    <col min="10252" max="10252" width="13.453125" style="31" customWidth="1"/>
    <col min="10253" max="10496" width="8.90625" style="31"/>
    <col min="10497" max="10497" width="0" style="31" hidden="1" customWidth="1"/>
    <col min="10498" max="10498" width="25.54296875" style="31" customWidth="1"/>
    <col min="10499" max="10499" width="17" style="31" customWidth="1"/>
    <col min="10500" max="10500" width="11.453125" style="31" customWidth="1"/>
    <col min="10501" max="10501" width="14.453125" style="31" customWidth="1"/>
    <col min="10502" max="10502" width="12.54296875" style="31" customWidth="1"/>
    <col min="10503" max="10507" width="13.6328125" style="31" customWidth="1"/>
    <col min="10508" max="10508" width="13.453125" style="31" customWidth="1"/>
    <col min="10509" max="10752" width="8.90625" style="31"/>
    <col min="10753" max="10753" width="0" style="31" hidden="1" customWidth="1"/>
    <col min="10754" max="10754" width="25.54296875" style="31" customWidth="1"/>
    <col min="10755" max="10755" width="17" style="31" customWidth="1"/>
    <col min="10756" max="10756" width="11.453125" style="31" customWidth="1"/>
    <col min="10757" max="10757" width="14.453125" style="31" customWidth="1"/>
    <col min="10758" max="10758" width="12.54296875" style="31" customWidth="1"/>
    <col min="10759" max="10763" width="13.6328125" style="31" customWidth="1"/>
    <col min="10764" max="10764" width="13.453125" style="31" customWidth="1"/>
    <col min="10765" max="11008" width="8.90625" style="31"/>
    <col min="11009" max="11009" width="0" style="31" hidden="1" customWidth="1"/>
    <col min="11010" max="11010" width="25.54296875" style="31" customWidth="1"/>
    <col min="11011" max="11011" width="17" style="31" customWidth="1"/>
    <col min="11012" max="11012" width="11.453125" style="31" customWidth="1"/>
    <col min="11013" max="11013" width="14.453125" style="31" customWidth="1"/>
    <col min="11014" max="11014" width="12.54296875" style="31" customWidth="1"/>
    <col min="11015" max="11019" width="13.6328125" style="31" customWidth="1"/>
    <col min="11020" max="11020" width="13.453125" style="31" customWidth="1"/>
    <col min="11021" max="11264" width="8.90625" style="31"/>
    <col min="11265" max="11265" width="0" style="31" hidden="1" customWidth="1"/>
    <col min="11266" max="11266" width="25.54296875" style="31" customWidth="1"/>
    <col min="11267" max="11267" width="17" style="31" customWidth="1"/>
    <col min="11268" max="11268" width="11.453125" style="31" customWidth="1"/>
    <col min="11269" max="11269" width="14.453125" style="31" customWidth="1"/>
    <col min="11270" max="11270" width="12.54296875" style="31" customWidth="1"/>
    <col min="11271" max="11275" width="13.6328125" style="31" customWidth="1"/>
    <col min="11276" max="11276" width="13.453125" style="31" customWidth="1"/>
    <col min="11277" max="11520" width="8.90625" style="31"/>
    <col min="11521" max="11521" width="0" style="31" hidden="1" customWidth="1"/>
    <col min="11522" max="11522" width="25.54296875" style="31" customWidth="1"/>
    <col min="11523" max="11523" width="17" style="31" customWidth="1"/>
    <col min="11524" max="11524" width="11.453125" style="31" customWidth="1"/>
    <col min="11525" max="11525" width="14.453125" style="31" customWidth="1"/>
    <col min="11526" max="11526" width="12.54296875" style="31" customWidth="1"/>
    <col min="11527" max="11531" width="13.6328125" style="31" customWidth="1"/>
    <col min="11532" max="11532" width="13.453125" style="31" customWidth="1"/>
    <col min="11533" max="11776" width="8.90625" style="31"/>
    <col min="11777" max="11777" width="0" style="31" hidden="1" customWidth="1"/>
    <col min="11778" max="11778" width="25.54296875" style="31" customWidth="1"/>
    <col min="11779" max="11779" width="17" style="31" customWidth="1"/>
    <col min="11780" max="11780" width="11.453125" style="31" customWidth="1"/>
    <col min="11781" max="11781" width="14.453125" style="31" customWidth="1"/>
    <col min="11782" max="11782" width="12.54296875" style="31" customWidth="1"/>
    <col min="11783" max="11787" width="13.6328125" style="31" customWidth="1"/>
    <col min="11788" max="11788" width="13.453125" style="31" customWidth="1"/>
    <col min="11789" max="12032" width="8.90625" style="31"/>
    <col min="12033" max="12033" width="0" style="31" hidden="1" customWidth="1"/>
    <col min="12034" max="12034" width="25.54296875" style="31" customWidth="1"/>
    <col min="12035" max="12035" width="17" style="31" customWidth="1"/>
    <col min="12036" max="12036" width="11.453125" style="31" customWidth="1"/>
    <col min="12037" max="12037" width="14.453125" style="31" customWidth="1"/>
    <col min="12038" max="12038" width="12.54296875" style="31" customWidth="1"/>
    <col min="12039" max="12043" width="13.6328125" style="31" customWidth="1"/>
    <col min="12044" max="12044" width="13.453125" style="31" customWidth="1"/>
    <col min="12045" max="12288" width="8.90625" style="31"/>
    <col min="12289" max="12289" width="0" style="31" hidden="1" customWidth="1"/>
    <col min="12290" max="12290" width="25.54296875" style="31" customWidth="1"/>
    <col min="12291" max="12291" width="17" style="31" customWidth="1"/>
    <col min="12292" max="12292" width="11.453125" style="31" customWidth="1"/>
    <col min="12293" max="12293" width="14.453125" style="31" customWidth="1"/>
    <col min="12294" max="12294" width="12.54296875" style="31" customWidth="1"/>
    <col min="12295" max="12299" width="13.6328125" style="31" customWidth="1"/>
    <col min="12300" max="12300" width="13.453125" style="31" customWidth="1"/>
    <col min="12301" max="12544" width="8.90625" style="31"/>
    <col min="12545" max="12545" width="0" style="31" hidden="1" customWidth="1"/>
    <col min="12546" max="12546" width="25.54296875" style="31" customWidth="1"/>
    <col min="12547" max="12547" width="17" style="31" customWidth="1"/>
    <col min="12548" max="12548" width="11.453125" style="31" customWidth="1"/>
    <col min="12549" max="12549" width="14.453125" style="31" customWidth="1"/>
    <col min="12550" max="12550" width="12.54296875" style="31" customWidth="1"/>
    <col min="12551" max="12555" width="13.6328125" style="31" customWidth="1"/>
    <col min="12556" max="12556" width="13.453125" style="31" customWidth="1"/>
    <col min="12557" max="12800" width="8.90625" style="31"/>
    <col min="12801" max="12801" width="0" style="31" hidden="1" customWidth="1"/>
    <col min="12802" max="12802" width="25.54296875" style="31" customWidth="1"/>
    <col min="12803" max="12803" width="17" style="31" customWidth="1"/>
    <col min="12804" max="12804" width="11.453125" style="31" customWidth="1"/>
    <col min="12805" max="12805" width="14.453125" style="31" customWidth="1"/>
    <col min="12806" max="12806" width="12.54296875" style="31" customWidth="1"/>
    <col min="12807" max="12811" width="13.6328125" style="31" customWidth="1"/>
    <col min="12812" max="12812" width="13.453125" style="31" customWidth="1"/>
    <col min="12813" max="13056" width="8.90625" style="31"/>
    <col min="13057" max="13057" width="0" style="31" hidden="1" customWidth="1"/>
    <col min="13058" max="13058" width="25.54296875" style="31" customWidth="1"/>
    <col min="13059" max="13059" width="17" style="31" customWidth="1"/>
    <col min="13060" max="13060" width="11.453125" style="31" customWidth="1"/>
    <col min="13061" max="13061" width="14.453125" style="31" customWidth="1"/>
    <col min="13062" max="13062" width="12.54296875" style="31" customWidth="1"/>
    <col min="13063" max="13067" width="13.6328125" style="31" customWidth="1"/>
    <col min="13068" max="13068" width="13.453125" style="31" customWidth="1"/>
    <col min="13069" max="13312" width="8.90625" style="31"/>
    <col min="13313" max="13313" width="0" style="31" hidden="1" customWidth="1"/>
    <col min="13314" max="13314" width="25.54296875" style="31" customWidth="1"/>
    <col min="13315" max="13315" width="17" style="31" customWidth="1"/>
    <col min="13316" max="13316" width="11.453125" style="31" customWidth="1"/>
    <col min="13317" max="13317" width="14.453125" style="31" customWidth="1"/>
    <col min="13318" max="13318" width="12.54296875" style="31" customWidth="1"/>
    <col min="13319" max="13323" width="13.6328125" style="31" customWidth="1"/>
    <col min="13324" max="13324" width="13.453125" style="31" customWidth="1"/>
    <col min="13325" max="13568" width="8.90625" style="31"/>
    <col min="13569" max="13569" width="0" style="31" hidden="1" customWidth="1"/>
    <col min="13570" max="13570" width="25.54296875" style="31" customWidth="1"/>
    <col min="13571" max="13571" width="17" style="31" customWidth="1"/>
    <col min="13572" max="13572" width="11.453125" style="31" customWidth="1"/>
    <col min="13573" max="13573" width="14.453125" style="31" customWidth="1"/>
    <col min="13574" max="13574" width="12.54296875" style="31" customWidth="1"/>
    <col min="13575" max="13579" width="13.6328125" style="31" customWidth="1"/>
    <col min="13580" max="13580" width="13.453125" style="31" customWidth="1"/>
    <col min="13581" max="13824" width="8.90625" style="31"/>
    <col min="13825" max="13825" width="0" style="31" hidden="1" customWidth="1"/>
    <col min="13826" max="13826" width="25.54296875" style="31" customWidth="1"/>
    <col min="13827" max="13827" width="17" style="31" customWidth="1"/>
    <col min="13828" max="13828" width="11.453125" style="31" customWidth="1"/>
    <col min="13829" max="13829" width="14.453125" style="31" customWidth="1"/>
    <col min="13830" max="13830" width="12.54296875" style="31" customWidth="1"/>
    <col min="13831" max="13835" width="13.6328125" style="31" customWidth="1"/>
    <col min="13836" max="13836" width="13.453125" style="31" customWidth="1"/>
    <col min="13837" max="14080" width="8.90625" style="31"/>
    <col min="14081" max="14081" width="0" style="31" hidden="1" customWidth="1"/>
    <col min="14082" max="14082" width="25.54296875" style="31" customWidth="1"/>
    <col min="14083" max="14083" width="17" style="31" customWidth="1"/>
    <col min="14084" max="14084" width="11.453125" style="31" customWidth="1"/>
    <col min="14085" max="14085" width="14.453125" style="31" customWidth="1"/>
    <col min="14086" max="14086" width="12.54296875" style="31" customWidth="1"/>
    <col min="14087" max="14091" width="13.6328125" style="31" customWidth="1"/>
    <col min="14092" max="14092" width="13.453125" style="31" customWidth="1"/>
    <col min="14093" max="14336" width="8.90625" style="31"/>
    <col min="14337" max="14337" width="0" style="31" hidden="1" customWidth="1"/>
    <col min="14338" max="14338" width="25.54296875" style="31" customWidth="1"/>
    <col min="14339" max="14339" width="17" style="31" customWidth="1"/>
    <col min="14340" max="14340" width="11.453125" style="31" customWidth="1"/>
    <col min="14341" max="14341" width="14.453125" style="31" customWidth="1"/>
    <col min="14342" max="14342" width="12.54296875" style="31" customWidth="1"/>
    <col min="14343" max="14347" width="13.6328125" style="31" customWidth="1"/>
    <col min="14348" max="14348" width="13.453125" style="31" customWidth="1"/>
    <col min="14349" max="14592" width="8.90625" style="31"/>
    <col min="14593" max="14593" width="0" style="31" hidden="1" customWidth="1"/>
    <col min="14594" max="14594" width="25.54296875" style="31" customWidth="1"/>
    <col min="14595" max="14595" width="17" style="31" customWidth="1"/>
    <col min="14596" max="14596" width="11.453125" style="31" customWidth="1"/>
    <col min="14597" max="14597" width="14.453125" style="31" customWidth="1"/>
    <col min="14598" max="14598" width="12.54296875" style="31" customWidth="1"/>
    <col min="14599" max="14603" width="13.6328125" style="31" customWidth="1"/>
    <col min="14604" max="14604" width="13.453125" style="31" customWidth="1"/>
    <col min="14605" max="14848" width="8.90625" style="31"/>
    <col min="14849" max="14849" width="0" style="31" hidden="1" customWidth="1"/>
    <col min="14850" max="14850" width="25.54296875" style="31" customWidth="1"/>
    <col min="14851" max="14851" width="17" style="31" customWidth="1"/>
    <col min="14852" max="14852" width="11.453125" style="31" customWidth="1"/>
    <col min="14853" max="14853" width="14.453125" style="31" customWidth="1"/>
    <col min="14854" max="14854" width="12.54296875" style="31" customWidth="1"/>
    <col min="14855" max="14859" width="13.6328125" style="31" customWidth="1"/>
    <col min="14860" max="14860" width="13.453125" style="31" customWidth="1"/>
    <col min="14861" max="15104" width="8.90625" style="31"/>
    <col min="15105" max="15105" width="0" style="31" hidden="1" customWidth="1"/>
    <col min="15106" max="15106" width="25.54296875" style="31" customWidth="1"/>
    <col min="15107" max="15107" width="17" style="31" customWidth="1"/>
    <col min="15108" max="15108" width="11.453125" style="31" customWidth="1"/>
    <col min="15109" max="15109" width="14.453125" style="31" customWidth="1"/>
    <col min="15110" max="15110" width="12.54296875" style="31" customWidth="1"/>
    <col min="15111" max="15115" width="13.6328125" style="31" customWidth="1"/>
    <col min="15116" max="15116" width="13.453125" style="31" customWidth="1"/>
    <col min="15117" max="15360" width="8.90625" style="31"/>
    <col min="15361" max="15361" width="0" style="31" hidden="1" customWidth="1"/>
    <col min="15362" max="15362" width="25.54296875" style="31" customWidth="1"/>
    <col min="15363" max="15363" width="17" style="31" customWidth="1"/>
    <col min="15364" max="15364" width="11.453125" style="31" customWidth="1"/>
    <col min="15365" max="15365" width="14.453125" style="31" customWidth="1"/>
    <col min="15366" max="15366" width="12.54296875" style="31" customWidth="1"/>
    <col min="15367" max="15371" width="13.6328125" style="31" customWidth="1"/>
    <col min="15372" max="15372" width="13.453125" style="31" customWidth="1"/>
    <col min="15373" max="15616" width="8.90625" style="31"/>
    <col min="15617" max="15617" width="0" style="31" hidden="1" customWidth="1"/>
    <col min="15618" max="15618" width="25.54296875" style="31" customWidth="1"/>
    <col min="15619" max="15619" width="17" style="31" customWidth="1"/>
    <col min="15620" max="15620" width="11.453125" style="31" customWidth="1"/>
    <col min="15621" max="15621" width="14.453125" style="31" customWidth="1"/>
    <col min="15622" max="15622" width="12.54296875" style="31" customWidth="1"/>
    <col min="15623" max="15627" width="13.6328125" style="31" customWidth="1"/>
    <col min="15628" max="15628" width="13.453125" style="31" customWidth="1"/>
    <col min="15629" max="15872" width="8.90625" style="31"/>
    <col min="15873" max="15873" width="0" style="31" hidden="1" customWidth="1"/>
    <col min="15874" max="15874" width="25.54296875" style="31" customWidth="1"/>
    <col min="15875" max="15875" width="17" style="31" customWidth="1"/>
    <col min="15876" max="15876" width="11.453125" style="31" customWidth="1"/>
    <col min="15877" max="15877" width="14.453125" style="31" customWidth="1"/>
    <col min="15878" max="15878" width="12.54296875" style="31" customWidth="1"/>
    <col min="15879" max="15883" width="13.6328125" style="31" customWidth="1"/>
    <col min="15884" max="15884" width="13.453125" style="31" customWidth="1"/>
    <col min="15885" max="16128" width="8.90625" style="31"/>
    <col min="16129" max="16129" width="0" style="31" hidden="1" customWidth="1"/>
    <col min="16130" max="16130" width="25.54296875" style="31" customWidth="1"/>
    <col min="16131" max="16131" width="17" style="31" customWidth="1"/>
    <col min="16132" max="16132" width="11.453125" style="31" customWidth="1"/>
    <col min="16133" max="16133" width="14.453125" style="31" customWidth="1"/>
    <col min="16134" max="16134" width="12.54296875" style="31" customWidth="1"/>
    <col min="16135" max="16139" width="13.6328125" style="31" customWidth="1"/>
    <col min="16140" max="16140" width="13.453125" style="31" customWidth="1"/>
    <col min="16141" max="16384" width="8.90625" style="31"/>
  </cols>
  <sheetData>
    <row r="2" spans="1:26" ht="40.5" customHeight="1" x14ac:dyDescent="0.3">
      <c r="B2" s="120" t="s">
        <v>66</v>
      </c>
      <c r="C2" s="121"/>
      <c r="D2" s="122"/>
      <c r="E2" s="122"/>
      <c r="F2" s="122"/>
      <c r="G2" s="122"/>
      <c r="H2" s="122"/>
      <c r="I2" s="122"/>
      <c r="J2" s="122"/>
      <c r="K2" s="122"/>
      <c r="L2" s="123"/>
    </row>
    <row r="3" spans="1:26" s="104" customFormat="1" ht="43.5" customHeight="1" x14ac:dyDescent="0.35">
      <c r="B3" s="125"/>
      <c r="C3" s="117" t="s">
        <v>67</v>
      </c>
      <c r="D3" s="117"/>
      <c r="E3" s="117"/>
      <c r="F3" s="111" t="s">
        <v>68</v>
      </c>
      <c r="G3" s="111" t="s">
        <v>69</v>
      </c>
      <c r="H3" s="111" t="s">
        <v>70</v>
      </c>
      <c r="I3" s="111" t="s">
        <v>71</v>
      </c>
      <c r="J3" s="111" t="s">
        <v>72</v>
      </c>
      <c r="K3" s="111" t="s">
        <v>73</v>
      </c>
      <c r="L3" s="111" t="s">
        <v>74</v>
      </c>
      <c r="M3" s="111"/>
    </row>
    <row r="4" spans="1:26" s="104" customFormat="1" ht="47.25" customHeight="1" x14ac:dyDescent="0.35">
      <c r="B4" s="116"/>
      <c r="C4" s="33" t="s">
        <v>75</v>
      </c>
      <c r="D4" s="33" t="s">
        <v>76</v>
      </c>
      <c r="E4" s="33" t="s">
        <v>77</v>
      </c>
      <c r="F4" s="112"/>
      <c r="G4" s="112"/>
      <c r="H4" s="112"/>
      <c r="I4" s="112"/>
      <c r="J4" s="112"/>
      <c r="K4" s="112"/>
      <c r="L4" s="112"/>
      <c r="M4" s="112"/>
    </row>
    <row r="5" spans="1:26" s="104" customFormat="1" ht="18" hidden="1" customHeight="1" x14ac:dyDescent="0.35">
      <c r="D5" s="34" t="s">
        <v>78</v>
      </c>
      <c r="E5" s="34" t="s">
        <v>79</v>
      </c>
      <c r="F5" s="35" t="s">
        <v>80</v>
      </c>
      <c r="G5" s="35" t="s">
        <v>81</v>
      </c>
      <c r="H5" s="34" t="s">
        <v>82</v>
      </c>
      <c r="I5" s="34" t="s">
        <v>83</v>
      </c>
      <c r="J5" s="36" t="s">
        <v>84</v>
      </c>
      <c r="K5" s="104" t="s">
        <v>85</v>
      </c>
      <c r="L5" s="104" t="s">
        <v>86</v>
      </c>
    </row>
    <row r="6" spans="1:26" s="104" customFormat="1" ht="25.5" customHeight="1" x14ac:dyDescent="0.35">
      <c r="B6" s="37" t="s">
        <v>0</v>
      </c>
      <c r="C6" s="38">
        <f>C7+C48</f>
        <v>49423</v>
      </c>
      <c r="D6" s="38">
        <f t="shared" ref="D6:L6" si="0">D7+D48</f>
        <v>33851</v>
      </c>
      <c r="E6" s="38">
        <f t="shared" si="0"/>
        <v>15572</v>
      </c>
      <c r="F6" s="38">
        <f t="shared" si="0"/>
        <v>14734</v>
      </c>
      <c r="G6" s="38">
        <f t="shared" si="0"/>
        <v>1424</v>
      </c>
      <c r="H6" s="38">
        <f t="shared" si="0"/>
        <v>635</v>
      </c>
      <c r="I6" s="38">
        <f t="shared" si="0"/>
        <v>82</v>
      </c>
      <c r="J6" s="38">
        <f t="shared" si="0"/>
        <v>105</v>
      </c>
      <c r="K6" s="38">
        <f t="shared" si="0"/>
        <v>3500</v>
      </c>
      <c r="L6" s="38">
        <f t="shared" si="0"/>
        <v>1647617.1625000001</v>
      </c>
      <c r="M6" s="39"/>
      <c r="N6" s="40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s="37" customFormat="1" ht="26.25" customHeight="1" x14ac:dyDescent="0.35">
      <c r="A7" s="27"/>
      <c r="B7" s="37" t="s">
        <v>52</v>
      </c>
      <c r="C7" s="42">
        <f>SUM(C8:C47)</f>
        <v>30298</v>
      </c>
      <c r="D7" s="42">
        <f t="shared" ref="D7:L7" si="1">SUM(D8:D47)</f>
        <v>21122</v>
      </c>
      <c r="E7" s="42">
        <f t="shared" si="1"/>
        <v>9176</v>
      </c>
      <c r="F7" s="42">
        <f t="shared" si="1"/>
        <v>8033</v>
      </c>
      <c r="G7" s="42">
        <f t="shared" si="1"/>
        <v>752</v>
      </c>
      <c r="H7" s="42">
        <f t="shared" si="1"/>
        <v>415</v>
      </c>
      <c r="I7" s="42">
        <f t="shared" si="1"/>
        <v>41</v>
      </c>
      <c r="J7" s="42">
        <f t="shared" si="1"/>
        <v>96</v>
      </c>
      <c r="K7" s="42">
        <f t="shared" si="1"/>
        <v>2544</v>
      </c>
      <c r="L7" s="42">
        <f t="shared" si="1"/>
        <v>1081522.1625000001</v>
      </c>
      <c r="N7" s="41"/>
      <c r="O7" s="41"/>
      <c r="P7" s="41"/>
      <c r="Q7" s="41"/>
      <c r="R7" s="41"/>
      <c r="S7" s="41"/>
      <c r="T7" s="41"/>
      <c r="U7" s="41"/>
      <c r="V7" s="41"/>
      <c r="W7" s="41"/>
    </row>
    <row r="8" spans="1:26" s="104" customFormat="1" ht="12.5" x14ac:dyDescent="0.35">
      <c r="A8" s="28">
        <v>51</v>
      </c>
      <c r="B8" s="104" t="s">
        <v>5</v>
      </c>
      <c r="C8" s="41">
        <v>282</v>
      </c>
      <c r="D8" s="41">
        <v>130</v>
      </c>
      <c r="E8" s="41">
        <v>152</v>
      </c>
      <c r="F8" s="41">
        <v>149</v>
      </c>
      <c r="G8" s="41">
        <v>13</v>
      </c>
      <c r="H8" s="41">
        <v>20</v>
      </c>
      <c r="I8" s="41">
        <v>0</v>
      </c>
      <c r="J8" s="41">
        <v>3</v>
      </c>
      <c r="K8" s="41">
        <v>44</v>
      </c>
      <c r="L8" s="41">
        <v>18781</v>
      </c>
      <c r="N8" s="44"/>
      <c r="O8" s="41"/>
      <c r="P8" s="41"/>
      <c r="Q8" s="41"/>
      <c r="R8" s="41"/>
      <c r="S8" s="41"/>
      <c r="T8" s="41"/>
      <c r="U8" s="41"/>
      <c r="V8" s="41"/>
      <c r="W8" s="41"/>
    </row>
    <row r="9" spans="1:26" s="104" customFormat="1" ht="12.5" x14ac:dyDescent="0.35">
      <c r="A9" s="28">
        <v>52</v>
      </c>
      <c r="B9" s="104" t="s">
        <v>6</v>
      </c>
      <c r="C9" s="41">
        <v>1321</v>
      </c>
      <c r="D9" s="41">
        <v>1210</v>
      </c>
      <c r="E9" s="41">
        <v>111</v>
      </c>
      <c r="F9" s="41">
        <v>0</v>
      </c>
      <c r="G9" s="41">
        <v>1</v>
      </c>
      <c r="H9" s="41">
        <v>2</v>
      </c>
      <c r="I9" s="41">
        <v>0</v>
      </c>
      <c r="J9" s="41">
        <v>0</v>
      </c>
      <c r="K9" s="41">
        <v>15</v>
      </c>
      <c r="L9" s="41">
        <v>19748</v>
      </c>
      <c r="N9" s="41"/>
      <c r="O9" s="41"/>
      <c r="P9" s="41"/>
      <c r="Q9" s="41"/>
      <c r="R9" s="41"/>
      <c r="S9" s="41"/>
      <c r="T9" s="41"/>
      <c r="U9" s="41"/>
      <c r="V9" s="41"/>
      <c r="W9" s="41"/>
    </row>
    <row r="10" spans="1:26" s="104" customFormat="1" ht="12.5" x14ac:dyDescent="0.35">
      <c r="A10" s="28">
        <v>86</v>
      </c>
      <c r="B10" s="104" t="s">
        <v>7</v>
      </c>
      <c r="C10" s="41">
        <v>943</v>
      </c>
      <c r="D10" s="41">
        <v>564</v>
      </c>
      <c r="E10" s="41">
        <v>379</v>
      </c>
      <c r="F10" s="41">
        <v>257</v>
      </c>
      <c r="G10" s="41">
        <v>23</v>
      </c>
      <c r="H10" s="41">
        <v>2</v>
      </c>
      <c r="I10" s="41">
        <v>2</v>
      </c>
      <c r="J10" s="41">
        <v>4</v>
      </c>
      <c r="K10" s="41">
        <v>361</v>
      </c>
      <c r="L10" s="41" t="s">
        <v>95</v>
      </c>
      <c r="N10" s="41"/>
      <c r="O10" s="41"/>
      <c r="P10" s="41"/>
      <c r="Q10" s="41"/>
      <c r="R10" s="41"/>
      <c r="S10" s="41"/>
      <c r="T10" s="41"/>
      <c r="U10" s="41"/>
      <c r="V10" s="41"/>
      <c r="W10" s="41"/>
    </row>
    <row r="11" spans="1:26" s="104" customFormat="1" ht="12.5" x14ac:dyDescent="0.35">
      <c r="A11" s="28">
        <v>53</v>
      </c>
      <c r="B11" s="104" t="s">
        <v>8</v>
      </c>
      <c r="C11" s="41">
        <v>364</v>
      </c>
      <c r="D11" s="41">
        <v>125</v>
      </c>
      <c r="E11" s="41">
        <v>239</v>
      </c>
      <c r="F11" s="41">
        <v>251</v>
      </c>
      <c r="G11" s="41">
        <v>5</v>
      </c>
      <c r="H11" s="41">
        <v>1</v>
      </c>
      <c r="I11" s="41">
        <v>0</v>
      </c>
      <c r="J11" s="41">
        <v>1</v>
      </c>
      <c r="K11" s="41">
        <v>17</v>
      </c>
      <c r="L11" s="41">
        <v>12678</v>
      </c>
      <c r="N11" s="41"/>
      <c r="O11" s="41"/>
      <c r="P11" s="41"/>
      <c r="Q11" s="41"/>
      <c r="R11" s="41"/>
      <c r="S11" s="41"/>
      <c r="T11" s="41"/>
      <c r="U11" s="41"/>
      <c r="V11" s="41"/>
      <c r="W11" s="41"/>
    </row>
    <row r="12" spans="1:26" s="104" customFormat="1" ht="12.5" x14ac:dyDescent="0.35">
      <c r="A12" s="28">
        <v>54</v>
      </c>
      <c r="B12" s="104" t="s">
        <v>9</v>
      </c>
      <c r="C12" s="41">
        <v>1506</v>
      </c>
      <c r="D12" s="41">
        <v>1240</v>
      </c>
      <c r="E12" s="41">
        <v>266</v>
      </c>
      <c r="F12" s="41">
        <v>219</v>
      </c>
      <c r="G12" s="41">
        <v>2</v>
      </c>
      <c r="H12" s="41">
        <v>0</v>
      </c>
      <c r="I12" s="41">
        <v>0</v>
      </c>
      <c r="J12" s="41">
        <v>0</v>
      </c>
      <c r="K12" s="41">
        <v>77</v>
      </c>
      <c r="L12" s="41">
        <v>35597</v>
      </c>
      <c r="N12" s="41"/>
      <c r="O12" s="41"/>
      <c r="P12" s="41"/>
      <c r="Q12" s="41"/>
      <c r="R12" s="41"/>
      <c r="S12" s="41"/>
      <c r="T12" s="41"/>
      <c r="U12" s="41"/>
      <c r="V12" s="41"/>
      <c r="W12" s="41"/>
    </row>
    <row r="13" spans="1:26" s="104" customFormat="1" ht="12.5" x14ac:dyDescent="0.35">
      <c r="A13" s="28">
        <v>55</v>
      </c>
      <c r="B13" s="104" t="s">
        <v>10</v>
      </c>
      <c r="C13" s="41">
        <v>1317</v>
      </c>
      <c r="D13" s="41">
        <v>864</v>
      </c>
      <c r="E13" s="41">
        <v>453</v>
      </c>
      <c r="F13" s="41">
        <v>424</v>
      </c>
      <c r="G13" s="41">
        <v>26</v>
      </c>
      <c r="H13" s="41">
        <v>5</v>
      </c>
      <c r="I13" s="41">
        <v>3</v>
      </c>
      <c r="J13" s="41">
        <v>0</v>
      </c>
      <c r="K13" s="41">
        <v>199</v>
      </c>
      <c r="L13" s="41">
        <v>27374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</row>
    <row r="14" spans="1:26" s="104" customFormat="1" ht="12.5" x14ac:dyDescent="0.35">
      <c r="A14" s="28">
        <v>56</v>
      </c>
      <c r="B14" s="104" t="s">
        <v>11</v>
      </c>
      <c r="C14" s="41">
        <v>1862</v>
      </c>
      <c r="D14" s="41">
        <v>1638</v>
      </c>
      <c r="E14" s="41">
        <v>224</v>
      </c>
      <c r="F14" s="41">
        <v>161</v>
      </c>
      <c r="G14" s="41">
        <v>3</v>
      </c>
      <c r="H14" s="41">
        <v>7</v>
      </c>
      <c r="I14" s="41">
        <v>0</v>
      </c>
      <c r="J14" s="41">
        <v>0</v>
      </c>
      <c r="K14" s="41">
        <v>24</v>
      </c>
      <c r="L14" s="41">
        <v>15352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</row>
    <row r="15" spans="1:26" s="104" customFormat="1" ht="12.5" x14ac:dyDescent="0.35">
      <c r="A15" s="28">
        <v>57</v>
      </c>
      <c r="B15" s="104" t="s">
        <v>12</v>
      </c>
      <c r="C15" s="41">
        <v>505</v>
      </c>
      <c r="D15" s="41">
        <v>362</v>
      </c>
      <c r="E15" s="41">
        <v>143</v>
      </c>
      <c r="F15" s="41">
        <v>126</v>
      </c>
      <c r="G15" s="41">
        <v>15</v>
      </c>
      <c r="H15" s="41">
        <v>9</v>
      </c>
      <c r="I15" s="41">
        <v>0</v>
      </c>
      <c r="J15" s="41">
        <v>0</v>
      </c>
      <c r="K15" s="41">
        <v>41</v>
      </c>
      <c r="L15" s="41">
        <v>18582</v>
      </c>
      <c r="N15" s="41"/>
      <c r="O15" s="41"/>
      <c r="P15" s="41"/>
      <c r="Q15" s="41"/>
      <c r="R15" s="41"/>
      <c r="S15" s="41"/>
      <c r="T15" s="41"/>
      <c r="U15" s="41"/>
      <c r="V15" s="41"/>
      <c r="W15" s="41"/>
    </row>
    <row r="16" spans="1:26" s="104" customFormat="1" ht="12.5" x14ac:dyDescent="0.35">
      <c r="A16" s="28">
        <v>59</v>
      </c>
      <c r="B16" s="104" t="s">
        <v>13</v>
      </c>
      <c r="C16" s="41">
        <v>1056</v>
      </c>
      <c r="D16" s="41">
        <v>682</v>
      </c>
      <c r="E16" s="41">
        <v>374</v>
      </c>
      <c r="F16" s="41">
        <v>337</v>
      </c>
      <c r="G16" s="41">
        <v>28</v>
      </c>
      <c r="H16" s="41">
        <v>7</v>
      </c>
      <c r="I16" s="41">
        <v>1</v>
      </c>
      <c r="J16" s="41">
        <v>0</v>
      </c>
      <c r="K16" s="41">
        <v>21</v>
      </c>
      <c r="L16" s="41">
        <v>7455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</row>
    <row r="17" spans="1:23" s="104" customFormat="1" ht="12.5" x14ac:dyDescent="0.35">
      <c r="A17" s="28">
        <v>60</v>
      </c>
      <c r="B17" s="104" t="s">
        <v>14</v>
      </c>
      <c r="C17" s="41">
        <v>980</v>
      </c>
      <c r="D17" s="41">
        <v>612</v>
      </c>
      <c r="E17" s="41">
        <v>368</v>
      </c>
      <c r="F17" s="41">
        <v>324</v>
      </c>
      <c r="G17" s="41">
        <v>39</v>
      </c>
      <c r="H17" s="41">
        <v>13</v>
      </c>
      <c r="I17" s="41">
        <v>0</v>
      </c>
      <c r="J17" s="41">
        <v>0</v>
      </c>
      <c r="K17" s="41">
        <v>305</v>
      </c>
      <c r="L17" s="41">
        <v>34845</v>
      </c>
      <c r="N17" s="41"/>
      <c r="O17" s="41"/>
      <c r="P17" s="41"/>
      <c r="Q17" s="41"/>
      <c r="R17" s="41"/>
      <c r="S17" s="41"/>
      <c r="T17" s="41"/>
      <c r="U17" s="41"/>
      <c r="V17" s="41"/>
      <c r="W17" s="41"/>
    </row>
    <row r="18" spans="1:23" s="104" customFormat="1" ht="12.5" x14ac:dyDescent="0.35">
      <c r="A18" s="28">
        <v>61</v>
      </c>
      <c r="B18" s="45" t="s">
        <v>53</v>
      </c>
      <c r="C18" s="41">
        <v>683</v>
      </c>
      <c r="D18" s="41">
        <v>181</v>
      </c>
      <c r="E18" s="41">
        <v>502</v>
      </c>
      <c r="F18" s="41">
        <v>428</v>
      </c>
      <c r="G18" s="41">
        <v>45</v>
      </c>
      <c r="H18" s="41">
        <v>44</v>
      </c>
      <c r="I18" s="41">
        <v>6</v>
      </c>
      <c r="J18" s="41">
        <v>4</v>
      </c>
      <c r="K18" s="41">
        <v>59</v>
      </c>
      <c r="L18" s="41">
        <v>97800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</row>
    <row r="19" spans="1:23" s="104" customFormat="1" ht="12.5" x14ac:dyDescent="0.35">
      <c r="A19" s="28"/>
      <c r="B19" s="45" t="s">
        <v>113</v>
      </c>
      <c r="C19" s="41">
        <v>1230</v>
      </c>
      <c r="D19" s="41">
        <v>879</v>
      </c>
      <c r="E19" s="41">
        <v>351</v>
      </c>
      <c r="F19" s="41">
        <v>96</v>
      </c>
      <c r="G19" s="41">
        <v>7</v>
      </c>
      <c r="H19" s="41">
        <v>19</v>
      </c>
      <c r="I19" s="41">
        <v>1</v>
      </c>
      <c r="J19" s="41">
        <v>0</v>
      </c>
      <c r="K19" s="41">
        <v>5</v>
      </c>
      <c r="L19" s="41">
        <v>95621</v>
      </c>
      <c r="N19" s="41"/>
      <c r="O19" s="41"/>
      <c r="P19" s="41"/>
      <c r="Q19" s="41"/>
      <c r="R19" s="41"/>
      <c r="S19" s="41"/>
      <c r="T19" s="41"/>
      <c r="U19" s="41"/>
      <c r="V19" s="41"/>
      <c r="W19" s="41"/>
    </row>
    <row r="20" spans="1:23" s="104" customFormat="1" ht="12.5" x14ac:dyDescent="0.35">
      <c r="A20" s="28">
        <v>62</v>
      </c>
      <c r="B20" s="104" t="s">
        <v>16</v>
      </c>
      <c r="C20" s="41" t="s">
        <v>114</v>
      </c>
      <c r="D20" s="41" t="s">
        <v>114</v>
      </c>
      <c r="E20" s="41" t="s">
        <v>114</v>
      </c>
      <c r="F20" s="41" t="s">
        <v>114</v>
      </c>
      <c r="G20" s="41" t="s">
        <v>114</v>
      </c>
      <c r="H20" s="41" t="s">
        <v>114</v>
      </c>
      <c r="I20" s="41" t="s">
        <v>114</v>
      </c>
      <c r="J20" s="41" t="s">
        <v>114</v>
      </c>
      <c r="K20" s="41" t="s">
        <v>114</v>
      </c>
      <c r="L20" s="41" t="s">
        <v>114</v>
      </c>
      <c r="N20" s="41"/>
      <c r="O20" s="41"/>
      <c r="P20" s="41"/>
      <c r="Q20" s="41"/>
      <c r="R20" s="41"/>
      <c r="S20" s="41"/>
      <c r="T20" s="41"/>
      <c r="U20" s="41"/>
      <c r="V20" s="41"/>
      <c r="W20" s="41"/>
    </row>
    <row r="21" spans="1:23" s="104" customFormat="1" ht="12.5" x14ac:dyDescent="0.35">
      <c r="A21" s="28">
        <v>58</v>
      </c>
      <c r="B21" s="104" t="s">
        <v>17</v>
      </c>
      <c r="C21" s="41">
        <v>2138</v>
      </c>
      <c r="D21" s="41">
        <v>1815</v>
      </c>
      <c r="E21" s="41">
        <v>323</v>
      </c>
      <c r="F21" s="41">
        <v>353</v>
      </c>
      <c r="G21" s="41">
        <v>0</v>
      </c>
      <c r="H21" s="41">
        <v>4</v>
      </c>
      <c r="I21" s="41">
        <v>0</v>
      </c>
      <c r="J21" s="41">
        <v>0</v>
      </c>
      <c r="K21" s="41">
        <v>1</v>
      </c>
      <c r="L21" s="41">
        <v>15699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</row>
    <row r="22" spans="1:23" s="104" customFormat="1" ht="12.5" x14ac:dyDescent="0.35">
      <c r="A22" s="28">
        <v>63</v>
      </c>
      <c r="B22" s="104" t="s">
        <v>18</v>
      </c>
      <c r="C22" s="41">
        <v>499</v>
      </c>
      <c r="D22" s="41">
        <v>372</v>
      </c>
      <c r="E22" s="41">
        <v>127</v>
      </c>
      <c r="F22" s="41">
        <v>117</v>
      </c>
      <c r="G22" s="41">
        <v>7</v>
      </c>
      <c r="H22" s="41">
        <v>17</v>
      </c>
      <c r="I22" s="41">
        <v>2</v>
      </c>
      <c r="J22" s="41">
        <v>1</v>
      </c>
      <c r="K22" s="41">
        <v>123</v>
      </c>
      <c r="L22" s="41">
        <v>27060</v>
      </c>
      <c r="N22" s="41"/>
      <c r="O22" s="41"/>
      <c r="P22" s="41"/>
      <c r="Q22" s="41"/>
      <c r="R22" s="41"/>
      <c r="S22" s="41"/>
      <c r="T22" s="41"/>
      <c r="U22" s="41"/>
      <c r="V22" s="41"/>
      <c r="W22" s="41"/>
    </row>
    <row r="23" spans="1:23" s="104" customFormat="1" ht="12.5" x14ac:dyDescent="0.35">
      <c r="A23" s="28">
        <v>64</v>
      </c>
      <c r="B23" s="104" t="s">
        <v>19</v>
      </c>
      <c r="C23" s="41">
        <v>1290</v>
      </c>
      <c r="D23" s="41">
        <v>1252</v>
      </c>
      <c r="E23" s="41">
        <v>38</v>
      </c>
      <c r="F23" s="41">
        <v>112</v>
      </c>
      <c r="G23" s="41">
        <v>5</v>
      </c>
      <c r="H23" s="41">
        <v>0</v>
      </c>
      <c r="I23" s="41">
        <v>8</v>
      </c>
      <c r="J23" s="41">
        <v>3</v>
      </c>
      <c r="K23" s="41">
        <v>2</v>
      </c>
      <c r="L23" s="41">
        <v>41430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</row>
    <row r="24" spans="1:23" s="104" customFormat="1" ht="12.5" x14ac:dyDescent="0.35">
      <c r="A24" s="28">
        <v>65</v>
      </c>
      <c r="B24" s="104" t="s">
        <v>20</v>
      </c>
      <c r="C24" s="41">
        <v>277</v>
      </c>
      <c r="D24" s="41">
        <v>217</v>
      </c>
      <c r="E24" s="41">
        <v>60</v>
      </c>
      <c r="F24" s="41">
        <v>43</v>
      </c>
      <c r="G24" s="41">
        <v>8</v>
      </c>
      <c r="H24" s="41">
        <v>4</v>
      </c>
      <c r="I24" s="41">
        <v>1</v>
      </c>
      <c r="J24" s="41">
        <v>0</v>
      </c>
      <c r="K24" s="41">
        <v>10</v>
      </c>
      <c r="L24" s="41">
        <v>16674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</row>
    <row r="25" spans="1:23" s="104" customFormat="1" ht="12.5" x14ac:dyDescent="0.35">
      <c r="A25" s="28">
        <v>67</v>
      </c>
      <c r="B25" s="104" t="s">
        <v>23</v>
      </c>
      <c r="C25" s="41">
        <v>457</v>
      </c>
      <c r="D25" s="41">
        <v>148</v>
      </c>
      <c r="E25" s="41">
        <v>309</v>
      </c>
      <c r="F25" s="41">
        <v>165</v>
      </c>
      <c r="G25" s="41">
        <v>1</v>
      </c>
      <c r="H25" s="41">
        <v>24</v>
      </c>
      <c r="I25" s="41">
        <v>0</v>
      </c>
      <c r="J25" s="41">
        <v>5</v>
      </c>
      <c r="K25" s="41">
        <v>141</v>
      </c>
      <c r="L25" s="41">
        <v>104639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</row>
    <row r="26" spans="1:23" s="104" customFormat="1" ht="12.5" x14ac:dyDescent="0.35">
      <c r="A26" s="28">
        <v>68</v>
      </c>
      <c r="B26" s="104" t="s">
        <v>54</v>
      </c>
      <c r="C26" s="41">
        <v>726</v>
      </c>
      <c r="D26" s="41">
        <v>362</v>
      </c>
      <c r="E26" s="41">
        <v>364</v>
      </c>
      <c r="F26" s="41">
        <v>319</v>
      </c>
      <c r="G26" s="41">
        <v>132</v>
      </c>
      <c r="H26" s="41">
        <v>113</v>
      </c>
      <c r="I26" s="41">
        <v>0</v>
      </c>
      <c r="J26" s="41">
        <v>62</v>
      </c>
      <c r="K26" s="41">
        <v>112</v>
      </c>
      <c r="L26" s="41">
        <v>18689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</row>
    <row r="27" spans="1:23" s="104" customFormat="1" ht="12.5" x14ac:dyDescent="0.35">
      <c r="A27" s="28">
        <v>69</v>
      </c>
      <c r="B27" s="104" t="s">
        <v>25</v>
      </c>
      <c r="C27" s="41">
        <v>282</v>
      </c>
      <c r="D27" s="41">
        <v>256</v>
      </c>
      <c r="E27" s="41">
        <v>26</v>
      </c>
      <c r="F27" s="41">
        <v>30</v>
      </c>
      <c r="G27" s="41">
        <v>6</v>
      </c>
      <c r="H27" s="41">
        <v>6</v>
      </c>
      <c r="I27" s="41">
        <v>0</v>
      </c>
      <c r="J27" s="41">
        <v>0</v>
      </c>
      <c r="K27" s="41">
        <v>24</v>
      </c>
      <c r="L27" s="41">
        <v>27885</v>
      </c>
      <c r="N27" s="41"/>
      <c r="O27" s="41"/>
      <c r="P27" s="41"/>
      <c r="Q27" s="41"/>
      <c r="R27" s="41"/>
      <c r="S27" s="41"/>
      <c r="T27" s="41"/>
      <c r="U27" s="41"/>
      <c r="V27" s="41"/>
      <c r="W27" s="41"/>
    </row>
    <row r="28" spans="1:23" s="104" customFormat="1" ht="12.5" x14ac:dyDescent="0.35">
      <c r="A28" s="28">
        <v>70</v>
      </c>
      <c r="B28" s="104" t="s">
        <v>26</v>
      </c>
      <c r="C28" s="41">
        <v>881</v>
      </c>
      <c r="D28" s="41">
        <v>715</v>
      </c>
      <c r="E28" s="41">
        <v>166</v>
      </c>
      <c r="F28" s="41">
        <v>128</v>
      </c>
      <c r="G28" s="41">
        <v>21</v>
      </c>
      <c r="H28" s="41">
        <v>6</v>
      </c>
      <c r="I28" s="41">
        <v>0</v>
      </c>
      <c r="J28" s="41">
        <v>4</v>
      </c>
      <c r="K28" s="41">
        <v>117</v>
      </c>
      <c r="L28" s="41">
        <v>38319</v>
      </c>
      <c r="N28" s="41"/>
      <c r="O28" s="41"/>
      <c r="P28" s="41"/>
      <c r="Q28" s="41"/>
      <c r="R28" s="41"/>
      <c r="S28" s="41"/>
      <c r="T28" s="41"/>
      <c r="U28" s="41"/>
      <c r="V28" s="41"/>
      <c r="W28" s="41"/>
    </row>
    <row r="29" spans="1:23" s="104" customFormat="1" ht="12.5" x14ac:dyDescent="0.35">
      <c r="A29" s="28">
        <v>71</v>
      </c>
      <c r="B29" s="104" t="s">
        <v>55</v>
      </c>
      <c r="C29" s="41">
        <v>106</v>
      </c>
      <c r="D29" s="41">
        <v>66</v>
      </c>
      <c r="E29" s="41">
        <v>40</v>
      </c>
      <c r="F29" s="41">
        <v>40</v>
      </c>
      <c r="G29" s="41">
        <v>2</v>
      </c>
      <c r="H29" s="41">
        <v>0</v>
      </c>
      <c r="I29" s="41">
        <v>0</v>
      </c>
      <c r="J29" s="41">
        <v>0</v>
      </c>
      <c r="K29" s="41">
        <v>1</v>
      </c>
      <c r="L29" s="41">
        <v>6492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</row>
    <row r="30" spans="1:23" s="104" customFormat="1" ht="12.5" x14ac:dyDescent="0.35">
      <c r="A30" s="28">
        <v>73</v>
      </c>
      <c r="B30" s="104" t="s">
        <v>29</v>
      </c>
      <c r="C30" s="41">
        <v>802</v>
      </c>
      <c r="D30" s="41">
        <v>649</v>
      </c>
      <c r="E30" s="41">
        <v>153</v>
      </c>
      <c r="F30" s="41">
        <v>232</v>
      </c>
      <c r="G30" s="41">
        <v>77</v>
      </c>
      <c r="H30" s="41">
        <v>12</v>
      </c>
      <c r="I30" s="41">
        <v>0</v>
      </c>
      <c r="J30" s="41">
        <v>0</v>
      </c>
      <c r="K30" s="41">
        <v>44</v>
      </c>
      <c r="L30" s="41">
        <v>25440</v>
      </c>
      <c r="N30" s="41"/>
      <c r="O30" s="41"/>
      <c r="P30" s="41"/>
      <c r="Q30" s="41"/>
      <c r="R30" s="41"/>
      <c r="S30" s="41"/>
      <c r="T30" s="41"/>
      <c r="U30" s="41"/>
      <c r="V30" s="41"/>
      <c r="W30" s="41"/>
    </row>
    <row r="31" spans="1:23" s="104" customFormat="1" ht="12.5" x14ac:dyDescent="0.35">
      <c r="A31" s="28">
        <v>74</v>
      </c>
      <c r="B31" s="104" t="s">
        <v>30</v>
      </c>
      <c r="C31" s="41">
        <v>2101</v>
      </c>
      <c r="D31" s="41">
        <v>561</v>
      </c>
      <c r="E31" s="41">
        <v>1540</v>
      </c>
      <c r="F31" s="41">
        <v>1317</v>
      </c>
      <c r="G31" s="41">
        <v>125</v>
      </c>
      <c r="H31" s="41">
        <v>14</v>
      </c>
      <c r="I31" s="41">
        <v>7</v>
      </c>
      <c r="J31" s="41">
        <v>3</v>
      </c>
      <c r="K31" s="41">
        <v>53</v>
      </c>
      <c r="L31" s="41">
        <v>25510</v>
      </c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1:23" s="104" customFormat="1" ht="12.5" x14ac:dyDescent="0.35">
      <c r="A32" s="28">
        <v>75</v>
      </c>
      <c r="B32" s="104" t="s">
        <v>31</v>
      </c>
      <c r="C32" s="41">
        <v>259</v>
      </c>
      <c r="D32" s="41">
        <v>166</v>
      </c>
      <c r="E32" s="41">
        <v>93</v>
      </c>
      <c r="F32" s="41">
        <v>128</v>
      </c>
      <c r="G32" s="41">
        <v>37</v>
      </c>
      <c r="H32" s="41">
        <v>13</v>
      </c>
      <c r="I32" s="41">
        <v>1</v>
      </c>
      <c r="J32" s="41">
        <v>3</v>
      </c>
      <c r="K32" s="41">
        <v>77</v>
      </c>
      <c r="L32" s="41">
        <v>25587</v>
      </c>
      <c r="N32" s="41"/>
      <c r="O32" s="41"/>
      <c r="P32" s="41"/>
      <c r="Q32" s="41"/>
      <c r="R32" s="41"/>
      <c r="S32" s="41"/>
      <c r="T32" s="41"/>
      <c r="U32" s="41"/>
      <c r="V32" s="41"/>
      <c r="W32" s="41"/>
    </row>
    <row r="33" spans="1:23" s="104" customFormat="1" ht="14.5" x14ac:dyDescent="0.35">
      <c r="A33" s="28">
        <v>76</v>
      </c>
      <c r="B33" s="104" t="s">
        <v>87</v>
      </c>
      <c r="C33" s="41">
        <v>299</v>
      </c>
      <c r="D33" s="41">
        <v>198</v>
      </c>
      <c r="E33" s="41">
        <v>101</v>
      </c>
      <c r="F33" s="41">
        <v>85</v>
      </c>
      <c r="G33" s="41">
        <v>6</v>
      </c>
      <c r="H33" s="41">
        <v>3</v>
      </c>
      <c r="I33" s="41">
        <v>0</v>
      </c>
      <c r="J33" s="41">
        <v>1</v>
      </c>
      <c r="K33" s="41">
        <v>4</v>
      </c>
      <c r="L33" s="41">
        <v>28639</v>
      </c>
      <c r="N33" s="41"/>
      <c r="O33" s="41"/>
      <c r="P33" s="41"/>
      <c r="Q33" s="41"/>
      <c r="R33" s="41"/>
      <c r="S33" s="41"/>
      <c r="T33" s="41"/>
      <c r="U33" s="41"/>
      <c r="V33" s="41"/>
      <c r="W33" s="41"/>
    </row>
    <row r="34" spans="1:23" s="104" customFormat="1" ht="12.5" x14ac:dyDescent="0.35">
      <c r="A34" s="28">
        <v>79</v>
      </c>
      <c r="B34" s="104" t="s">
        <v>34</v>
      </c>
      <c r="C34" s="41">
        <v>676</v>
      </c>
      <c r="D34" s="41">
        <v>598</v>
      </c>
      <c r="E34" s="41">
        <v>78</v>
      </c>
      <c r="F34" s="41">
        <v>63</v>
      </c>
      <c r="G34" s="41">
        <v>4</v>
      </c>
      <c r="H34" s="41">
        <v>3</v>
      </c>
      <c r="I34" s="41">
        <v>1</v>
      </c>
      <c r="J34" s="41">
        <v>0</v>
      </c>
      <c r="K34" s="41">
        <v>99</v>
      </c>
      <c r="L34" s="41">
        <v>23275</v>
      </c>
      <c r="N34" s="41"/>
      <c r="O34" s="41"/>
      <c r="P34" s="41"/>
      <c r="Q34" s="41"/>
      <c r="R34" s="41"/>
      <c r="S34" s="41"/>
      <c r="T34" s="41"/>
      <c r="U34" s="41"/>
      <c r="V34" s="41"/>
      <c r="W34" s="41"/>
    </row>
    <row r="35" spans="1:23" s="104" customFormat="1" ht="12.5" x14ac:dyDescent="0.35">
      <c r="A35" s="28">
        <v>80</v>
      </c>
      <c r="B35" s="104" t="s">
        <v>35</v>
      </c>
      <c r="C35" s="41">
        <v>1767</v>
      </c>
      <c r="D35" s="41">
        <v>1182</v>
      </c>
      <c r="E35" s="41">
        <v>585</v>
      </c>
      <c r="F35" s="41">
        <v>563</v>
      </c>
      <c r="G35" s="41">
        <v>20</v>
      </c>
      <c r="H35" s="41">
        <v>4</v>
      </c>
      <c r="I35" s="41">
        <v>5</v>
      </c>
      <c r="J35" s="41">
        <v>0</v>
      </c>
      <c r="K35" s="41">
        <v>156</v>
      </c>
      <c r="L35" s="41">
        <v>44124</v>
      </c>
      <c r="N35" s="41"/>
      <c r="O35" s="41"/>
      <c r="P35" s="41"/>
      <c r="Q35" s="41"/>
      <c r="R35" s="41"/>
      <c r="S35" s="41"/>
      <c r="T35" s="41"/>
      <c r="U35" s="41"/>
      <c r="V35" s="41"/>
      <c r="W35" s="41"/>
    </row>
    <row r="36" spans="1:23" s="104" customFormat="1" ht="12.5" x14ac:dyDescent="0.35">
      <c r="A36" s="28">
        <v>81</v>
      </c>
      <c r="B36" s="104" t="s">
        <v>36</v>
      </c>
      <c r="C36" s="41">
        <v>510</v>
      </c>
      <c r="D36" s="41">
        <v>368</v>
      </c>
      <c r="E36" s="41">
        <v>142</v>
      </c>
      <c r="F36" s="41">
        <v>137</v>
      </c>
      <c r="G36" s="41">
        <v>19</v>
      </c>
      <c r="H36" s="41">
        <v>6</v>
      </c>
      <c r="I36" s="41">
        <v>0</v>
      </c>
      <c r="J36" s="41">
        <v>0</v>
      </c>
      <c r="K36" s="41">
        <v>5</v>
      </c>
      <c r="L36" s="41">
        <v>20981</v>
      </c>
      <c r="N36" s="41"/>
      <c r="O36" s="41"/>
      <c r="P36" s="41"/>
      <c r="Q36" s="41"/>
      <c r="R36" s="41"/>
      <c r="S36" s="41"/>
      <c r="T36" s="41"/>
      <c r="U36" s="41"/>
      <c r="V36" s="41"/>
      <c r="W36" s="41"/>
    </row>
    <row r="37" spans="1:23" s="104" customFormat="1" ht="12.5" x14ac:dyDescent="0.35">
      <c r="A37" s="28">
        <v>83</v>
      </c>
      <c r="B37" s="104" t="s">
        <v>37</v>
      </c>
      <c r="C37" s="41">
        <v>339</v>
      </c>
      <c r="D37" s="41">
        <v>226</v>
      </c>
      <c r="E37" s="41">
        <v>113</v>
      </c>
      <c r="F37" s="41">
        <v>99</v>
      </c>
      <c r="G37" s="41">
        <v>0</v>
      </c>
      <c r="H37" s="41">
        <v>1</v>
      </c>
      <c r="I37" s="41">
        <v>0</v>
      </c>
      <c r="J37" s="41">
        <v>0</v>
      </c>
      <c r="K37" s="41">
        <v>24</v>
      </c>
      <c r="L37" s="41">
        <v>8856</v>
      </c>
      <c r="N37" s="41"/>
      <c r="O37" s="41"/>
      <c r="P37" s="41"/>
      <c r="Q37" s="41"/>
      <c r="R37" s="41"/>
      <c r="S37" s="41"/>
      <c r="T37" s="41"/>
      <c r="U37" s="41"/>
      <c r="V37" s="41"/>
      <c r="W37" s="41"/>
    </row>
    <row r="38" spans="1:23" s="104" customFormat="1" ht="12.5" x14ac:dyDescent="0.35">
      <c r="A38" s="28">
        <v>84</v>
      </c>
      <c r="B38" s="104" t="s">
        <v>38</v>
      </c>
      <c r="C38" s="41">
        <v>853</v>
      </c>
      <c r="D38" s="41">
        <v>579</v>
      </c>
      <c r="E38" s="41">
        <v>274</v>
      </c>
      <c r="F38" s="41">
        <v>236</v>
      </c>
      <c r="G38" s="41">
        <v>19</v>
      </c>
      <c r="H38" s="41">
        <v>9</v>
      </c>
      <c r="I38" s="41">
        <v>0</v>
      </c>
      <c r="J38" s="41">
        <v>0</v>
      </c>
      <c r="K38" s="41">
        <v>170</v>
      </c>
      <c r="L38" s="41">
        <v>25537</v>
      </c>
      <c r="N38" s="41"/>
      <c r="O38" s="41"/>
      <c r="P38" s="41"/>
      <c r="Q38" s="41"/>
      <c r="R38" s="41"/>
      <c r="S38" s="41"/>
      <c r="T38" s="41"/>
      <c r="U38" s="41"/>
      <c r="V38" s="41"/>
      <c r="W38" s="41"/>
    </row>
    <row r="39" spans="1:23" s="104" customFormat="1" ht="12.5" x14ac:dyDescent="0.35">
      <c r="A39" s="28">
        <v>85</v>
      </c>
      <c r="B39" s="104" t="s">
        <v>39</v>
      </c>
      <c r="C39" s="41">
        <v>349</v>
      </c>
      <c r="D39" s="41">
        <v>233</v>
      </c>
      <c r="E39" s="41">
        <v>116</v>
      </c>
      <c r="F39" s="41">
        <v>98</v>
      </c>
      <c r="G39" s="41">
        <v>11</v>
      </c>
      <c r="H39" s="41">
        <v>5</v>
      </c>
      <c r="I39" s="41">
        <v>1</v>
      </c>
      <c r="J39" s="41">
        <v>2</v>
      </c>
      <c r="K39" s="41">
        <v>65</v>
      </c>
      <c r="L39" s="41">
        <v>19804</v>
      </c>
      <c r="N39" s="41"/>
      <c r="O39" s="41"/>
      <c r="P39" s="41"/>
      <c r="Q39" s="41"/>
      <c r="R39" s="41"/>
      <c r="S39" s="41"/>
      <c r="T39" s="41"/>
      <c r="U39" s="41"/>
      <c r="V39" s="41"/>
      <c r="W39" s="41"/>
    </row>
    <row r="40" spans="1:23" s="104" customFormat="1" ht="12.5" x14ac:dyDescent="0.35">
      <c r="A40" s="28">
        <v>87</v>
      </c>
      <c r="B40" s="104" t="s">
        <v>40</v>
      </c>
      <c r="C40" s="41">
        <v>451</v>
      </c>
      <c r="D40" s="41">
        <v>344</v>
      </c>
      <c r="E40" s="41">
        <v>107</v>
      </c>
      <c r="F40" s="41">
        <v>98</v>
      </c>
      <c r="G40" s="41">
        <v>2</v>
      </c>
      <c r="H40" s="41">
        <v>8</v>
      </c>
      <c r="I40" s="41">
        <v>0</v>
      </c>
      <c r="J40" s="41">
        <v>0</v>
      </c>
      <c r="K40" s="41">
        <v>79</v>
      </c>
      <c r="L40" s="41">
        <v>14709</v>
      </c>
      <c r="N40" s="41"/>
      <c r="O40" s="41"/>
      <c r="P40" s="41"/>
      <c r="Q40" s="41"/>
      <c r="R40" s="41"/>
      <c r="S40" s="41"/>
      <c r="T40" s="41"/>
      <c r="U40" s="41"/>
      <c r="V40" s="41"/>
      <c r="W40" s="41"/>
    </row>
    <row r="41" spans="1:23" s="104" customFormat="1" ht="14.5" x14ac:dyDescent="0.35">
      <c r="A41" s="28">
        <v>90</v>
      </c>
      <c r="B41" s="104" t="s">
        <v>88</v>
      </c>
      <c r="C41" s="41">
        <v>416</v>
      </c>
      <c r="D41" s="41">
        <v>249</v>
      </c>
      <c r="E41" s="41">
        <v>167</v>
      </c>
      <c r="F41" s="41">
        <v>162</v>
      </c>
      <c r="G41" s="41">
        <v>9</v>
      </c>
      <c r="H41" s="41">
        <v>4</v>
      </c>
      <c r="I41" s="41">
        <v>0</v>
      </c>
      <c r="J41" s="41">
        <v>0</v>
      </c>
      <c r="K41" s="41">
        <v>0</v>
      </c>
      <c r="L41" s="41">
        <v>26218</v>
      </c>
      <c r="N41" s="41"/>
      <c r="O41" s="41"/>
      <c r="P41" s="41"/>
      <c r="Q41" s="41"/>
      <c r="R41" s="41"/>
      <c r="S41" s="41"/>
      <c r="T41" s="41"/>
      <c r="U41" s="41"/>
      <c r="V41" s="41"/>
      <c r="W41" s="41"/>
    </row>
    <row r="42" spans="1:23" s="104" customFormat="1" ht="12.5" x14ac:dyDescent="0.35">
      <c r="A42" s="28">
        <v>91</v>
      </c>
      <c r="B42" s="104" t="s">
        <v>43</v>
      </c>
      <c r="C42" s="41">
        <v>294</v>
      </c>
      <c r="D42" s="41">
        <v>210</v>
      </c>
      <c r="E42" s="41">
        <v>84</v>
      </c>
      <c r="F42" s="41">
        <v>81</v>
      </c>
      <c r="G42" s="41">
        <v>2</v>
      </c>
      <c r="H42" s="41">
        <v>9</v>
      </c>
      <c r="I42" s="41">
        <v>0</v>
      </c>
      <c r="J42" s="41">
        <v>0</v>
      </c>
      <c r="K42" s="41">
        <v>13</v>
      </c>
      <c r="L42" s="41">
        <v>49187</v>
      </c>
      <c r="N42" s="41"/>
      <c r="O42" s="41"/>
      <c r="P42" s="41"/>
      <c r="Q42" s="41"/>
      <c r="R42" s="41"/>
      <c r="S42" s="41"/>
      <c r="T42" s="41"/>
      <c r="U42" s="41"/>
      <c r="V42" s="41"/>
      <c r="W42" s="41"/>
    </row>
    <row r="43" spans="1:23" s="104" customFormat="1" ht="12.5" x14ac:dyDescent="0.35">
      <c r="A43" s="28">
        <v>92</v>
      </c>
      <c r="B43" s="104" t="s">
        <v>44</v>
      </c>
      <c r="C43" s="41">
        <v>1525</v>
      </c>
      <c r="D43" s="41">
        <v>1162</v>
      </c>
      <c r="E43" s="41">
        <v>363</v>
      </c>
      <c r="F43" s="41">
        <v>330</v>
      </c>
      <c r="G43" s="41">
        <v>8</v>
      </c>
      <c r="H43" s="41">
        <v>4</v>
      </c>
      <c r="I43" s="41">
        <v>1</v>
      </c>
      <c r="J43" s="41">
        <v>0</v>
      </c>
      <c r="K43" s="41">
        <v>3</v>
      </c>
      <c r="L43" s="41">
        <v>29076.162500000002</v>
      </c>
      <c r="N43" s="41"/>
      <c r="O43" s="41"/>
      <c r="P43" s="41"/>
      <c r="Q43" s="41"/>
      <c r="R43" s="41"/>
      <c r="S43" s="41"/>
      <c r="T43" s="41"/>
      <c r="U43" s="41"/>
      <c r="V43" s="41"/>
      <c r="W43" s="41"/>
    </row>
    <row r="44" spans="1:23" s="104" customFormat="1" ht="12.5" x14ac:dyDescent="0.35">
      <c r="A44" s="28">
        <v>94</v>
      </c>
      <c r="B44" s="104" t="s">
        <v>46</v>
      </c>
      <c r="C44" s="41">
        <v>513</v>
      </c>
      <c r="D44" s="41">
        <v>307</v>
      </c>
      <c r="E44" s="41">
        <v>206</v>
      </c>
      <c r="F44" s="41">
        <v>189</v>
      </c>
      <c r="G44" s="41">
        <v>16</v>
      </c>
      <c r="H44" s="41">
        <v>11</v>
      </c>
      <c r="I44" s="41">
        <v>0</v>
      </c>
      <c r="J44" s="41">
        <v>0</v>
      </c>
      <c r="K44" s="41">
        <v>19</v>
      </c>
      <c r="L44" s="41">
        <v>13060</v>
      </c>
      <c r="N44" s="41"/>
      <c r="O44" s="41"/>
      <c r="P44" s="41"/>
      <c r="Q44" s="41"/>
      <c r="R44" s="41"/>
      <c r="S44" s="41"/>
      <c r="T44" s="41"/>
      <c r="U44" s="41"/>
      <c r="V44" s="41"/>
      <c r="W44" s="41"/>
    </row>
    <row r="45" spans="1:23" s="104" customFormat="1" ht="12.5" x14ac:dyDescent="0.35">
      <c r="A45" s="28">
        <v>96</v>
      </c>
      <c r="B45" s="104" t="s">
        <v>48</v>
      </c>
      <c r="C45" s="41">
        <v>439</v>
      </c>
      <c r="D45" s="41">
        <v>400</v>
      </c>
      <c r="E45" s="41">
        <v>39</v>
      </c>
      <c r="F45" s="41">
        <v>136</v>
      </c>
      <c r="G45" s="41">
        <v>8</v>
      </c>
      <c r="H45" s="41">
        <v>6</v>
      </c>
      <c r="I45" s="41">
        <v>1</v>
      </c>
      <c r="J45" s="41">
        <v>0</v>
      </c>
      <c r="K45" s="41">
        <v>34</v>
      </c>
      <c r="L45" s="41">
        <v>20799</v>
      </c>
      <c r="N45" s="41"/>
      <c r="O45" s="41"/>
      <c r="P45" s="41"/>
      <c r="Q45" s="41"/>
      <c r="R45" s="41"/>
      <c r="S45" s="41"/>
      <c r="T45" s="41"/>
      <c r="U45" s="41"/>
      <c r="V45" s="41"/>
      <c r="W45" s="41"/>
    </row>
    <row r="46" spans="1:23" s="104" customFormat="1" ht="12.5" x14ac:dyDescent="0.35">
      <c r="A46" s="28">
        <v>98</v>
      </c>
      <c r="B46" s="104" t="s">
        <v>50</v>
      </c>
      <c r="C46" s="41" t="s">
        <v>114</v>
      </c>
      <c r="D46" s="41" t="s">
        <v>114</v>
      </c>
      <c r="E46" s="41" t="s">
        <v>114</v>
      </c>
      <c r="F46" s="41" t="s">
        <v>114</v>
      </c>
      <c r="G46" s="41" t="s">
        <v>114</v>
      </c>
      <c r="H46" s="41" t="s">
        <v>114</v>
      </c>
      <c r="I46" s="41" t="s">
        <v>114</v>
      </c>
      <c r="J46" s="41" t="s">
        <v>114</v>
      </c>
      <c r="K46" s="41" t="s">
        <v>114</v>
      </c>
      <c r="L46" s="41" t="s">
        <v>114</v>
      </c>
      <c r="N46" s="41"/>
      <c r="O46" s="41"/>
      <c r="P46" s="41"/>
      <c r="Q46" s="41"/>
      <c r="R46" s="41"/>
      <c r="S46" s="41"/>
      <c r="T46" s="41"/>
      <c r="U46" s="41"/>
      <c r="V46" s="41"/>
      <c r="W46" s="41"/>
    </row>
    <row r="47" spans="1:23" s="104" customFormat="1" ht="12.5" x14ac:dyDescent="0.35">
      <c r="A47" s="28">
        <v>72</v>
      </c>
      <c r="B47" s="104" t="s">
        <v>28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N47" s="41"/>
      <c r="O47" s="41"/>
      <c r="P47" s="41"/>
      <c r="Q47" s="41"/>
      <c r="R47" s="41"/>
      <c r="S47" s="41"/>
      <c r="T47" s="41"/>
      <c r="U47" s="41"/>
      <c r="V47" s="41"/>
      <c r="W47" s="41"/>
    </row>
    <row r="48" spans="1:23" s="37" customFormat="1" ht="26.25" customHeight="1" x14ac:dyDescent="0.35">
      <c r="B48" s="37" t="s">
        <v>56</v>
      </c>
      <c r="C48" s="42">
        <f>SUM(C49:C55)</f>
        <v>19125</v>
      </c>
      <c r="D48" s="42">
        <f t="shared" ref="D48:L48" si="2">SUM(D49:D55)</f>
        <v>12729</v>
      </c>
      <c r="E48" s="42">
        <f t="shared" si="2"/>
        <v>6396</v>
      </c>
      <c r="F48" s="42">
        <f t="shared" si="2"/>
        <v>6701</v>
      </c>
      <c r="G48" s="42">
        <f t="shared" si="2"/>
        <v>672</v>
      </c>
      <c r="H48" s="42">
        <f t="shared" si="2"/>
        <v>220</v>
      </c>
      <c r="I48" s="42">
        <f t="shared" si="2"/>
        <v>41</v>
      </c>
      <c r="J48" s="42">
        <f t="shared" si="2"/>
        <v>9</v>
      </c>
      <c r="K48" s="42">
        <f t="shared" si="2"/>
        <v>956</v>
      </c>
      <c r="L48" s="42">
        <f t="shared" si="2"/>
        <v>566095</v>
      </c>
      <c r="N48" s="41"/>
      <c r="O48" s="41"/>
      <c r="P48" s="41"/>
      <c r="Q48" s="41"/>
      <c r="R48" s="41"/>
      <c r="S48" s="41"/>
      <c r="T48" s="41"/>
      <c r="U48" s="41"/>
      <c r="V48" s="41"/>
      <c r="W48" s="41"/>
    </row>
    <row r="49" spans="1:23" s="104" customFormat="1" ht="12.5" x14ac:dyDescent="0.35">
      <c r="A49" s="28">
        <v>66</v>
      </c>
      <c r="B49" s="104" t="s">
        <v>22</v>
      </c>
      <c r="C49" s="41">
        <v>1248</v>
      </c>
      <c r="D49" s="41">
        <v>554</v>
      </c>
      <c r="E49" s="41">
        <v>694</v>
      </c>
      <c r="F49" s="41">
        <v>579</v>
      </c>
      <c r="G49" s="41">
        <v>103</v>
      </c>
      <c r="H49" s="41">
        <v>38</v>
      </c>
      <c r="I49" s="41">
        <v>7</v>
      </c>
      <c r="J49" s="41">
        <v>0</v>
      </c>
      <c r="K49" s="41">
        <v>19</v>
      </c>
      <c r="L49" s="41">
        <v>112713</v>
      </c>
      <c r="N49" s="41"/>
      <c r="O49" s="41"/>
      <c r="P49" s="41"/>
      <c r="Q49" s="41"/>
      <c r="R49" s="41"/>
      <c r="S49" s="41"/>
      <c r="T49" s="41"/>
      <c r="U49" s="41"/>
      <c r="V49" s="41"/>
      <c r="W49" s="41"/>
    </row>
    <row r="50" spans="1:23" s="104" customFormat="1" ht="12.5" x14ac:dyDescent="0.35">
      <c r="A50" s="28">
        <v>78</v>
      </c>
      <c r="B50" s="104" t="s">
        <v>33</v>
      </c>
      <c r="C50" s="41">
        <v>908</v>
      </c>
      <c r="D50" s="41">
        <v>824</v>
      </c>
      <c r="E50" s="41">
        <v>84</v>
      </c>
      <c r="F50" s="41">
        <v>47</v>
      </c>
      <c r="G50" s="41">
        <v>37</v>
      </c>
      <c r="H50" s="41">
        <v>30</v>
      </c>
      <c r="I50" s="41">
        <v>0</v>
      </c>
      <c r="J50" s="41">
        <v>1</v>
      </c>
      <c r="K50" s="41">
        <v>46</v>
      </c>
      <c r="L50" s="41">
        <v>30427</v>
      </c>
      <c r="N50" s="41"/>
      <c r="O50" s="41"/>
      <c r="P50" s="41"/>
      <c r="Q50" s="41"/>
      <c r="R50" s="41"/>
      <c r="S50" s="41"/>
      <c r="T50" s="41"/>
      <c r="U50" s="41"/>
      <c r="V50" s="41"/>
      <c r="W50" s="41"/>
    </row>
    <row r="51" spans="1:23" s="104" customFormat="1" ht="12.5" x14ac:dyDescent="0.35">
      <c r="A51" s="28">
        <v>89</v>
      </c>
      <c r="B51" s="104" t="s">
        <v>41</v>
      </c>
      <c r="C51" s="41">
        <v>1454</v>
      </c>
      <c r="D51" s="41">
        <v>383</v>
      </c>
      <c r="E51" s="41">
        <v>1071</v>
      </c>
      <c r="F51" s="41">
        <v>876</v>
      </c>
      <c r="G51" s="41">
        <v>31</v>
      </c>
      <c r="H51" s="41">
        <v>17</v>
      </c>
      <c r="I51" s="41">
        <v>2</v>
      </c>
      <c r="J51" s="41">
        <v>0</v>
      </c>
      <c r="K51" s="41">
        <v>31</v>
      </c>
      <c r="L51" s="41">
        <v>38569</v>
      </c>
      <c r="N51" s="41"/>
      <c r="O51" s="41"/>
      <c r="P51" s="41"/>
      <c r="Q51" s="41"/>
      <c r="R51" s="41"/>
      <c r="S51" s="41"/>
      <c r="T51" s="41"/>
      <c r="U51" s="41"/>
      <c r="V51" s="41"/>
      <c r="W51" s="41"/>
    </row>
    <row r="52" spans="1:23" s="104" customFormat="1" ht="12.5" x14ac:dyDescent="0.35">
      <c r="A52" s="28">
        <v>93</v>
      </c>
      <c r="B52" s="104" t="s">
        <v>57</v>
      </c>
      <c r="C52" s="41">
        <v>1976</v>
      </c>
      <c r="D52" s="41">
        <v>1327</v>
      </c>
      <c r="E52" s="41">
        <v>649</v>
      </c>
      <c r="F52" s="41">
        <v>635</v>
      </c>
      <c r="G52" s="41">
        <v>10</v>
      </c>
      <c r="H52" s="41">
        <v>18</v>
      </c>
      <c r="I52" s="41">
        <v>2</v>
      </c>
      <c r="J52" s="41">
        <v>2</v>
      </c>
      <c r="K52" s="41">
        <v>25</v>
      </c>
      <c r="L52" s="41">
        <v>31100</v>
      </c>
      <c r="N52" s="41"/>
      <c r="O52" s="41"/>
      <c r="P52" s="41"/>
      <c r="Q52" s="41"/>
      <c r="R52" s="41"/>
      <c r="S52" s="41"/>
      <c r="T52" s="41"/>
      <c r="U52" s="41"/>
      <c r="V52" s="41"/>
      <c r="W52" s="41"/>
    </row>
    <row r="53" spans="1:23" s="104" customFormat="1" ht="12.5" x14ac:dyDescent="0.35">
      <c r="A53" s="28">
        <v>95</v>
      </c>
      <c r="B53" s="104" t="s">
        <v>47</v>
      </c>
      <c r="C53" s="41">
        <v>2211</v>
      </c>
      <c r="D53" s="41">
        <v>1227</v>
      </c>
      <c r="E53" s="41">
        <v>984</v>
      </c>
      <c r="F53" s="41">
        <v>2211</v>
      </c>
      <c r="G53" s="41">
        <v>22</v>
      </c>
      <c r="H53" s="41">
        <v>32</v>
      </c>
      <c r="I53" s="41">
        <v>21</v>
      </c>
      <c r="J53" s="41">
        <v>6</v>
      </c>
      <c r="K53" s="41">
        <v>315</v>
      </c>
      <c r="L53" s="110">
        <v>91154</v>
      </c>
      <c r="N53" s="41"/>
      <c r="O53" s="41"/>
      <c r="P53" s="41"/>
      <c r="Q53" s="41"/>
      <c r="R53" s="41"/>
      <c r="S53" s="41"/>
      <c r="T53" s="41"/>
      <c r="U53" s="41"/>
      <c r="V53" s="41"/>
      <c r="W53" s="41"/>
    </row>
    <row r="54" spans="1:23" s="104" customFormat="1" ht="12.5" x14ac:dyDescent="0.35">
      <c r="A54" s="28">
        <v>97</v>
      </c>
      <c r="B54" s="104" t="s">
        <v>49</v>
      </c>
      <c r="C54" s="41">
        <v>928</v>
      </c>
      <c r="D54" s="41">
        <v>538</v>
      </c>
      <c r="E54" s="41">
        <v>390</v>
      </c>
      <c r="F54" s="41">
        <v>224</v>
      </c>
      <c r="G54" s="41">
        <v>87</v>
      </c>
      <c r="H54" s="41">
        <v>22</v>
      </c>
      <c r="I54" s="41">
        <v>1</v>
      </c>
      <c r="J54" s="41">
        <v>0</v>
      </c>
      <c r="K54" s="41">
        <v>79</v>
      </c>
      <c r="L54" s="41">
        <v>82719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</row>
    <row r="55" spans="1:23" s="104" customFormat="1" ht="12.5" x14ac:dyDescent="0.35">
      <c r="A55" s="28">
        <v>77</v>
      </c>
      <c r="B55" s="103" t="s">
        <v>21</v>
      </c>
      <c r="C55" s="41">
        <v>10400</v>
      </c>
      <c r="D55" s="41">
        <v>7876</v>
      </c>
      <c r="E55" s="41">
        <v>2524</v>
      </c>
      <c r="F55" s="41">
        <v>2129</v>
      </c>
      <c r="G55" s="41">
        <v>382</v>
      </c>
      <c r="H55" s="41">
        <v>63</v>
      </c>
      <c r="I55" s="41">
        <v>8</v>
      </c>
      <c r="J55" s="41">
        <v>0</v>
      </c>
      <c r="K55" s="41">
        <v>441</v>
      </c>
      <c r="L55" s="41">
        <v>179413</v>
      </c>
      <c r="N55" s="41"/>
      <c r="O55" s="41"/>
      <c r="P55" s="41"/>
      <c r="Q55" s="41"/>
      <c r="R55" s="41"/>
      <c r="S55" s="41"/>
      <c r="T55" s="41"/>
      <c r="U55" s="41"/>
      <c r="V55" s="41"/>
      <c r="W55" s="41"/>
    </row>
    <row r="56" spans="1:23" s="104" customFormat="1" ht="6" customHeight="1" x14ac:dyDescent="0.35">
      <c r="B56" s="50"/>
      <c r="C56" s="50"/>
      <c r="I56" s="51"/>
    </row>
    <row r="57" spans="1:23" s="104" customFormat="1" ht="14.25" customHeight="1" x14ac:dyDescent="0.35">
      <c r="B57" s="52" t="s">
        <v>89</v>
      </c>
      <c r="C57" s="50"/>
      <c r="I57" s="51"/>
    </row>
    <row r="58" spans="1:23" s="104" customFormat="1" ht="14.25" customHeight="1" x14ac:dyDescent="0.35">
      <c r="B58" s="52" t="s">
        <v>90</v>
      </c>
      <c r="C58" s="50"/>
      <c r="I58" s="51"/>
    </row>
    <row r="59" spans="1:23" s="104" customFormat="1" ht="14.25" customHeight="1" x14ac:dyDescent="0.35">
      <c r="B59" s="50"/>
      <c r="C59" s="50"/>
      <c r="I59" s="51"/>
    </row>
    <row r="60" spans="1:23" s="104" customFormat="1" x14ac:dyDescent="0.35">
      <c r="B60" s="53" t="s">
        <v>91</v>
      </c>
      <c r="C60" s="53"/>
      <c r="I60" s="54"/>
    </row>
    <row r="61" spans="1:23" s="104" customFormat="1" ht="9.75" customHeight="1" x14ac:dyDescent="0.35">
      <c r="I61" s="51"/>
    </row>
  </sheetData>
  <mergeCells count="11">
    <mergeCell ref="M3:M4"/>
    <mergeCell ref="B2:L2"/>
    <mergeCell ref="B3:B4"/>
    <mergeCell ref="C3:E3"/>
    <mergeCell ref="F3:F4"/>
    <mergeCell ref="G3:G4"/>
    <mergeCell ref="H3:H4"/>
    <mergeCell ref="I3:I4"/>
    <mergeCell ref="J3:J4"/>
    <mergeCell ref="K3:K4"/>
    <mergeCell ref="L3:L4"/>
  </mergeCells>
  <pageMargins left="0.48" right="0.31" top="0.24" bottom="0.16" header="0.5" footer="0.16"/>
  <pageSetup paperSize="9" scale="6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AF70"/>
  <sheetViews>
    <sheetView topLeftCell="A4" zoomScaleNormal="100" workbookViewId="0">
      <selection activeCell="A5" sqref="A5"/>
    </sheetView>
  </sheetViews>
  <sheetFormatPr defaultColWidth="9.08984375" defaultRowHeight="14.5" x14ac:dyDescent="0.35"/>
  <cols>
    <col min="1" max="1" width="50.6328125" style="4" customWidth="1"/>
    <col min="2" max="11" width="14.6328125" style="4" customWidth="1"/>
    <col min="12" max="12" width="10" style="4" bestFit="1" customWidth="1"/>
    <col min="13" max="13" width="11.90625" style="4" customWidth="1"/>
    <col min="14" max="18" width="9.08984375" style="4"/>
    <col min="19" max="19" width="11" style="4" customWidth="1"/>
    <col min="20" max="16384" width="9.08984375" style="4"/>
  </cols>
  <sheetData>
    <row r="1" spans="1:32" s="3" customFormat="1" ht="23.25" customHeight="1" x14ac:dyDescent="0.5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32" s="5" customFormat="1" ht="15" customHeight="1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32" s="5" customFormat="1" ht="15" customHeight="1" x14ac:dyDescent="0.35">
      <c r="A3" s="22"/>
      <c r="B3" s="23"/>
      <c r="C3" s="23"/>
      <c r="D3" s="23"/>
      <c r="E3" s="23"/>
      <c r="F3" s="4"/>
      <c r="G3" s="4"/>
      <c r="H3" s="4"/>
      <c r="I3" s="4"/>
      <c r="J3" s="4"/>
      <c r="K3" s="4"/>
    </row>
    <row r="4" spans="1:32" s="5" customFormat="1" ht="15" customHeight="1" x14ac:dyDescent="0.35">
      <c r="A4" s="132" t="str">
        <f>VLOOKUP(FIRE1202!A4,'FIRE1202 raw'!M12:N19,2,FALSE)</f>
        <v>2017-18</v>
      </c>
      <c r="B4" s="132"/>
      <c r="C4" s="132"/>
      <c r="D4" s="132"/>
      <c r="E4" s="132"/>
      <c r="F4" s="4"/>
      <c r="G4" s="4"/>
      <c r="H4" s="4"/>
      <c r="I4" s="4"/>
      <c r="J4" s="4"/>
      <c r="K4" s="4"/>
      <c r="L4" s="4"/>
    </row>
    <row r="5" spans="1:32" s="5" customFormat="1" ht="15" thickBot="1" x14ac:dyDescent="0.4">
      <c r="A5" s="4"/>
      <c r="B5" s="133"/>
      <c r="C5" s="133"/>
      <c r="D5" s="133"/>
      <c r="E5" s="133"/>
      <c r="F5" s="30"/>
      <c r="G5" s="30"/>
      <c r="H5" s="30"/>
      <c r="I5" s="30"/>
      <c r="J5" s="30"/>
      <c r="K5" s="30"/>
      <c r="M5" s="6"/>
      <c r="N5" s="6"/>
      <c r="P5" s="6"/>
      <c r="Q5" s="6"/>
      <c r="R5" s="6"/>
      <c r="S5" s="6"/>
      <c r="T5" s="6"/>
      <c r="W5" s="7"/>
    </row>
    <row r="6" spans="1:32" s="3" customFormat="1" ht="20.149999999999999" customHeight="1" thickBot="1" x14ac:dyDescent="0.4">
      <c r="A6" s="2"/>
      <c r="B6" s="127" t="s">
        <v>67</v>
      </c>
      <c r="C6" s="127"/>
      <c r="D6" s="127"/>
      <c r="E6" s="128" t="s">
        <v>68</v>
      </c>
      <c r="F6" s="130" t="s">
        <v>69</v>
      </c>
      <c r="G6" s="128" t="s">
        <v>70</v>
      </c>
      <c r="H6" s="128" t="s">
        <v>71</v>
      </c>
      <c r="I6" s="128" t="s">
        <v>72</v>
      </c>
      <c r="J6" s="128" t="s">
        <v>73</v>
      </c>
      <c r="K6" s="128" t="s">
        <v>74</v>
      </c>
      <c r="M6" s="56"/>
      <c r="N6" s="56"/>
      <c r="P6" s="56"/>
      <c r="Q6" s="56"/>
      <c r="R6" s="56"/>
      <c r="S6" s="56"/>
      <c r="T6" s="56"/>
    </row>
    <row r="7" spans="1:32" s="10" customFormat="1" ht="75" customHeight="1" thickBot="1" x14ac:dyDescent="0.4">
      <c r="A7" s="8" t="s">
        <v>58</v>
      </c>
      <c r="B7" s="9" t="s">
        <v>75</v>
      </c>
      <c r="C7" s="9" t="s">
        <v>76</v>
      </c>
      <c r="D7" s="9" t="s">
        <v>77</v>
      </c>
      <c r="E7" s="129"/>
      <c r="F7" s="131"/>
      <c r="G7" s="129"/>
      <c r="H7" s="129"/>
      <c r="I7" s="129"/>
      <c r="J7" s="129"/>
      <c r="K7" s="129"/>
      <c r="L7" s="4"/>
    </row>
    <row r="8" spans="1:32" s="5" customFormat="1" ht="15" customHeight="1" x14ac:dyDescent="0.35">
      <c r="A8" s="25" t="s">
        <v>0</v>
      </c>
      <c r="B8" s="15">
        <f ca="1">INDIRECT("'("&amp;$A$4&amp;")'!C6")</f>
        <v>49423</v>
      </c>
      <c r="C8" s="15">
        <f ca="1">INDIRECT("'("&amp;$A$4&amp;")'!d6")</f>
        <v>33851</v>
      </c>
      <c r="D8" s="15">
        <f ca="1">INDIRECT("'("&amp;$A$4&amp;")'!e6")</f>
        <v>15572</v>
      </c>
      <c r="E8" s="15">
        <f ca="1">INDIRECT("'("&amp;$A$4&amp;")'!f6")</f>
        <v>14734</v>
      </c>
      <c r="F8" s="15">
        <f ca="1">INDIRECT("'("&amp;$A$4&amp;")'!g6")</f>
        <v>1424</v>
      </c>
      <c r="G8" s="15">
        <f ca="1">INDIRECT("'("&amp;$A$4&amp;")'!h6")</f>
        <v>635</v>
      </c>
      <c r="H8" s="15">
        <f ca="1">INDIRECT("'("&amp;$A$4&amp;")'!i6")</f>
        <v>82</v>
      </c>
      <c r="I8" s="15">
        <f ca="1">INDIRECT("'("&amp;$A$4&amp;")'!j6")</f>
        <v>105</v>
      </c>
      <c r="J8" s="15">
        <f ca="1">INDIRECT("'("&amp;$A$4&amp;")'!k6")</f>
        <v>3500</v>
      </c>
      <c r="K8" s="15">
        <f ca="1">INDIRECT("'("&amp;$A$4&amp;")'!l6")</f>
        <v>1647617.1625000001</v>
      </c>
      <c r="M8" s="11"/>
      <c r="N8" s="11"/>
      <c r="P8" s="13"/>
      <c r="Q8" s="13"/>
      <c r="R8" s="13"/>
      <c r="S8" s="13"/>
      <c r="T8" s="13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s="5" customFormat="1" ht="15" customHeight="1" x14ac:dyDescent="0.35">
      <c r="A9" s="26" t="s">
        <v>4</v>
      </c>
      <c r="B9" s="15">
        <f ca="1">INDIRECT("'("&amp;$A$4&amp;")'!C7")</f>
        <v>30298</v>
      </c>
      <c r="C9" s="15">
        <f ca="1">INDIRECT("'("&amp;$A$4&amp;")'!d7")</f>
        <v>21122</v>
      </c>
      <c r="D9" s="15">
        <f ca="1">INDIRECT("'("&amp;$A$4&amp;")'!e7")</f>
        <v>9176</v>
      </c>
      <c r="E9" s="15">
        <f ca="1">INDIRECT("'("&amp;$A$4&amp;")'!f7")</f>
        <v>8033</v>
      </c>
      <c r="F9" s="15">
        <f ca="1">INDIRECT("'("&amp;$A$4&amp;")'!g7")</f>
        <v>752</v>
      </c>
      <c r="G9" s="15">
        <f ca="1">INDIRECT("'("&amp;$A$4&amp;")'!h7")</f>
        <v>415</v>
      </c>
      <c r="H9" s="15">
        <f ca="1">INDIRECT("'("&amp;$A$4&amp;")'!i7")</f>
        <v>41</v>
      </c>
      <c r="I9" s="15">
        <f ca="1">INDIRECT("'("&amp;$A$4&amp;")'!j7")</f>
        <v>96</v>
      </c>
      <c r="J9" s="15">
        <f ca="1">INDIRECT("'("&amp;$A$4&amp;")'!k7")</f>
        <v>2544</v>
      </c>
      <c r="K9" s="15">
        <f ca="1">INDIRECT("'("&amp;$A$4&amp;")'!l7")</f>
        <v>1081522.1625000001</v>
      </c>
      <c r="M9" s="11"/>
      <c r="N9" s="11"/>
      <c r="P9" s="13"/>
      <c r="Q9" s="13"/>
      <c r="R9" s="13"/>
      <c r="S9" s="13"/>
      <c r="T9" s="13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s="5" customFormat="1" ht="15" customHeight="1" x14ac:dyDescent="0.35">
      <c r="A10" s="4" t="s">
        <v>5</v>
      </c>
      <c r="B10" s="14">
        <f ca="1">INDIRECT("'("&amp;$A$4&amp;")'!C8")</f>
        <v>282</v>
      </c>
      <c r="C10" s="14">
        <f ca="1">INDIRECT("'("&amp;$A$4&amp;")'!d8")</f>
        <v>130</v>
      </c>
      <c r="D10" s="14">
        <f ca="1">INDIRECT("'("&amp;$A$4&amp;")'!e8")</f>
        <v>152</v>
      </c>
      <c r="E10" s="14">
        <f ca="1">INDIRECT("'("&amp;$A$4&amp;")'!f8")</f>
        <v>149</v>
      </c>
      <c r="F10" s="14">
        <f ca="1">INDIRECT("'("&amp;$A$4&amp;")'!g8")</f>
        <v>13</v>
      </c>
      <c r="G10" s="14">
        <f ca="1">INDIRECT("'("&amp;$A$4&amp;")'!h8")</f>
        <v>20</v>
      </c>
      <c r="H10" s="14">
        <f ca="1">INDIRECT("'("&amp;$A$4&amp;")'!i8")</f>
        <v>0</v>
      </c>
      <c r="I10" s="14">
        <f ca="1">INDIRECT("'("&amp;$A$4&amp;")'!j8")</f>
        <v>3</v>
      </c>
      <c r="J10" s="14">
        <f ca="1">INDIRECT("'("&amp;$A$4&amp;")'!k8")</f>
        <v>44</v>
      </c>
      <c r="K10" s="14">
        <f ca="1">INDIRECT("'("&amp;$A$4&amp;")'!l8")</f>
        <v>18781</v>
      </c>
      <c r="M10" s="11"/>
      <c r="N10" s="11"/>
      <c r="P10" s="13"/>
      <c r="Q10" s="13"/>
      <c r="R10" s="13"/>
      <c r="S10" s="13"/>
      <c r="T10" s="13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1" spans="1:32" s="5" customFormat="1" ht="15" customHeight="1" x14ac:dyDescent="0.35">
      <c r="A11" s="4" t="s">
        <v>6</v>
      </c>
      <c r="B11" s="14">
        <f ca="1">INDIRECT("'("&amp;$A$4&amp;")'!C9")</f>
        <v>1321</v>
      </c>
      <c r="C11" s="14">
        <f ca="1">INDIRECT("'("&amp;$A$4&amp;")'!d9")</f>
        <v>1210</v>
      </c>
      <c r="D11" s="14">
        <f ca="1">INDIRECT("'("&amp;$A$4&amp;")'!e9")</f>
        <v>111</v>
      </c>
      <c r="E11" s="14">
        <f ca="1">INDIRECT("'("&amp;$A$4&amp;")'!f9")</f>
        <v>0</v>
      </c>
      <c r="F11" s="14">
        <f ca="1">INDIRECT("'("&amp;$A$4&amp;")'!g9")</f>
        <v>1</v>
      </c>
      <c r="G11" s="14">
        <f ca="1">INDIRECT("'("&amp;$A$4&amp;")'!h9")</f>
        <v>2</v>
      </c>
      <c r="H11" s="14">
        <f ca="1">INDIRECT("'("&amp;$A$4&amp;")'!i9")</f>
        <v>0</v>
      </c>
      <c r="I11" s="14">
        <f ca="1">INDIRECT("'("&amp;$A$4&amp;")'!j9")</f>
        <v>0</v>
      </c>
      <c r="J11" s="14">
        <f ca="1">INDIRECT("'("&amp;$A$4&amp;")'!k9")</f>
        <v>15</v>
      </c>
      <c r="K11" s="14">
        <f ca="1">INDIRECT("'("&amp;$A$4&amp;")'!l9")</f>
        <v>19748</v>
      </c>
      <c r="M11" s="11"/>
      <c r="N11" s="11"/>
      <c r="P11" s="13"/>
      <c r="Q11" s="13"/>
      <c r="R11" s="13"/>
      <c r="S11" s="13"/>
      <c r="T11" s="13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2" s="5" customFormat="1" ht="15" customHeight="1" x14ac:dyDescent="0.35">
      <c r="A12" s="4" t="s">
        <v>7</v>
      </c>
      <c r="B12" s="14">
        <f ca="1">INDIRECT("'("&amp;$A$4&amp;")'!C10")</f>
        <v>943</v>
      </c>
      <c r="C12" s="14">
        <f ca="1">INDIRECT("'("&amp;$A$4&amp;")'!d10")</f>
        <v>564</v>
      </c>
      <c r="D12" s="14">
        <f ca="1">INDIRECT("'("&amp;$A$4&amp;")'!e10")</f>
        <v>379</v>
      </c>
      <c r="E12" s="14">
        <f ca="1">INDIRECT("'("&amp;$A$4&amp;")'!f10")</f>
        <v>257</v>
      </c>
      <c r="F12" s="14">
        <f ca="1">INDIRECT("'("&amp;$A$4&amp;")'!g10")</f>
        <v>23</v>
      </c>
      <c r="G12" s="14">
        <f ca="1">INDIRECT("'("&amp;$A$4&amp;")'!h10")</f>
        <v>2</v>
      </c>
      <c r="H12" s="14">
        <f ca="1">INDIRECT("'("&amp;$A$4&amp;")'!i10")</f>
        <v>2</v>
      </c>
      <c r="I12" s="14">
        <f ca="1">INDIRECT("'("&amp;$A$4&amp;")'!j10")</f>
        <v>4</v>
      </c>
      <c r="J12" s="14">
        <f ca="1">INDIRECT("'("&amp;$A$4&amp;")'!k10")</f>
        <v>361</v>
      </c>
      <c r="K12" s="14" t="str">
        <f ca="1">INDIRECT("'("&amp;$A$4&amp;")'!l10")</f>
        <v>N/A</v>
      </c>
      <c r="M12" s="94" t="s">
        <v>106</v>
      </c>
      <c r="N12" s="94" t="s">
        <v>61</v>
      </c>
      <c r="P12" s="13"/>
      <c r="Q12" s="13"/>
      <c r="R12" s="13"/>
      <c r="S12" s="13"/>
      <c r="T12" s="13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32" s="5" customFormat="1" ht="15" customHeight="1" x14ac:dyDescent="0.35">
      <c r="A13" s="4" t="s">
        <v>8</v>
      </c>
      <c r="B13" s="14">
        <f ca="1">INDIRECT("'("&amp;$A$4&amp;")'!C11")</f>
        <v>364</v>
      </c>
      <c r="C13" s="14">
        <f ca="1">INDIRECT("'("&amp;$A$4&amp;")'!d11")</f>
        <v>125</v>
      </c>
      <c r="D13" s="14">
        <f ca="1">INDIRECT("'("&amp;$A$4&amp;")'!e11")</f>
        <v>239</v>
      </c>
      <c r="E13" s="14">
        <f ca="1">INDIRECT("'("&amp;$A$4&amp;")'!f11")</f>
        <v>251</v>
      </c>
      <c r="F13" s="14">
        <f ca="1">INDIRECT("'("&amp;$A$4&amp;")'!g11")</f>
        <v>5</v>
      </c>
      <c r="G13" s="14">
        <f ca="1">INDIRECT("'("&amp;$A$4&amp;")'!h11")</f>
        <v>1</v>
      </c>
      <c r="H13" s="14">
        <f ca="1">INDIRECT("'("&amp;$A$4&amp;")'!i11")</f>
        <v>0</v>
      </c>
      <c r="I13" s="14">
        <f ca="1">INDIRECT("'("&amp;$A$4&amp;")'!j11")</f>
        <v>1</v>
      </c>
      <c r="J13" s="14">
        <f ca="1">INDIRECT("'("&amp;$A$4&amp;")'!k11")</f>
        <v>17</v>
      </c>
      <c r="K13" s="14">
        <f ca="1">INDIRECT("'("&amp;$A$4&amp;")'!l11")</f>
        <v>12678</v>
      </c>
      <c r="M13" s="94" t="s">
        <v>107</v>
      </c>
      <c r="N13" s="94" t="s">
        <v>62</v>
      </c>
      <c r="P13" s="13"/>
      <c r="Q13" s="13"/>
      <c r="R13" s="13"/>
      <c r="S13" s="13"/>
      <c r="T13" s="13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2" s="5" customFormat="1" ht="15" customHeight="1" x14ac:dyDescent="0.35">
      <c r="A14" s="4" t="s">
        <v>9</v>
      </c>
      <c r="B14" s="14">
        <f ca="1">INDIRECT("'("&amp;$A$4&amp;")'!C12")</f>
        <v>1506</v>
      </c>
      <c r="C14" s="14">
        <f ca="1">INDIRECT("'("&amp;$A$4&amp;")'!d12")</f>
        <v>1240</v>
      </c>
      <c r="D14" s="14">
        <f ca="1">INDIRECT("'("&amp;$A$4&amp;")'!e12")</f>
        <v>266</v>
      </c>
      <c r="E14" s="14">
        <f ca="1">INDIRECT("'("&amp;$A$4&amp;")'!f12")</f>
        <v>219</v>
      </c>
      <c r="F14" s="14">
        <f ca="1">INDIRECT("'("&amp;$A$4&amp;")'!g12")</f>
        <v>2</v>
      </c>
      <c r="G14" s="14">
        <f ca="1">INDIRECT("'("&amp;$A$4&amp;")'!h12")</f>
        <v>0</v>
      </c>
      <c r="H14" s="14">
        <f ca="1">INDIRECT("'("&amp;$A$4&amp;")'!i12")</f>
        <v>0</v>
      </c>
      <c r="I14" s="14">
        <f ca="1">INDIRECT("'("&amp;$A$4&amp;")'!j12")</f>
        <v>0</v>
      </c>
      <c r="J14" s="14">
        <f ca="1">INDIRECT("'("&amp;$A$4&amp;")'!k12")</f>
        <v>77</v>
      </c>
      <c r="K14" s="14">
        <f ca="1">INDIRECT("'("&amp;$A$4&amp;")'!l12")</f>
        <v>35597</v>
      </c>
      <c r="M14" s="94" t="s">
        <v>108</v>
      </c>
      <c r="N14" s="94" t="s">
        <v>63</v>
      </c>
      <c r="P14" s="13"/>
      <c r="Q14" s="13"/>
      <c r="R14" s="13"/>
      <c r="S14" s="13"/>
      <c r="T14" s="13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spans="1:32" s="5" customFormat="1" ht="15" customHeight="1" x14ac:dyDescent="0.35">
      <c r="A15" s="4" t="s">
        <v>10</v>
      </c>
      <c r="B15" s="14">
        <f ca="1">INDIRECT("'("&amp;$A$4&amp;")'!C13")</f>
        <v>1317</v>
      </c>
      <c r="C15" s="14">
        <f ca="1">INDIRECT("'("&amp;$A$4&amp;")'!d13")</f>
        <v>864</v>
      </c>
      <c r="D15" s="14">
        <f ca="1">INDIRECT("'("&amp;$A$4&amp;")'!e13")</f>
        <v>453</v>
      </c>
      <c r="E15" s="14">
        <f ca="1">INDIRECT("'("&amp;$A$4&amp;")'!f13")</f>
        <v>424</v>
      </c>
      <c r="F15" s="14">
        <f ca="1">INDIRECT("'("&amp;$A$4&amp;")'!g13")</f>
        <v>26</v>
      </c>
      <c r="G15" s="14">
        <f ca="1">INDIRECT("'("&amp;$A$4&amp;")'!h13")</f>
        <v>5</v>
      </c>
      <c r="H15" s="14">
        <f ca="1">INDIRECT("'("&amp;$A$4&amp;")'!i13")</f>
        <v>3</v>
      </c>
      <c r="I15" s="14">
        <f ca="1">INDIRECT("'("&amp;$A$4&amp;")'!j13")</f>
        <v>0</v>
      </c>
      <c r="J15" s="14">
        <f ca="1">INDIRECT("'("&amp;$A$4&amp;")'!k13")</f>
        <v>199</v>
      </c>
      <c r="K15" s="14">
        <f ca="1">INDIRECT("'("&amp;$A$4&amp;")'!l13")</f>
        <v>27374</v>
      </c>
      <c r="M15" s="94" t="s">
        <v>109</v>
      </c>
      <c r="N15" s="94" t="s">
        <v>64</v>
      </c>
      <c r="P15" s="13"/>
      <c r="Q15" s="13"/>
      <c r="R15" s="13"/>
      <c r="S15" s="13"/>
      <c r="T15" s="13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2" s="5" customFormat="1" ht="15" customHeight="1" x14ac:dyDescent="0.35">
      <c r="A16" s="4" t="s">
        <v>11</v>
      </c>
      <c r="B16" s="14">
        <f ca="1">INDIRECT("'("&amp;$A$4&amp;")'!C14")</f>
        <v>1862</v>
      </c>
      <c r="C16" s="14">
        <f ca="1">INDIRECT("'("&amp;$A$4&amp;")'!d14")</f>
        <v>1638</v>
      </c>
      <c r="D16" s="14">
        <f ca="1">INDIRECT("'("&amp;$A$4&amp;")'!e14")</f>
        <v>224</v>
      </c>
      <c r="E16" s="14">
        <f ca="1">INDIRECT("'("&amp;$A$4&amp;")'!f14")</f>
        <v>161</v>
      </c>
      <c r="F16" s="14">
        <f ca="1">INDIRECT("'("&amp;$A$4&amp;")'!g14")</f>
        <v>3</v>
      </c>
      <c r="G16" s="14">
        <f ca="1">INDIRECT("'("&amp;$A$4&amp;")'!h14")</f>
        <v>7</v>
      </c>
      <c r="H16" s="14">
        <f ca="1">INDIRECT("'("&amp;$A$4&amp;")'!i14")</f>
        <v>0</v>
      </c>
      <c r="I16" s="14">
        <f ca="1">INDIRECT("'("&amp;$A$4&amp;")'!j14")</f>
        <v>0</v>
      </c>
      <c r="J16" s="14">
        <f ca="1">INDIRECT("'("&amp;$A$4&amp;")'!k14")</f>
        <v>24</v>
      </c>
      <c r="K16" s="14">
        <f ca="1">INDIRECT("'("&amp;$A$4&amp;")'!l14")</f>
        <v>15352</v>
      </c>
      <c r="M16" s="94" t="s">
        <v>110</v>
      </c>
      <c r="N16" s="94" t="s">
        <v>60</v>
      </c>
      <c r="P16" s="13"/>
      <c r="Q16" s="13"/>
      <c r="R16" s="13"/>
      <c r="S16" s="13"/>
      <c r="T16" s="13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1:32" s="5" customFormat="1" ht="15" customHeight="1" x14ac:dyDescent="0.35">
      <c r="A17" s="4" t="s">
        <v>12</v>
      </c>
      <c r="B17" s="14">
        <f ca="1">INDIRECT("'("&amp;$A$4&amp;")'!C15")</f>
        <v>505</v>
      </c>
      <c r="C17" s="14">
        <f ca="1">INDIRECT("'("&amp;$A$4&amp;")'!d15")</f>
        <v>362</v>
      </c>
      <c r="D17" s="14">
        <f ca="1">INDIRECT("'("&amp;$A$4&amp;")'!e15")</f>
        <v>143</v>
      </c>
      <c r="E17" s="14">
        <f ca="1">INDIRECT("'("&amp;$A$4&amp;")'!f15")</f>
        <v>126</v>
      </c>
      <c r="F17" s="14">
        <f ca="1">INDIRECT("'("&amp;$A$4&amp;")'!g15")</f>
        <v>15</v>
      </c>
      <c r="G17" s="14">
        <f ca="1">INDIRECT("'("&amp;$A$4&amp;")'!h15")</f>
        <v>9</v>
      </c>
      <c r="H17" s="14">
        <f ca="1">INDIRECT("'("&amp;$A$4&amp;")'!i15")</f>
        <v>0</v>
      </c>
      <c r="I17" s="14">
        <f ca="1">INDIRECT("'("&amp;$A$4&amp;")'!j15")</f>
        <v>0</v>
      </c>
      <c r="J17" s="14">
        <f ca="1">INDIRECT("'("&amp;$A$4&amp;")'!k15")</f>
        <v>41</v>
      </c>
      <c r="K17" s="14">
        <f ca="1">INDIRECT("'("&amp;$A$4&amp;")'!l15")</f>
        <v>18582</v>
      </c>
      <c r="M17" s="94" t="s">
        <v>111</v>
      </c>
      <c r="N17" s="94" t="s">
        <v>51</v>
      </c>
      <c r="P17" s="13"/>
      <c r="Q17" s="13"/>
      <c r="R17" s="13"/>
      <c r="S17" s="13"/>
      <c r="T17" s="13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 s="5" customFormat="1" ht="15" customHeight="1" x14ac:dyDescent="0.35">
      <c r="A18" s="4" t="s">
        <v>13</v>
      </c>
      <c r="B18" s="14">
        <f ca="1">INDIRECT("'("&amp;$A$4&amp;")'!C16")</f>
        <v>1056</v>
      </c>
      <c r="C18" s="14">
        <f ca="1">INDIRECT("'("&amp;$A$4&amp;")'!d16")</f>
        <v>682</v>
      </c>
      <c r="D18" s="14">
        <f ca="1">INDIRECT("'("&amp;$A$4&amp;")'!e16")</f>
        <v>374</v>
      </c>
      <c r="E18" s="14">
        <f ca="1">INDIRECT("'("&amp;$A$4&amp;")'!f16")</f>
        <v>337</v>
      </c>
      <c r="F18" s="14">
        <f ca="1">INDIRECT("'("&amp;$A$4&amp;")'!g16")</f>
        <v>28</v>
      </c>
      <c r="G18" s="14">
        <f ca="1">INDIRECT("'("&amp;$A$4&amp;")'!h16")</f>
        <v>7</v>
      </c>
      <c r="H18" s="14">
        <f ca="1">INDIRECT("'("&amp;$A$4&amp;")'!i16")</f>
        <v>1</v>
      </c>
      <c r="I18" s="14">
        <f ca="1">INDIRECT("'("&amp;$A$4&amp;")'!j16")</f>
        <v>0</v>
      </c>
      <c r="J18" s="14">
        <f ca="1">INDIRECT("'("&amp;$A$4&amp;")'!k16")</f>
        <v>21</v>
      </c>
      <c r="K18" s="14">
        <f ca="1">INDIRECT("'("&amp;$A$4&amp;")'!l16")</f>
        <v>7455</v>
      </c>
      <c r="M18" s="94" t="s">
        <v>116</v>
      </c>
      <c r="N18" s="94" t="s">
        <v>117</v>
      </c>
      <c r="P18" s="13"/>
      <c r="Q18" s="13"/>
      <c r="R18" s="13"/>
      <c r="S18" s="13"/>
      <c r="T18" s="13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1:32" s="5" customFormat="1" ht="15" customHeight="1" x14ac:dyDescent="0.35">
      <c r="A19" s="21" t="s">
        <v>14</v>
      </c>
      <c r="B19" s="14">
        <f ca="1">INDIRECT("'("&amp;$A$4&amp;")'!C17")</f>
        <v>980</v>
      </c>
      <c r="C19" s="14">
        <f ca="1">INDIRECT("'("&amp;$A$4&amp;")'!d17")</f>
        <v>612</v>
      </c>
      <c r="D19" s="14">
        <f ca="1">INDIRECT("'("&amp;$A$4&amp;")'!e17")</f>
        <v>368</v>
      </c>
      <c r="E19" s="14">
        <f ca="1">INDIRECT("'("&amp;$A$4&amp;")'!f17")</f>
        <v>324</v>
      </c>
      <c r="F19" s="14">
        <f ca="1">INDIRECT("'("&amp;$A$4&amp;")'!g17")</f>
        <v>39</v>
      </c>
      <c r="G19" s="14">
        <f ca="1">INDIRECT("'("&amp;$A$4&amp;")'!h17")</f>
        <v>13</v>
      </c>
      <c r="H19" s="14">
        <f ca="1">INDIRECT("'("&amp;$A$4&amp;")'!i17")</f>
        <v>0</v>
      </c>
      <c r="I19" s="14">
        <f ca="1">INDIRECT("'("&amp;$A$4&amp;")'!j17")</f>
        <v>0</v>
      </c>
      <c r="J19" s="14">
        <f ca="1">INDIRECT("'("&amp;$A$4&amp;")'!k17")</f>
        <v>305</v>
      </c>
      <c r="K19" s="14">
        <f ca="1">INDIRECT("'("&amp;$A$4&amp;")'!l17")</f>
        <v>34845</v>
      </c>
      <c r="M19" s="94" t="s">
        <v>125</v>
      </c>
      <c r="N19" s="94" t="s">
        <v>126</v>
      </c>
      <c r="P19" s="13"/>
      <c r="Q19" s="13"/>
      <c r="R19" s="13"/>
      <c r="S19" s="13"/>
      <c r="T19" s="13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1:32" s="5" customFormat="1" ht="15" customHeight="1" x14ac:dyDescent="0.35">
      <c r="A20" s="21" t="s">
        <v>15</v>
      </c>
      <c r="B20" s="14">
        <f ca="1">INDIRECT("'("&amp;$A$4&amp;")'!C18")</f>
        <v>683</v>
      </c>
      <c r="C20" s="14">
        <f ca="1">INDIRECT("'("&amp;$A$4&amp;")'!d18")</f>
        <v>181</v>
      </c>
      <c r="D20" s="14">
        <f ca="1">INDIRECT("'("&amp;$A$4&amp;")'!e18")</f>
        <v>502</v>
      </c>
      <c r="E20" s="14">
        <f ca="1">INDIRECT("'("&amp;$A$4&amp;")'!f18")</f>
        <v>428</v>
      </c>
      <c r="F20" s="14">
        <f ca="1">INDIRECT("'("&amp;$A$4&amp;")'!g18")</f>
        <v>45</v>
      </c>
      <c r="G20" s="14">
        <f ca="1">INDIRECT("'("&amp;$A$4&amp;")'!h18")</f>
        <v>44</v>
      </c>
      <c r="H20" s="14">
        <f ca="1">INDIRECT("'("&amp;$A$4&amp;")'!i18")</f>
        <v>6</v>
      </c>
      <c r="I20" s="14">
        <f ca="1">INDIRECT("'("&amp;$A$4&amp;")'!j18")</f>
        <v>4</v>
      </c>
      <c r="J20" s="14">
        <f ca="1">INDIRECT("'("&amp;$A$4&amp;")'!k18")</f>
        <v>59</v>
      </c>
      <c r="K20" s="14">
        <f ca="1">INDIRECT("'("&amp;$A$4&amp;")'!l18")</f>
        <v>97800</v>
      </c>
      <c r="M20" s="11"/>
      <c r="N20" s="11"/>
      <c r="P20" s="13"/>
      <c r="Q20" s="13"/>
      <c r="R20" s="13"/>
      <c r="S20" s="13"/>
      <c r="T20" s="13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1:32" s="5" customFormat="1" ht="15" customHeight="1" x14ac:dyDescent="0.35">
      <c r="A21" s="21" t="s">
        <v>115</v>
      </c>
      <c r="B21" s="14">
        <f ca="1">INDIRECT("'("&amp;$A$4&amp;")'!C19")</f>
        <v>1230</v>
      </c>
      <c r="C21" s="14">
        <f ca="1">INDIRECT("'("&amp;$A$4&amp;")'!d19")</f>
        <v>879</v>
      </c>
      <c r="D21" s="14">
        <f ca="1">INDIRECT("'("&amp;$A$4&amp;")'!e19")</f>
        <v>351</v>
      </c>
      <c r="E21" s="14">
        <f ca="1">INDIRECT("'("&amp;$A$4&amp;")'!f19")</f>
        <v>96</v>
      </c>
      <c r="F21" s="14">
        <f ca="1">INDIRECT("'("&amp;$A$4&amp;")'!g19")</f>
        <v>7</v>
      </c>
      <c r="G21" s="14">
        <f ca="1">INDIRECT("'("&amp;$A$4&amp;")'!h19")</f>
        <v>19</v>
      </c>
      <c r="H21" s="14">
        <f ca="1">INDIRECT("'("&amp;$A$4&amp;")'!i19")</f>
        <v>1</v>
      </c>
      <c r="I21" s="14">
        <f ca="1">INDIRECT("'("&amp;$A$4&amp;")'!j19")</f>
        <v>0</v>
      </c>
      <c r="J21" s="14">
        <f ca="1">INDIRECT("'("&amp;$A$4&amp;")'!k19")</f>
        <v>5</v>
      </c>
      <c r="K21" s="14">
        <f ca="1">INDIRECT("'("&amp;$A$4&amp;")'!l19")</f>
        <v>95621</v>
      </c>
      <c r="M21" s="11"/>
      <c r="N21" s="11"/>
      <c r="P21" s="13"/>
      <c r="Q21" s="13"/>
      <c r="R21" s="13"/>
      <c r="S21" s="13"/>
      <c r="T21" s="13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</row>
    <row r="22" spans="1:32" s="5" customFormat="1" ht="15" customHeight="1" x14ac:dyDescent="0.35">
      <c r="A22" s="4" t="s">
        <v>16</v>
      </c>
      <c r="B22" s="14" t="str">
        <f ca="1">INDIRECT("'("&amp;$A$4&amp;")'!C20")</f>
        <v>..</v>
      </c>
      <c r="C22" s="14" t="str">
        <f ca="1">INDIRECT("'("&amp;$A$4&amp;")'!d20")</f>
        <v>..</v>
      </c>
      <c r="D22" s="14" t="str">
        <f ca="1">INDIRECT("'("&amp;$A$4&amp;")'!e20")</f>
        <v>..</v>
      </c>
      <c r="E22" s="14" t="str">
        <f ca="1">INDIRECT("'("&amp;$A$4&amp;")'!f20")</f>
        <v>..</v>
      </c>
      <c r="F22" s="14" t="str">
        <f ca="1">INDIRECT("'("&amp;$A$4&amp;")'!g20")</f>
        <v>..</v>
      </c>
      <c r="G22" s="14" t="str">
        <f ca="1">INDIRECT("'("&amp;$A$4&amp;")'!h20")</f>
        <v>..</v>
      </c>
      <c r="H22" s="14" t="str">
        <f ca="1">INDIRECT("'("&amp;$A$4&amp;")'!i20")</f>
        <v>..</v>
      </c>
      <c r="I22" s="14" t="str">
        <f ca="1">INDIRECT("'("&amp;$A$4&amp;")'!j20")</f>
        <v>..</v>
      </c>
      <c r="J22" s="14" t="str">
        <f ca="1">INDIRECT("'("&amp;$A$4&amp;")'!k20")</f>
        <v>..</v>
      </c>
      <c r="K22" s="14" t="str">
        <f ca="1">INDIRECT("'("&amp;$A$4&amp;")'!l20")</f>
        <v>..</v>
      </c>
      <c r="M22" s="11"/>
      <c r="N22" s="11"/>
      <c r="P22" s="13"/>
      <c r="Q22" s="13"/>
      <c r="R22" s="13"/>
      <c r="S22" s="13"/>
      <c r="T22" s="13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s="5" customFormat="1" ht="15" customHeight="1" x14ac:dyDescent="0.35">
      <c r="A23" s="4" t="s">
        <v>17</v>
      </c>
      <c r="B23" s="14">
        <f ca="1">INDIRECT("'("&amp;$A$4&amp;")'!C21")</f>
        <v>2138</v>
      </c>
      <c r="C23" s="14">
        <f ca="1">INDIRECT("'("&amp;$A$4&amp;")'!d21")</f>
        <v>1815</v>
      </c>
      <c r="D23" s="14">
        <f ca="1">INDIRECT("'("&amp;$A$4&amp;")'!e21")</f>
        <v>323</v>
      </c>
      <c r="E23" s="14">
        <f ca="1">INDIRECT("'("&amp;$A$4&amp;")'!f21")</f>
        <v>353</v>
      </c>
      <c r="F23" s="14">
        <f ca="1">INDIRECT("'("&amp;$A$4&amp;")'!g21")</f>
        <v>0</v>
      </c>
      <c r="G23" s="14">
        <f ca="1">INDIRECT("'("&amp;$A$4&amp;")'!h21")</f>
        <v>4</v>
      </c>
      <c r="H23" s="14">
        <f ca="1">INDIRECT("'("&amp;$A$4&amp;")'!i21")</f>
        <v>0</v>
      </c>
      <c r="I23" s="14">
        <f ca="1">INDIRECT("'("&amp;$A$4&amp;")'!j21")</f>
        <v>0</v>
      </c>
      <c r="J23" s="14">
        <f ca="1">INDIRECT("'("&amp;$A$4&amp;")'!k21")</f>
        <v>1</v>
      </c>
      <c r="K23" s="14">
        <f ca="1">INDIRECT("'("&amp;$A$4&amp;")'!l21")</f>
        <v>15699</v>
      </c>
      <c r="M23" s="11"/>
      <c r="N23" s="11"/>
      <c r="P23" s="13"/>
      <c r="Q23" s="13"/>
      <c r="R23" s="13"/>
      <c r="S23" s="13"/>
      <c r="T23" s="13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1:32" s="5" customFormat="1" ht="15" customHeight="1" x14ac:dyDescent="0.35">
      <c r="A24" s="4" t="s">
        <v>18</v>
      </c>
      <c r="B24" s="14">
        <f ca="1">INDIRECT("'("&amp;$A$4&amp;")'!C22")</f>
        <v>499</v>
      </c>
      <c r="C24" s="14">
        <f ca="1">INDIRECT("'("&amp;$A$4&amp;")'!d22")</f>
        <v>372</v>
      </c>
      <c r="D24" s="14">
        <f ca="1">INDIRECT("'("&amp;$A$4&amp;")'!e22")</f>
        <v>127</v>
      </c>
      <c r="E24" s="14">
        <f ca="1">INDIRECT("'("&amp;$A$4&amp;")'!f22")</f>
        <v>117</v>
      </c>
      <c r="F24" s="14">
        <f ca="1">INDIRECT("'("&amp;$A$4&amp;")'!g22")</f>
        <v>7</v>
      </c>
      <c r="G24" s="14">
        <f ca="1">INDIRECT("'("&amp;$A$4&amp;")'!h22")</f>
        <v>17</v>
      </c>
      <c r="H24" s="14">
        <f ca="1">INDIRECT("'("&amp;$A$4&amp;")'!i22")</f>
        <v>2</v>
      </c>
      <c r="I24" s="14">
        <f ca="1">INDIRECT("'("&amp;$A$4&amp;")'!j22")</f>
        <v>1</v>
      </c>
      <c r="J24" s="14">
        <f ca="1">INDIRECT("'("&amp;$A$4&amp;")'!k22")</f>
        <v>123</v>
      </c>
      <c r="K24" s="14">
        <f ca="1">INDIRECT("'("&amp;$A$4&amp;")'!l22")</f>
        <v>27060</v>
      </c>
      <c r="M24" s="11"/>
      <c r="N24" s="11"/>
      <c r="P24" s="13"/>
      <c r="Q24" s="13"/>
      <c r="R24" s="13"/>
      <c r="S24" s="13"/>
      <c r="T24" s="13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 spans="1:32" s="5" customFormat="1" ht="15" customHeight="1" x14ac:dyDescent="0.35">
      <c r="A25" s="4" t="s">
        <v>19</v>
      </c>
      <c r="B25" s="14">
        <f ca="1">INDIRECT("'("&amp;$A$4&amp;")'!C23")</f>
        <v>1290</v>
      </c>
      <c r="C25" s="14">
        <f ca="1">INDIRECT("'("&amp;$A$4&amp;")'!d23")</f>
        <v>1252</v>
      </c>
      <c r="D25" s="14">
        <f ca="1">INDIRECT("'("&amp;$A$4&amp;")'!e23")</f>
        <v>38</v>
      </c>
      <c r="E25" s="14">
        <f ca="1">INDIRECT("'("&amp;$A$4&amp;")'!f23")</f>
        <v>112</v>
      </c>
      <c r="F25" s="14">
        <f ca="1">INDIRECT("'("&amp;$A$4&amp;")'!g23")</f>
        <v>5</v>
      </c>
      <c r="G25" s="14">
        <f ca="1">INDIRECT("'("&amp;$A$4&amp;")'!h23")</f>
        <v>0</v>
      </c>
      <c r="H25" s="14">
        <f ca="1">INDIRECT("'("&amp;$A$4&amp;")'!i23")</f>
        <v>8</v>
      </c>
      <c r="I25" s="14">
        <f ca="1">INDIRECT("'("&amp;$A$4&amp;")'!j23")</f>
        <v>3</v>
      </c>
      <c r="J25" s="14">
        <f ca="1">INDIRECT("'("&amp;$A$4&amp;")'!k23")</f>
        <v>2</v>
      </c>
      <c r="K25" s="14">
        <f ca="1">INDIRECT("'("&amp;$A$4&amp;")'!l23")</f>
        <v>41430</v>
      </c>
      <c r="M25" s="11"/>
      <c r="N25" s="11"/>
      <c r="P25" s="13"/>
      <c r="Q25" s="13"/>
      <c r="R25" s="13"/>
      <c r="S25" s="13"/>
      <c r="T25" s="13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</row>
    <row r="26" spans="1:32" s="5" customFormat="1" ht="15" customHeight="1" x14ac:dyDescent="0.35">
      <c r="A26" s="4" t="s">
        <v>20</v>
      </c>
      <c r="B26" s="14">
        <f ca="1">INDIRECT("'("&amp;$A$4&amp;")'!C24")</f>
        <v>277</v>
      </c>
      <c r="C26" s="14">
        <f ca="1">INDIRECT("'("&amp;$A$4&amp;")'!d24")</f>
        <v>217</v>
      </c>
      <c r="D26" s="14">
        <f ca="1">INDIRECT("'("&amp;$A$4&amp;")'!e24")</f>
        <v>60</v>
      </c>
      <c r="E26" s="14">
        <f ca="1">INDIRECT("'("&amp;$A$4&amp;")'!f24")</f>
        <v>43</v>
      </c>
      <c r="F26" s="14">
        <f ca="1">INDIRECT("'("&amp;$A$4&amp;")'!g24")</f>
        <v>8</v>
      </c>
      <c r="G26" s="14">
        <f ca="1">INDIRECT("'("&amp;$A$4&amp;")'!h24")</f>
        <v>4</v>
      </c>
      <c r="H26" s="14">
        <f ca="1">INDIRECT("'("&amp;$A$4&amp;")'!i24")</f>
        <v>1</v>
      </c>
      <c r="I26" s="14">
        <f ca="1">INDIRECT("'("&amp;$A$4&amp;")'!j24")</f>
        <v>0</v>
      </c>
      <c r="J26" s="14">
        <f ca="1">INDIRECT("'("&amp;$A$4&amp;")'!k24")</f>
        <v>10</v>
      </c>
      <c r="K26" s="14">
        <f ca="1">INDIRECT("'("&amp;$A$4&amp;")'!l24")</f>
        <v>16674</v>
      </c>
      <c r="M26" s="11"/>
      <c r="N26" s="11"/>
      <c r="P26" s="13"/>
      <c r="Q26" s="13"/>
      <c r="R26" s="13"/>
      <c r="S26" s="13"/>
      <c r="T26" s="13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spans="1:32" s="5" customFormat="1" ht="15" customHeight="1" x14ac:dyDescent="0.35">
      <c r="A27" s="4" t="s">
        <v>23</v>
      </c>
      <c r="B27" s="14">
        <f ca="1">INDIRECT("'("&amp;$A$4&amp;")'!C25")</f>
        <v>457</v>
      </c>
      <c r="C27" s="14">
        <f ca="1">INDIRECT("'("&amp;$A$4&amp;")'!d25")</f>
        <v>148</v>
      </c>
      <c r="D27" s="14">
        <f ca="1">INDIRECT("'("&amp;$A$4&amp;")'!e25")</f>
        <v>309</v>
      </c>
      <c r="E27" s="14">
        <f ca="1">INDIRECT("'("&amp;$A$4&amp;")'!f25")</f>
        <v>165</v>
      </c>
      <c r="F27" s="14">
        <f ca="1">INDIRECT("'("&amp;$A$4&amp;")'!g25")</f>
        <v>1</v>
      </c>
      <c r="G27" s="14">
        <f ca="1">INDIRECT("'("&amp;$A$4&amp;")'!h25")</f>
        <v>24</v>
      </c>
      <c r="H27" s="14">
        <f ca="1">INDIRECT("'("&amp;$A$4&amp;")'!i25")</f>
        <v>0</v>
      </c>
      <c r="I27" s="14">
        <f ca="1">INDIRECT("'("&amp;$A$4&amp;")'!j25")</f>
        <v>5</v>
      </c>
      <c r="J27" s="14">
        <f ca="1">INDIRECT("'("&amp;$A$4&amp;")'!k25")</f>
        <v>141</v>
      </c>
      <c r="K27" s="14">
        <f ca="1">INDIRECT("'("&amp;$A$4&amp;")'!l25")</f>
        <v>104639</v>
      </c>
      <c r="M27" s="11"/>
      <c r="N27" s="11"/>
      <c r="P27" s="13"/>
      <c r="Q27" s="13"/>
      <c r="R27" s="13"/>
      <c r="S27" s="13"/>
      <c r="T27" s="13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8" spans="1:32" s="5" customFormat="1" ht="15" customHeight="1" x14ac:dyDescent="0.35">
      <c r="A28" s="4" t="s">
        <v>24</v>
      </c>
      <c r="B28" s="14">
        <f ca="1">INDIRECT("'("&amp;$A$4&amp;")'!C26")</f>
        <v>726</v>
      </c>
      <c r="C28" s="14">
        <f ca="1">INDIRECT("'("&amp;$A$4&amp;")'!d26")</f>
        <v>362</v>
      </c>
      <c r="D28" s="14">
        <f ca="1">INDIRECT("'("&amp;$A$4&amp;")'!e26")</f>
        <v>364</v>
      </c>
      <c r="E28" s="14">
        <f ca="1">INDIRECT("'("&amp;$A$4&amp;")'!f26")</f>
        <v>319</v>
      </c>
      <c r="F28" s="14">
        <f ca="1">INDIRECT("'("&amp;$A$4&amp;")'!g26")</f>
        <v>132</v>
      </c>
      <c r="G28" s="14">
        <f ca="1">INDIRECT("'("&amp;$A$4&amp;")'!h26")</f>
        <v>113</v>
      </c>
      <c r="H28" s="14">
        <f ca="1">INDIRECT("'("&amp;$A$4&amp;")'!i26")</f>
        <v>0</v>
      </c>
      <c r="I28" s="14">
        <f ca="1">INDIRECT("'("&amp;$A$4&amp;")'!j26")</f>
        <v>62</v>
      </c>
      <c r="J28" s="14">
        <f ca="1">INDIRECT("'("&amp;$A$4&amp;")'!k26")</f>
        <v>112</v>
      </c>
      <c r="K28" s="14">
        <f ca="1">INDIRECT("'("&amp;$A$4&amp;")'!l26")</f>
        <v>18689</v>
      </c>
      <c r="M28" s="11"/>
      <c r="N28" s="11"/>
      <c r="P28" s="13"/>
      <c r="Q28" s="13"/>
      <c r="R28" s="13"/>
      <c r="S28" s="13"/>
      <c r="T28" s="13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1:32" s="5" customFormat="1" ht="15" customHeight="1" x14ac:dyDescent="0.35">
      <c r="A29" s="4" t="s">
        <v>25</v>
      </c>
      <c r="B29" s="14">
        <f ca="1">INDIRECT("'("&amp;$A$4&amp;")'!C27")</f>
        <v>282</v>
      </c>
      <c r="C29" s="14">
        <f ca="1">INDIRECT("'("&amp;$A$4&amp;")'!d27")</f>
        <v>256</v>
      </c>
      <c r="D29" s="14">
        <f ca="1">INDIRECT("'("&amp;$A$4&amp;")'!e27")</f>
        <v>26</v>
      </c>
      <c r="E29" s="14">
        <f ca="1">INDIRECT("'("&amp;$A$4&amp;")'!f27")</f>
        <v>30</v>
      </c>
      <c r="F29" s="14">
        <f ca="1">INDIRECT("'("&amp;$A$4&amp;")'!g27")</f>
        <v>6</v>
      </c>
      <c r="G29" s="14">
        <f ca="1">INDIRECT("'("&amp;$A$4&amp;")'!h27")</f>
        <v>6</v>
      </c>
      <c r="H29" s="14">
        <f ca="1">INDIRECT("'("&amp;$A$4&amp;")'!i27")</f>
        <v>0</v>
      </c>
      <c r="I29" s="14">
        <f ca="1">INDIRECT("'("&amp;$A$4&amp;")'!j27")</f>
        <v>0</v>
      </c>
      <c r="J29" s="14">
        <f ca="1">INDIRECT("'("&amp;$A$4&amp;")'!k27")</f>
        <v>24</v>
      </c>
      <c r="K29" s="14">
        <f ca="1">INDIRECT("'("&amp;$A$4&amp;")'!l27")</f>
        <v>27885</v>
      </c>
      <c r="M29" s="11"/>
      <c r="N29" s="11"/>
      <c r="P29" s="13"/>
      <c r="Q29" s="13"/>
      <c r="R29" s="13"/>
      <c r="S29" s="13"/>
      <c r="T29" s="13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1:32" s="5" customFormat="1" ht="15" customHeight="1" x14ac:dyDescent="0.35">
      <c r="A30" s="4" t="s">
        <v>26</v>
      </c>
      <c r="B30" s="14">
        <f ca="1">INDIRECT("'("&amp;$A$4&amp;")'!C28")</f>
        <v>881</v>
      </c>
      <c r="C30" s="14">
        <f ca="1">INDIRECT("'("&amp;$A$4&amp;")'!d28")</f>
        <v>715</v>
      </c>
      <c r="D30" s="14">
        <f ca="1">INDIRECT("'("&amp;$A$4&amp;")'!e28")</f>
        <v>166</v>
      </c>
      <c r="E30" s="14">
        <f ca="1">INDIRECT("'("&amp;$A$4&amp;")'!f28")</f>
        <v>128</v>
      </c>
      <c r="F30" s="14">
        <f ca="1">INDIRECT("'("&amp;$A$4&amp;")'!g28")</f>
        <v>21</v>
      </c>
      <c r="G30" s="14">
        <f ca="1">INDIRECT("'("&amp;$A$4&amp;")'!h28")</f>
        <v>6</v>
      </c>
      <c r="H30" s="14">
        <f ca="1">INDIRECT("'("&amp;$A$4&amp;")'!i28")</f>
        <v>0</v>
      </c>
      <c r="I30" s="14">
        <f ca="1">INDIRECT("'("&amp;$A$4&amp;")'!j28")</f>
        <v>4</v>
      </c>
      <c r="J30" s="14">
        <f ca="1">INDIRECT("'("&amp;$A$4&amp;")'!k28")</f>
        <v>117</v>
      </c>
      <c r="K30" s="14">
        <f ca="1">INDIRECT("'("&amp;$A$4&amp;")'!l28")</f>
        <v>38319</v>
      </c>
      <c r="M30" s="11"/>
      <c r="N30" s="11"/>
      <c r="P30" s="13"/>
      <c r="Q30" s="13"/>
      <c r="R30" s="13"/>
      <c r="S30" s="13"/>
      <c r="T30" s="13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 s="5" customFormat="1" ht="15" customHeight="1" x14ac:dyDescent="0.35">
      <c r="A31" s="4" t="s">
        <v>27</v>
      </c>
      <c r="B31" s="14">
        <f ca="1">INDIRECT("'("&amp;$A$4&amp;")'!C29")</f>
        <v>106</v>
      </c>
      <c r="C31" s="14">
        <f ca="1">INDIRECT("'("&amp;$A$4&amp;")'!d29")</f>
        <v>66</v>
      </c>
      <c r="D31" s="14">
        <f ca="1">INDIRECT("'("&amp;$A$4&amp;")'!e29")</f>
        <v>40</v>
      </c>
      <c r="E31" s="14">
        <f ca="1">INDIRECT("'("&amp;$A$4&amp;")'!f29")</f>
        <v>40</v>
      </c>
      <c r="F31" s="14">
        <f ca="1">INDIRECT("'("&amp;$A$4&amp;")'!g29")</f>
        <v>2</v>
      </c>
      <c r="G31" s="14">
        <f ca="1">INDIRECT("'("&amp;$A$4&amp;")'!h29")</f>
        <v>0</v>
      </c>
      <c r="H31" s="14">
        <f ca="1">INDIRECT("'("&amp;$A$4&amp;")'!i29")</f>
        <v>0</v>
      </c>
      <c r="I31" s="14">
        <f ca="1">INDIRECT("'("&amp;$A$4&amp;")'!j29")</f>
        <v>0</v>
      </c>
      <c r="J31" s="14">
        <f ca="1">INDIRECT("'("&amp;$A$4&amp;")'!k29")</f>
        <v>1</v>
      </c>
      <c r="K31" s="14">
        <f ca="1">INDIRECT("'("&amp;$A$4&amp;")'!l29")</f>
        <v>6492</v>
      </c>
      <c r="M31" s="11"/>
      <c r="N31" s="11"/>
      <c r="P31" s="13"/>
      <c r="Q31" s="13"/>
      <c r="R31" s="13"/>
      <c r="S31" s="13"/>
      <c r="T31" s="13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s="5" customFormat="1" ht="15" customHeight="1" x14ac:dyDescent="0.35">
      <c r="A32" s="5" t="s">
        <v>29</v>
      </c>
      <c r="B32" s="14">
        <f ca="1">INDIRECT("'("&amp;$A$4&amp;")'!C30")</f>
        <v>802</v>
      </c>
      <c r="C32" s="14">
        <f ca="1">INDIRECT("'("&amp;$A$4&amp;")'!d30")</f>
        <v>649</v>
      </c>
      <c r="D32" s="14">
        <f ca="1">INDIRECT("'("&amp;$A$4&amp;")'!e30")</f>
        <v>153</v>
      </c>
      <c r="E32" s="14">
        <f ca="1">INDIRECT("'("&amp;$A$4&amp;")'!f30")</f>
        <v>232</v>
      </c>
      <c r="F32" s="14">
        <f ca="1">INDIRECT("'("&amp;$A$4&amp;")'!g30")</f>
        <v>77</v>
      </c>
      <c r="G32" s="14">
        <f ca="1">INDIRECT("'("&amp;$A$4&amp;")'!h30")</f>
        <v>12</v>
      </c>
      <c r="H32" s="14">
        <f ca="1">INDIRECT("'("&amp;$A$4&amp;")'!i30")</f>
        <v>0</v>
      </c>
      <c r="I32" s="14">
        <f ca="1">INDIRECT("'("&amp;$A$4&amp;")'!j30")</f>
        <v>0</v>
      </c>
      <c r="J32" s="14">
        <f ca="1">INDIRECT("'("&amp;$A$4&amp;")'!k30")</f>
        <v>44</v>
      </c>
      <c r="K32" s="14">
        <f ca="1">INDIRECT("'("&amp;$A$4&amp;")'!l30")</f>
        <v>25440</v>
      </c>
      <c r="M32" s="11"/>
      <c r="N32" s="11"/>
      <c r="P32" s="13"/>
      <c r="Q32" s="13"/>
      <c r="R32" s="13"/>
      <c r="S32" s="13"/>
      <c r="T32" s="13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1:32" s="5" customFormat="1" ht="15" customHeight="1" x14ac:dyDescent="0.35">
      <c r="A33" s="5" t="s">
        <v>30</v>
      </c>
      <c r="B33" s="14">
        <f ca="1">INDIRECT("'("&amp;$A$4&amp;")'!C31")</f>
        <v>2101</v>
      </c>
      <c r="C33" s="14">
        <f ca="1">INDIRECT("'("&amp;$A$4&amp;")'!d31")</f>
        <v>561</v>
      </c>
      <c r="D33" s="14">
        <f ca="1">INDIRECT("'("&amp;$A$4&amp;")'!e31")</f>
        <v>1540</v>
      </c>
      <c r="E33" s="14">
        <f ca="1">INDIRECT("'("&amp;$A$4&amp;")'!f31")</f>
        <v>1317</v>
      </c>
      <c r="F33" s="14">
        <f ca="1">INDIRECT("'("&amp;$A$4&amp;")'!g31")</f>
        <v>125</v>
      </c>
      <c r="G33" s="14">
        <f ca="1">INDIRECT("'("&amp;$A$4&amp;")'!h31")</f>
        <v>14</v>
      </c>
      <c r="H33" s="14">
        <f ca="1">INDIRECT("'("&amp;$A$4&amp;")'!i31")</f>
        <v>7</v>
      </c>
      <c r="I33" s="14">
        <f ca="1">INDIRECT("'("&amp;$A$4&amp;")'!j31")</f>
        <v>3</v>
      </c>
      <c r="J33" s="14">
        <f ca="1">INDIRECT("'("&amp;$A$4&amp;")'!k31")</f>
        <v>53</v>
      </c>
      <c r="K33" s="14">
        <f ca="1">INDIRECT("'("&amp;$A$4&amp;")'!l31")</f>
        <v>25510</v>
      </c>
      <c r="M33" s="11"/>
      <c r="N33" s="11"/>
      <c r="P33" s="13"/>
      <c r="Q33" s="13"/>
      <c r="R33" s="13"/>
      <c r="S33" s="13"/>
      <c r="T33" s="13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s="5" customFormat="1" ht="15" customHeight="1" x14ac:dyDescent="0.35">
      <c r="A34" s="4" t="s">
        <v>31</v>
      </c>
      <c r="B34" s="14">
        <f ca="1">INDIRECT("'("&amp;$A$4&amp;")'!C32")</f>
        <v>259</v>
      </c>
      <c r="C34" s="14">
        <f ca="1">INDIRECT("'("&amp;$A$4&amp;")'!d32")</f>
        <v>166</v>
      </c>
      <c r="D34" s="14">
        <f ca="1">INDIRECT("'("&amp;$A$4&amp;")'!e32")</f>
        <v>93</v>
      </c>
      <c r="E34" s="14">
        <f ca="1">INDIRECT("'("&amp;$A$4&amp;")'!f32")</f>
        <v>128</v>
      </c>
      <c r="F34" s="14">
        <f ca="1">INDIRECT("'("&amp;$A$4&amp;")'!g32")</f>
        <v>37</v>
      </c>
      <c r="G34" s="14">
        <f ca="1">INDIRECT("'("&amp;$A$4&amp;")'!h32")</f>
        <v>13</v>
      </c>
      <c r="H34" s="14">
        <f ca="1">INDIRECT("'("&amp;$A$4&amp;")'!i32")</f>
        <v>1</v>
      </c>
      <c r="I34" s="14">
        <f ca="1">INDIRECT("'("&amp;$A$4&amp;")'!j32")</f>
        <v>3</v>
      </c>
      <c r="J34" s="14">
        <f ca="1">INDIRECT("'("&amp;$A$4&amp;")'!k32")</f>
        <v>77</v>
      </c>
      <c r="K34" s="14">
        <f ca="1">INDIRECT("'("&amp;$A$4&amp;")'!l32")</f>
        <v>25587</v>
      </c>
      <c r="M34" s="11"/>
      <c r="N34" s="11"/>
      <c r="P34" s="13"/>
      <c r="Q34" s="13"/>
      <c r="R34" s="13"/>
      <c r="S34" s="13"/>
      <c r="T34" s="13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s="5" customFormat="1" ht="15" customHeight="1" x14ac:dyDescent="0.35">
      <c r="A35" s="5" t="s">
        <v>32</v>
      </c>
      <c r="B35" s="14">
        <f ca="1">INDIRECT("'("&amp;$A$4&amp;")'!C33")</f>
        <v>299</v>
      </c>
      <c r="C35" s="14">
        <f ca="1">INDIRECT("'("&amp;$A$4&amp;")'!d33")</f>
        <v>198</v>
      </c>
      <c r="D35" s="14">
        <f ca="1">INDIRECT("'("&amp;$A$4&amp;")'!e33")</f>
        <v>101</v>
      </c>
      <c r="E35" s="14">
        <f ca="1">INDIRECT("'("&amp;$A$4&amp;")'!f33")</f>
        <v>85</v>
      </c>
      <c r="F35" s="14">
        <f ca="1">INDIRECT("'("&amp;$A$4&amp;")'!g33")</f>
        <v>6</v>
      </c>
      <c r="G35" s="14">
        <f ca="1">INDIRECT("'("&amp;$A$4&amp;")'!h33")</f>
        <v>3</v>
      </c>
      <c r="H35" s="14">
        <f ca="1">INDIRECT("'("&amp;$A$4&amp;")'!i33")</f>
        <v>0</v>
      </c>
      <c r="I35" s="14">
        <f ca="1">INDIRECT("'("&amp;$A$4&amp;")'!j33")</f>
        <v>1</v>
      </c>
      <c r="J35" s="14">
        <f ca="1">INDIRECT("'("&amp;$A$4&amp;")'!k33")</f>
        <v>4</v>
      </c>
      <c r="K35" s="14">
        <f ca="1">INDIRECT("'("&amp;$A$4&amp;")'!l33")</f>
        <v>28639</v>
      </c>
      <c r="M35" s="11"/>
      <c r="N35" s="11"/>
      <c r="P35" s="13"/>
      <c r="Q35" s="13"/>
      <c r="R35" s="13"/>
      <c r="S35" s="13"/>
      <c r="T35" s="13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s="5" customFormat="1" ht="15" customHeight="1" x14ac:dyDescent="0.35">
      <c r="A36" s="5" t="s">
        <v>34</v>
      </c>
      <c r="B36" s="14">
        <f ca="1">INDIRECT("'("&amp;$A$4&amp;")'!C34")</f>
        <v>676</v>
      </c>
      <c r="C36" s="14">
        <f ca="1">INDIRECT("'("&amp;$A$4&amp;")'!d34")</f>
        <v>598</v>
      </c>
      <c r="D36" s="14">
        <f ca="1">INDIRECT("'("&amp;$A$4&amp;")'!e34")</f>
        <v>78</v>
      </c>
      <c r="E36" s="14">
        <f ca="1">INDIRECT("'("&amp;$A$4&amp;")'!f34")</f>
        <v>63</v>
      </c>
      <c r="F36" s="14">
        <f ca="1">INDIRECT("'("&amp;$A$4&amp;")'!g34")</f>
        <v>4</v>
      </c>
      <c r="G36" s="14">
        <f ca="1">INDIRECT("'("&amp;$A$4&amp;")'!h34")</f>
        <v>3</v>
      </c>
      <c r="H36" s="14">
        <f ca="1">INDIRECT("'("&amp;$A$4&amp;")'!i34")</f>
        <v>1</v>
      </c>
      <c r="I36" s="14">
        <f ca="1">INDIRECT("'("&amp;$A$4&amp;")'!j34")</f>
        <v>0</v>
      </c>
      <c r="J36" s="14">
        <f ca="1">INDIRECT("'("&amp;$A$4&amp;")'!k34")</f>
        <v>99</v>
      </c>
      <c r="K36" s="14">
        <f ca="1">INDIRECT("'("&amp;$A$4&amp;")'!l34")</f>
        <v>23275</v>
      </c>
      <c r="M36" s="11"/>
      <c r="N36" s="11"/>
      <c r="P36" s="13"/>
      <c r="Q36" s="13"/>
      <c r="R36" s="13"/>
      <c r="S36" s="13"/>
      <c r="T36" s="13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s="5" customFormat="1" ht="15" customHeight="1" x14ac:dyDescent="0.35">
      <c r="A37" s="5" t="s">
        <v>35</v>
      </c>
      <c r="B37" s="14">
        <f ca="1">INDIRECT("'("&amp;$A$4&amp;")'!C35")</f>
        <v>1767</v>
      </c>
      <c r="C37" s="14">
        <f ca="1">INDIRECT("'("&amp;$A$4&amp;")'!d35")</f>
        <v>1182</v>
      </c>
      <c r="D37" s="14">
        <f ca="1">INDIRECT("'("&amp;$A$4&amp;")'!e35")</f>
        <v>585</v>
      </c>
      <c r="E37" s="14">
        <f ca="1">INDIRECT("'("&amp;$A$4&amp;")'!f35")</f>
        <v>563</v>
      </c>
      <c r="F37" s="14">
        <f ca="1">INDIRECT("'("&amp;$A$4&amp;")'!g35")</f>
        <v>20</v>
      </c>
      <c r="G37" s="14">
        <f ca="1">INDIRECT("'("&amp;$A$4&amp;")'!h35")</f>
        <v>4</v>
      </c>
      <c r="H37" s="14">
        <f ca="1">INDIRECT("'("&amp;$A$4&amp;")'!i35")</f>
        <v>5</v>
      </c>
      <c r="I37" s="14">
        <f ca="1">INDIRECT("'("&amp;$A$4&amp;")'!j35")</f>
        <v>0</v>
      </c>
      <c r="J37" s="14">
        <f ca="1">INDIRECT("'("&amp;$A$4&amp;")'!k35")</f>
        <v>156</v>
      </c>
      <c r="K37" s="14">
        <f ca="1">INDIRECT("'("&amp;$A$4&amp;")'!l35")</f>
        <v>44124</v>
      </c>
      <c r="M37" s="11"/>
      <c r="N37" s="11"/>
      <c r="P37" s="13"/>
      <c r="Q37" s="13"/>
      <c r="R37" s="13"/>
      <c r="S37" s="13"/>
      <c r="T37" s="13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s="5" customFormat="1" ht="15" customHeight="1" x14ac:dyDescent="0.35">
      <c r="A38" s="5" t="s">
        <v>36</v>
      </c>
      <c r="B38" s="14">
        <f ca="1">INDIRECT("'("&amp;$A$4&amp;")'!C36")</f>
        <v>510</v>
      </c>
      <c r="C38" s="14">
        <f ca="1">INDIRECT("'("&amp;$A$4&amp;")'!d36")</f>
        <v>368</v>
      </c>
      <c r="D38" s="14">
        <f ca="1">INDIRECT("'("&amp;$A$4&amp;")'!e36")</f>
        <v>142</v>
      </c>
      <c r="E38" s="14">
        <f ca="1">INDIRECT("'("&amp;$A$4&amp;")'!f36")</f>
        <v>137</v>
      </c>
      <c r="F38" s="14">
        <f ca="1">INDIRECT("'("&amp;$A$4&amp;")'!g36")</f>
        <v>19</v>
      </c>
      <c r="G38" s="14">
        <f ca="1">INDIRECT("'("&amp;$A$4&amp;")'!h36")</f>
        <v>6</v>
      </c>
      <c r="H38" s="14">
        <f ca="1">INDIRECT("'("&amp;$A$4&amp;")'!i36")</f>
        <v>0</v>
      </c>
      <c r="I38" s="14">
        <f ca="1">INDIRECT("'("&amp;$A$4&amp;")'!j36")</f>
        <v>0</v>
      </c>
      <c r="J38" s="14">
        <f ca="1">INDIRECT("'("&amp;$A$4&amp;")'!k36")</f>
        <v>5</v>
      </c>
      <c r="K38" s="14">
        <f ca="1">INDIRECT("'("&amp;$A$4&amp;")'!l36")</f>
        <v>20981</v>
      </c>
      <c r="M38" s="11"/>
      <c r="N38" s="11"/>
      <c r="P38" s="13"/>
      <c r="Q38" s="13"/>
      <c r="R38" s="13"/>
      <c r="S38" s="13"/>
      <c r="T38" s="13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s="5" customFormat="1" ht="15" customHeight="1" x14ac:dyDescent="0.35">
      <c r="A39" s="5" t="s">
        <v>37</v>
      </c>
      <c r="B39" s="14">
        <f ca="1">INDIRECT("'("&amp;$A$4&amp;")'!C37")</f>
        <v>339</v>
      </c>
      <c r="C39" s="14">
        <f ca="1">INDIRECT("'("&amp;$A$4&amp;")'!d37")</f>
        <v>226</v>
      </c>
      <c r="D39" s="14">
        <f ca="1">INDIRECT("'("&amp;$A$4&amp;")'!e37")</f>
        <v>113</v>
      </c>
      <c r="E39" s="14">
        <f ca="1">INDIRECT("'("&amp;$A$4&amp;")'!f37")</f>
        <v>99</v>
      </c>
      <c r="F39" s="14">
        <f ca="1">INDIRECT("'("&amp;$A$4&amp;")'!g37")</f>
        <v>0</v>
      </c>
      <c r="G39" s="14">
        <f ca="1">INDIRECT("'("&amp;$A$4&amp;")'!h37")</f>
        <v>1</v>
      </c>
      <c r="H39" s="14">
        <f ca="1">INDIRECT("'("&amp;$A$4&amp;")'!i37")</f>
        <v>0</v>
      </c>
      <c r="I39" s="14">
        <f ca="1">INDIRECT("'("&amp;$A$4&amp;")'!j37")</f>
        <v>0</v>
      </c>
      <c r="J39" s="14">
        <f ca="1">INDIRECT("'("&amp;$A$4&amp;")'!k37")</f>
        <v>24</v>
      </c>
      <c r="K39" s="14">
        <f ca="1">INDIRECT("'("&amp;$A$4&amp;")'!l37")</f>
        <v>8856</v>
      </c>
      <c r="M39" s="11"/>
      <c r="N39" s="11"/>
      <c r="P39" s="13"/>
      <c r="Q39" s="13"/>
      <c r="R39" s="13"/>
      <c r="S39" s="13"/>
      <c r="T39" s="13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s="5" customFormat="1" ht="15" customHeight="1" x14ac:dyDescent="0.35">
      <c r="A40" s="4" t="s">
        <v>38</v>
      </c>
      <c r="B40" s="14">
        <f ca="1">INDIRECT("'("&amp;$A$4&amp;")'!C38")</f>
        <v>853</v>
      </c>
      <c r="C40" s="14">
        <f ca="1">INDIRECT("'("&amp;$A$4&amp;")'!d38")</f>
        <v>579</v>
      </c>
      <c r="D40" s="14">
        <f ca="1">INDIRECT("'("&amp;$A$4&amp;")'!e38")</f>
        <v>274</v>
      </c>
      <c r="E40" s="14">
        <f ca="1">INDIRECT("'("&amp;$A$4&amp;")'!f38")</f>
        <v>236</v>
      </c>
      <c r="F40" s="14">
        <f ca="1">INDIRECT("'("&amp;$A$4&amp;")'!g38")</f>
        <v>19</v>
      </c>
      <c r="G40" s="14">
        <f ca="1">INDIRECT("'("&amp;$A$4&amp;")'!h38")</f>
        <v>9</v>
      </c>
      <c r="H40" s="14">
        <f ca="1">INDIRECT("'("&amp;$A$4&amp;")'!i38")</f>
        <v>0</v>
      </c>
      <c r="I40" s="14">
        <f ca="1">INDIRECT("'("&amp;$A$4&amp;")'!j38")</f>
        <v>0</v>
      </c>
      <c r="J40" s="14">
        <f ca="1">INDIRECT("'("&amp;$A$4&amp;")'!k38")</f>
        <v>170</v>
      </c>
      <c r="K40" s="14">
        <f ca="1">INDIRECT("'("&amp;$A$4&amp;")'!l38")</f>
        <v>25537</v>
      </c>
      <c r="M40" s="11"/>
      <c r="N40" s="11"/>
      <c r="P40" s="13"/>
      <c r="Q40" s="13"/>
      <c r="R40" s="13"/>
      <c r="S40" s="13"/>
      <c r="T40" s="13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s="5" customFormat="1" ht="15" customHeight="1" x14ac:dyDescent="0.35">
      <c r="A41" s="4" t="s">
        <v>39</v>
      </c>
      <c r="B41" s="14">
        <f ca="1">INDIRECT("'("&amp;$A$4&amp;")'!C39")</f>
        <v>349</v>
      </c>
      <c r="C41" s="14">
        <f ca="1">INDIRECT("'("&amp;$A$4&amp;")'!d39")</f>
        <v>233</v>
      </c>
      <c r="D41" s="14">
        <f ca="1">INDIRECT("'("&amp;$A$4&amp;")'!e39")</f>
        <v>116</v>
      </c>
      <c r="E41" s="14">
        <f ca="1">INDIRECT("'("&amp;$A$4&amp;")'!f39")</f>
        <v>98</v>
      </c>
      <c r="F41" s="14">
        <f ca="1">INDIRECT("'("&amp;$A$4&amp;")'!g39")</f>
        <v>11</v>
      </c>
      <c r="G41" s="14">
        <f ca="1">INDIRECT("'("&amp;$A$4&amp;")'!h39")</f>
        <v>5</v>
      </c>
      <c r="H41" s="14">
        <f ca="1">INDIRECT("'("&amp;$A$4&amp;")'!i39")</f>
        <v>1</v>
      </c>
      <c r="I41" s="14">
        <f ca="1">INDIRECT("'("&amp;$A$4&amp;")'!j39")</f>
        <v>2</v>
      </c>
      <c r="J41" s="14">
        <f ca="1">INDIRECT("'("&amp;$A$4&amp;")'!k39")</f>
        <v>65</v>
      </c>
      <c r="K41" s="14">
        <f ca="1">INDIRECT("'("&amp;$A$4&amp;")'!l39")</f>
        <v>19804</v>
      </c>
      <c r="M41" s="11"/>
      <c r="N41" s="11"/>
      <c r="P41" s="13"/>
      <c r="Q41" s="13"/>
      <c r="R41" s="13"/>
      <c r="S41" s="13"/>
      <c r="T41" s="13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1:32" s="5" customFormat="1" ht="15" customHeight="1" x14ac:dyDescent="0.35">
      <c r="A42" s="4" t="s">
        <v>40</v>
      </c>
      <c r="B42" s="14">
        <f ca="1">INDIRECT("'("&amp;$A$4&amp;")'!C40")</f>
        <v>451</v>
      </c>
      <c r="C42" s="14">
        <f ca="1">INDIRECT("'("&amp;$A$4&amp;")'!d40")</f>
        <v>344</v>
      </c>
      <c r="D42" s="14">
        <f ca="1">INDIRECT("'("&amp;$A$4&amp;")'!e40")</f>
        <v>107</v>
      </c>
      <c r="E42" s="14">
        <f ca="1">INDIRECT("'("&amp;$A$4&amp;")'!f40")</f>
        <v>98</v>
      </c>
      <c r="F42" s="14">
        <f ca="1">INDIRECT("'("&amp;$A$4&amp;")'!g40")</f>
        <v>2</v>
      </c>
      <c r="G42" s="14">
        <f ca="1">INDIRECT("'("&amp;$A$4&amp;")'!h40")</f>
        <v>8</v>
      </c>
      <c r="H42" s="14">
        <f ca="1">INDIRECT("'("&amp;$A$4&amp;")'!i40")</f>
        <v>0</v>
      </c>
      <c r="I42" s="14">
        <f ca="1">INDIRECT("'("&amp;$A$4&amp;")'!j40")</f>
        <v>0</v>
      </c>
      <c r="J42" s="14">
        <f ca="1">INDIRECT("'("&amp;$A$4&amp;")'!k40")</f>
        <v>79</v>
      </c>
      <c r="K42" s="14">
        <f ca="1">INDIRECT("'("&amp;$A$4&amp;")'!l40")</f>
        <v>14709</v>
      </c>
      <c r="M42" s="11"/>
      <c r="N42" s="11"/>
      <c r="P42" s="13"/>
      <c r="Q42" s="13"/>
      <c r="R42" s="13"/>
      <c r="S42" s="13"/>
      <c r="T42" s="13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1:32" s="5" customFormat="1" ht="15" customHeight="1" x14ac:dyDescent="0.35">
      <c r="A43" s="4" t="s">
        <v>42</v>
      </c>
      <c r="B43" s="14">
        <f ca="1">INDIRECT("'("&amp;$A$4&amp;")'!C41")</f>
        <v>416</v>
      </c>
      <c r="C43" s="14">
        <f ca="1">INDIRECT("'("&amp;$A$4&amp;")'!d41")</f>
        <v>249</v>
      </c>
      <c r="D43" s="14">
        <f ca="1">INDIRECT("'("&amp;$A$4&amp;")'!e41")</f>
        <v>167</v>
      </c>
      <c r="E43" s="14">
        <f ca="1">INDIRECT("'("&amp;$A$4&amp;")'!f41")</f>
        <v>162</v>
      </c>
      <c r="F43" s="14">
        <f ca="1">INDIRECT("'("&amp;$A$4&amp;")'!g41")</f>
        <v>9</v>
      </c>
      <c r="G43" s="14">
        <f ca="1">INDIRECT("'("&amp;$A$4&amp;")'!h41")</f>
        <v>4</v>
      </c>
      <c r="H43" s="14">
        <f ca="1">INDIRECT("'("&amp;$A$4&amp;")'!i41")</f>
        <v>0</v>
      </c>
      <c r="I43" s="14">
        <f ca="1">INDIRECT("'("&amp;$A$4&amp;")'!j41")</f>
        <v>0</v>
      </c>
      <c r="J43" s="14">
        <f ca="1">INDIRECT("'("&amp;$A$4&amp;")'!k41")</f>
        <v>0</v>
      </c>
      <c r="K43" s="14">
        <f ca="1">INDIRECT("'("&amp;$A$4&amp;")'!l41")</f>
        <v>26218</v>
      </c>
      <c r="M43" s="11"/>
      <c r="N43" s="11"/>
      <c r="P43" s="13"/>
      <c r="Q43" s="13"/>
      <c r="R43" s="13"/>
      <c r="S43" s="13"/>
      <c r="T43" s="13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s="5" customFormat="1" ht="15" customHeight="1" x14ac:dyDescent="0.35">
      <c r="A44" s="4" t="s">
        <v>43</v>
      </c>
      <c r="B44" s="14">
        <f ca="1">INDIRECT("'("&amp;$A$4&amp;")'!C42")</f>
        <v>294</v>
      </c>
      <c r="C44" s="14">
        <f ca="1">INDIRECT("'("&amp;$A$4&amp;")'!d42")</f>
        <v>210</v>
      </c>
      <c r="D44" s="14">
        <f ca="1">INDIRECT("'("&amp;$A$4&amp;")'!e42")</f>
        <v>84</v>
      </c>
      <c r="E44" s="14">
        <f ca="1">INDIRECT("'("&amp;$A$4&amp;")'!f42")</f>
        <v>81</v>
      </c>
      <c r="F44" s="14">
        <f ca="1">INDIRECT("'("&amp;$A$4&amp;")'!g42")</f>
        <v>2</v>
      </c>
      <c r="G44" s="14">
        <f ca="1">INDIRECT("'("&amp;$A$4&amp;")'!h42")</f>
        <v>9</v>
      </c>
      <c r="H44" s="14">
        <f ca="1">INDIRECT("'("&amp;$A$4&amp;")'!i42")</f>
        <v>0</v>
      </c>
      <c r="I44" s="14">
        <f ca="1">INDIRECT("'("&amp;$A$4&amp;")'!j42")</f>
        <v>0</v>
      </c>
      <c r="J44" s="14">
        <f ca="1">INDIRECT("'("&amp;$A$4&amp;")'!k42")</f>
        <v>13</v>
      </c>
      <c r="K44" s="14">
        <f ca="1">INDIRECT("'("&amp;$A$4&amp;")'!l42")</f>
        <v>49187</v>
      </c>
      <c r="M44" s="11"/>
      <c r="N44" s="11"/>
      <c r="P44" s="13"/>
      <c r="Q44" s="13"/>
      <c r="R44" s="13"/>
      <c r="S44" s="13"/>
      <c r="T44" s="13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1:32" s="5" customFormat="1" ht="15" customHeight="1" x14ac:dyDescent="0.35">
      <c r="A45" s="4" t="s">
        <v>44</v>
      </c>
      <c r="B45" s="14">
        <f ca="1">INDIRECT("'("&amp;$A$4&amp;")'!C43")</f>
        <v>1525</v>
      </c>
      <c r="C45" s="14">
        <f ca="1">INDIRECT("'("&amp;$A$4&amp;")'!d43")</f>
        <v>1162</v>
      </c>
      <c r="D45" s="14">
        <f ca="1">INDIRECT("'("&amp;$A$4&amp;")'!e43")</f>
        <v>363</v>
      </c>
      <c r="E45" s="14">
        <f ca="1">INDIRECT("'("&amp;$A$4&amp;")'!f43")</f>
        <v>330</v>
      </c>
      <c r="F45" s="14">
        <f ca="1">INDIRECT("'("&amp;$A$4&amp;")'!g43")</f>
        <v>8</v>
      </c>
      <c r="G45" s="14">
        <f ca="1">INDIRECT("'("&amp;$A$4&amp;")'!h43")</f>
        <v>4</v>
      </c>
      <c r="H45" s="14">
        <f ca="1">INDIRECT("'("&amp;$A$4&amp;")'!i43")</f>
        <v>1</v>
      </c>
      <c r="I45" s="14">
        <f ca="1">INDIRECT("'("&amp;$A$4&amp;")'!j43")</f>
        <v>0</v>
      </c>
      <c r="J45" s="14">
        <f ca="1">INDIRECT("'("&amp;$A$4&amp;")'!k43")</f>
        <v>3</v>
      </c>
      <c r="K45" s="14">
        <f ca="1">INDIRECT("'("&amp;$A$4&amp;")'!l43")</f>
        <v>29076.162500000002</v>
      </c>
      <c r="M45" s="11"/>
      <c r="N45" s="11"/>
      <c r="P45" s="13"/>
      <c r="Q45" s="13"/>
      <c r="R45" s="13"/>
      <c r="S45" s="13"/>
      <c r="T45" s="13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2" s="5" customFormat="1" ht="15" customHeight="1" x14ac:dyDescent="0.35">
      <c r="A46" s="4" t="s">
        <v>46</v>
      </c>
      <c r="B46" s="14">
        <f ca="1">INDIRECT("'("&amp;$A$4&amp;")'!C44")</f>
        <v>513</v>
      </c>
      <c r="C46" s="14">
        <f ca="1">INDIRECT("'("&amp;$A$4&amp;")'!d44")</f>
        <v>307</v>
      </c>
      <c r="D46" s="14">
        <f ca="1">INDIRECT("'("&amp;$A$4&amp;")'!e44")</f>
        <v>206</v>
      </c>
      <c r="E46" s="14">
        <f ca="1">INDIRECT("'("&amp;$A$4&amp;")'!f44")</f>
        <v>189</v>
      </c>
      <c r="F46" s="14">
        <f ca="1">INDIRECT("'("&amp;$A$4&amp;")'!g44")</f>
        <v>16</v>
      </c>
      <c r="G46" s="14">
        <f ca="1">INDIRECT("'("&amp;$A$4&amp;")'!h44")</f>
        <v>11</v>
      </c>
      <c r="H46" s="14">
        <f ca="1">INDIRECT("'("&amp;$A$4&amp;")'!i44")</f>
        <v>0</v>
      </c>
      <c r="I46" s="14">
        <f ca="1">INDIRECT("'("&amp;$A$4&amp;")'!j44")</f>
        <v>0</v>
      </c>
      <c r="J46" s="14">
        <f ca="1">INDIRECT("'("&amp;$A$4&amp;")'!k44")</f>
        <v>19</v>
      </c>
      <c r="K46" s="14">
        <f ca="1">INDIRECT("'("&amp;$A$4&amp;")'!l44")</f>
        <v>13060</v>
      </c>
      <c r="M46" s="11"/>
      <c r="N46" s="11"/>
      <c r="P46" s="13"/>
      <c r="Q46" s="13"/>
      <c r="R46" s="13"/>
      <c r="S46" s="13"/>
      <c r="T46" s="13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s="5" customFormat="1" ht="15" customHeight="1" x14ac:dyDescent="0.35">
      <c r="A47" s="4" t="s">
        <v>48</v>
      </c>
      <c r="B47" s="57">
        <f ca="1">INDIRECT("'("&amp;$A$4&amp;")'!C45")</f>
        <v>439</v>
      </c>
      <c r="C47" s="57">
        <f ca="1">INDIRECT("'("&amp;$A$4&amp;")'!d45")</f>
        <v>400</v>
      </c>
      <c r="D47" s="57">
        <f ca="1">INDIRECT("'("&amp;$A$4&amp;")'!e45")</f>
        <v>39</v>
      </c>
      <c r="E47" s="57">
        <f ca="1">INDIRECT("'("&amp;$A$4&amp;")'!f45")</f>
        <v>136</v>
      </c>
      <c r="F47" s="57">
        <f ca="1">INDIRECT("'("&amp;$A$4&amp;")'!g45")</f>
        <v>8</v>
      </c>
      <c r="G47" s="57">
        <f ca="1">INDIRECT("'("&amp;$A$4&amp;")'!h45")</f>
        <v>6</v>
      </c>
      <c r="H47" s="57">
        <f ca="1">INDIRECT("'("&amp;$A$4&amp;")'!i45")</f>
        <v>1</v>
      </c>
      <c r="I47" s="57">
        <f ca="1">INDIRECT("'("&amp;$A$4&amp;")'!j45")</f>
        <v>0</v>
      </c>
      <c r="J47" s="57">
        <f ca="1">INDIRECT("'("&amp;$A$4&amp;")'!k45")</f>
        <v>34</v>
      </c>
      <c r="K47" s="57">
        <f ca="1">INDIRECT("'("&amp;$A$4&amp;")'!l45")</f>
        <v>20799</v>
      </c>
      <c r="M47" s="11"/>
      <c r="N47" s="11"/>
      <c r="P47" s="13"/>
      <c r="Q47" s="13"/>
      <c r="R47" s="13"/>
      <c r="S47" s="13"/>
      <c r="T47" s="13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32" s="5" customFormat="1" ht="15" customHeight="1" x14ac:dyDescent="0.35">
      <c r="A48" s="4" t="s">
        <v>50</v>
      </c>
      <c r="B48" s="14" t="str">
        <f ca="1">INDIRECT("'("&amp;$A$4&amp;")'!C46")</f>
        <v>..</v>
      </c>
      <c r="C48" s="14" t="str">
        <f ca="1">INDIRECT("'("&amp;$A$4&amp;")'!d46")</f>
        <v>..</v>
      </c>
      <c r="D48" s="14" t="str">
        <f ca="1">INDIRECT("'("&amp;$A$4&amp;")'!e46")</f>
        <v>..</v>
      </c>
      <c r="E48" s="14" t="str">
        <f ca="1">INDIRECT("'("&amp;$A$4&amp;")'!f46")</f>
        <v>..</v>
      </c>
      <c r="F48" s="14" t="str">
        <f ca="1">INDIRECT("'("&amp;$A$4&amp;")'!g46")</f>
        <v>..</v>
      </c>
      <c r="G48" s="14" t="str">
        <f ca="1">INDIRECT("'("&amp;$A$4&amp;")'!h46")</f>
        <v>..</v>
      </c>
      <c r="H48" s="14" t="str">
        <f ca="1">INDIRECT("'("&amp;$A$4&amp;")'!i46")</f>
        <v>..</v>
      </c>
      <c r="I48" s="14" t="str">
        <f ca="1">INDIRECT("'("&amp;$A$4&amp;")'!j46")</f>
        <v>..</v>
      </c>
      <c r="J48" s="14" t="str">
        <f ca="1">INDIRECT("'("&amp;$A$4&amp;")'!k46")</f>
        <v>..</v>
      </c>
      <c r="K48" s="14" t="str">
        <f ca="1">INDIRECT("'("&amp;$A$4&amp;")'!l46")</f>
        <v>..</v>
      </c>
      <c r="M48" s="11"/>
      <c r="N48" s="11"/>
      <c r="P48" s="13"/>
      <c r="Q48" s="13"/>
      <c r="R48" s="13"/>
      <c r="S48" s="13"/>
      <c r="T48" s="13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s="5" customFormat="1" ht="15" customHeight="1" x14ac:dyDescent="0.35">
      <c r="A49" s="4" t="s">
        <v>28</v>
      </c>
      <c r="B49" s="14">
        <f ca="1">INDIRECT("'("&amp;$A$4&amp;")'!C47")</f>
        <v>0</v>
      </c>
      <c r="C49" s="14">
        <f ca="1">INDIRECT("'("&amp;$A$4&amp;")'!d47")</f>
        <v>0</v>
      </c>
      <c r="D49" s="14">
        <f ca="1">INDIRECT("'("&amp;$A$4&amp;")'!e47")</f>
        <v>0</v>
      </c>
      <c r="E49" s="14">
        <f ca="1">INDIRECT("'("&amp;$A$4&amp;")'!f47")</f>
        <v>0</v>
      </c>
      <c r="F49" s="14">
        <f ca="1">INDIRECT("'("&amp;$A$4&amp;")'!g47")</f>
        <v>0</v>
      </c>
      <c r="G49" s="14">
        <f ca="1">INDIRECT("'("&amp;$A$4&amp;")'!h47")</f>
        <v>0</v>
      </c>
      <c r="H49" s="14">
        <f ca="1">INDIRECT("'("&amp;$A$4&amp;")'!i47")</f>
        <v>0</v>
      </c>
      <c r="I49" s="14">
        <f ca="1">INDIRECT("'("&amp;$A$4&amp;")'!j47")</f>
        <v>0</v>
      </c>
      <c r="J49" s="14">
        <f ca="1">INDIRECT("'("&amp;$A$4&amp;")'!k47")</f>
        <v>0</v>
      </c>
      <c r="K49" s="14">
        <f ca="1">INDIRECT("'("&amp;$A$4&amp;")'!l47")</f>
        <v>0</v>
      </c>
      <c r="M49" s="11"/>
      <c r="N49" s="11"/>
      <c r="P49" s="13"/>
      <c r="Q49" s="13"/>
      <c r="R49" s="13"/>
      <c r="S49" s="13"/>
      <c r="T49" s="13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s="5" customFormat="1" ht="15" customHeight="1" x14ac:dyDescent="0.35">
      <c r="A50" s="24" t="s">
        <v>3</v>
      </c>
      <c r="B50" s="15">
        <f ca="1">INDIRECT("'("&amp;$A$4&amp;")'!C48")</f>
        <v>19125</v>
      </c>
      <c r="C50" s="15">
        <f ca="1">INDIRECT("'("&amp;$A$4&amp;")'!d48")</f>
        <v>12729</v>
      </c>
      <c r="D50" s="15">
        <f ca="1">INDIRECT("'("&amp;$A$4&amp;")'!e48")</f>
        <v>6396</v>
      </c>
      <c r="E50" s="15">
        <f ca="1">INDIRECT("'("&amp;$A$4&amp;")'!f48")</f>
        <v>6701</v>
      </c>
      <c r="F50" s="15">
        <f ca="1">INDIRECT("'("&amp;$A$4&amp;")'!g48")</f>
        <v>672</v>
      </c>
      <c r="G50" s="15">
        <f ca="1">INDIRECT("'("&amp;$A$4&amp;")'!h48")</f>
        <v>220</v>
      </c>
      <c r="H50" s="15">
        <f ca="1">INDIRECT("'("&amp;$A$4&amp;")'!i48")</f>
        <v>41</v>
      </c>
      <c r="I50" s="15">
        <f ca="1">INDIRECT("'("&amp;$A$4&amp;")'!j48")</f>
        <v>9</v>
      </c>
      <c r="J50" s="15">
        <f ca="1">INDIRECT("'("&amp;$A$4&amp;")'!k48")</f>
        <v>956</v>
      </c>
      <c r="K50" s="15">
        <f ca="1">INDIRECT("'("&amp;$A$4&amp;")'!l48")</f>
        <v>566095</v>
      </c>
      <c r="M50" s="11"/>
      <c r="N50" s="11"/>
      <c r="P50" s="13"/>
      <c r="Q50" s="13"/>
      <c r="R50" s="13"/>
      <c r="S50" s="13"/>
      <c r="T50" s="13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</row>
    <row r="51" spans="1:32" s="5" customFormat="1" ht="15" customHeight="1" x14ac:dyDescent="0.35">
      <c r="A51" s="4" t="s">
        <v>22</v>
      </c>
      <c r="B51" s="57">
        <f ca="1">INDIRECT("'("&amp;$A$4&amp;")'!C49")</f>
        <v>1248</v>
      </c>
      <c r="C51" s="57">
        <f ca="1">INDIRECT("'("&amp;$A$4&amp;")'!d49")</f>
        <v>554</v>
      </c>
      <c r="D51" s="57">
        <f ca="1">INDIRECT("'("&amp;$A$4&amp;")'!e49")</f>
        <v>694</v>
      </c>
      <c r="E51" s="57">
        <f ca="1">INDIRECT("'("&amp;$A$4&amp;")'!f49")</f>
        <v>579</v>
      </c>
      <c r="F51" s="57">
        <f ca="1">INDIRECT("'("&amp;$A$4&amp;")'!g49")</f>
        <v>103</v>
      </c>
      <c r="G51" s="57">
        <f ca="1">INDIRECT("'("&amp;$A$4&amp;")'!h49")</f>
        <v>38</v>
      </c>
      <c r="H51" s="57">
        <f ca="1">INDIRECT("'("&amp;$A$4&amp;")'!i49")</f>
        <v>7</v>
      </c>
      <c r="I51" s="57">
        <f ca="1">INDIRECT("'("&amp;$A$4&amp;")'!j49")</f>
        <v>0</v>
      </c>
      <c r="J51" s="57">
        <f ca="1">INDIRECT("'("&amp;$A$4&amp;")'!k49")</f>
        <v>19</v>
      </c>
      <c r="K51" s="57">
        <f ca="1">INDIRECT("'("&amp;$A$4&amp;")'!l49")</f>
        <v>112713</v>
      </c>
      <c r="M51" s="11"/>
      <c r="N51" s="11"/>
      <c r="P51" s="13"/>
      <c r="Q51" s="13"/>
      <c r="R51" s="13"/>
      <c r="S51" s="13"/>
      <c r="T51" s="13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</row>
    <row r="52" spans="1:32" s="5" customFormat="1" ht="15" customHeight="1" x14ac:dyDescent="0.35">
      <c r="A52" s="4" t="s">
        <v>33</v>
      </c>
      <c r="B52" s="14">
        <f ca="1">INDIRECT("'("&amp;$A$4&amp;")'!C50")</f>
        <v>908</v>
      </c>
      <c r="C52" s="14">
        <f ca="1">INDIRECT("'("&amp;$A$4&amp;")'!d50")</f>
        <v>824</v>
      </c>
      <c r="D52" s="14">
        <f ca="1">INDIRECT("'("&amp;$A$4&amp;")'!e50")</f>
        <v>84</v>
      </c>
      <c r="E52" s="14">
        <f ca="1">INDIRECT("'("&amp;$A$4&amp;")'!f50")</f>
        <v>47</v>
      </c>
      <c r="F52" s="14">
        <f ca="1">INDIRECT("'("&amp;$A$4&amp;")'!g50")</f>
        <v>37</v>
      </c>
      <c r="G52" s="14">
        <f ca="1">INDIRECT("'("&amp;$A$4&amp;")'!h50")</f>
        <v>30</v>
      </c>
      <c r="H52" s="14">
        <f ca="1">INDIRECT("'("&amp;$A$4&amp;")'!i50")</f>
        <v>0</v>
      </c>
      <c r="I52" s="14">
        <f ca="1">INDIRECT("'("&amp;$A$4&amp;")'!j50")</f>
        <v>1</v>
      </c>
      <c r="J52" s="14">
        <f ca="1">INDIRECT("'("&amp;$A$4&amp;")'!k50")</f>
        <v>46</v>
      </c>
      <c r="K52" s="14">
        <f ca="1">INDIRECT("'("&amp;$A$4&amp;")'!l50")</f>
        <v>30427</v>
      </c>
      <c r="M52" s="11"/>
      <c r="N52" s="11"/>
      <c r="P52" s="13"/>
      <c r="Q52" s="13"/>
      <c r="R52" s="13"/>
      <c r="S52" s="13"/>
      <c r="T52" s="13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1:32" s="5" customFormat="1" ht="15" customHeight="1" x14ac:dyDescent="0.35">
      <c r="A53" s="4" t="s">
        <v>41</v>
      </c>
      <c r="B53" s="14">
        <f ca="1">INDIRECT("'("&amp;$A$4&amp;")'!C51")</f>
        <v>1454</v>
      </c>
      <c r="C53" s="14">
        <f ca="1">INDIRECT("'("&amp;$A$4&amp;")'!d51")</f>
        <v>383</v>
      </c>
      <c r="D53" s="14">
        <f ca="1">INDIRECT("'("&amp;$A$4&amp;")'!e51")</f>
        <v>1071</v>
      </c>
      <c r="E53" s="14">
        <f ca="1">INDIRECT("'("&amp;$A$4&amp;")'!f51")</f>
        <v>876</v>
      </c>
      <c r="F53" s="14">
        <f ca="1">INDIRECT("'("&amp;$A$4&amp;")'!g51")</f>
        <v>31</v>
      </c>
      <c r="G53" s="14">
        <f ca="1">INDIRECT("'("&amp;$A$4&amp;")'!h51")</f>
        <v>17</v>
      </c>
      <c r="H53" s="14">
        <f ca="1">INDIRECT("'("&amp;$A$4&amp;")'!i51")</f>
        <v>2</v>
      </c>
      <c r="I53" s="14">
        <f ca="1">INDIRECT("'("&amp;$A$4&amp;")'!j51")</f>
        <v>0</v>
      </c>
      <c r="J53" s="14">
        <f ca="1">INDIRECT("'("&amp;$A$4&amp;")'!k51")</f>
        <v>31</v>
      </c>
      <c r="K53" s="14">
        <f ca="1">INDIRECT("'("&amp;$A$4&amp;")'!l51")</f>
        <v>38569</v>
      </c>
      <c r="M53" s="11"/>
      <c r="N53" s="11"/>
      <c r="P53" s="13"/>
      <c r="Q53" s="13"/>
      <c r="R53" s="13"/>
      <c r="S53" s="13"/>
      <c r="T53" s="13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</row>
    <row r="54" spans="1:32" s="5" customFormat="1" ht="15" customHeight="1" x14ac:dyDescent="0.35">
      <c r="A54" s="4" t="s">
        <v>45</v>
      </c>
      <c r="B54" s="14">
        <f ca="1">INDIRECT("'("&amp;$A$4&amp;")'!C52")</f>
        <v>1976</v>
      </c>
      <c r="C54" s="14">
        <f ca="1">INDIRECT("'("&amp;$A$4&amp;")'!d52")</f>
        <v>1327</v>
      </c>
      <c r="D54" s="14">
        <f ca="1">INDIRECT("'("&amp;$A$4&amp;")'!e52")</f>
        <v>649</v>
      </c>
      <c r="E54" s="14">
        <f ca="1">INDIRECT("'("&amp;$A$4&amp;")'!f52")</f>
        <v>635</v>
      </c>
      <c r="F54" s="14">
        <f ca="1">INDIRECT("'("&amp;$A$4&amp;")'!g52")</f>
        <v>10</v>
      </c>
      <c r="G54" s="14">
        <f ca="1">INDIRECT("'("&amp;$A$4&amp;")'!h52")</f>
        <v>18</v>
      </c>
      <c r="H54" s="14">
        <f ca="1">INDIRECT("'("&amp;$A$4&amp;")'!i52")</f>
        <v>2</v>
      </c>
      <c r="I54" s="14">
        <f ca="1">INDIRECT("'("&amp;$A$4&amp;")'!j52")</f>
        <v>2</v>
      </c>
      <c r="J54" s="14">
        <f ca="1">INDIRECT("'("&amp;$A$4&amp;")'!k52")</f>
        <v>25</v>
      </c>
      <c r="K54" s="14">
        <f ca="1">INDIRECT("'("&amp;$A$4&amp;")'!l52")</f>
        <v>31100</v>
      </c>
      <c r="M54" s="11"/>
      <c r="N54" s="11"/>
      <c r="P54" s="13"/>
      <c r="Q54" s="13"/>
      <c r="R54" s="13"/>
      <c r="S54" s="13"/>
      <c r="T54" s="13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</row>
    <row r="55" spans="1:32" s="5" customFormat="1" ht="15" customHeight="1" x14ac:dyDescent="0.35">
      <c r="A55" s="4" t="s">
        <v>47</v>
      </c>
      <c r="B55" s="14">
        <f ca="1">INDIRECT("'("&amp;$A$4&amp;")'!C53")</f>
        <v>2211</v>
      </c>
      <c r="C55" s="14">
        <f ca="1">INDIRECT("'("&amp;$A$4&amp;")'!d53")</f>
        <v>1227</v>
      </c>
      <c r="D55" s="14">
        <f ca="1">INDIRECT("'("&amp;$A$4&amp;")'!e53")</f>
        <v>984</v>
      </c>
      <c r="E55" s="14">
        <f ca="1">INDIRECT("'("&amp;$A$4&amp;")'!f53")</f>
        <v>2211</v>
      </c>
      <c r="F55" s="14">
        <f ca="1">INDIRECT("'("&amp;$A$4&amp;")'!g53")</f>
        <v>22</v>
      </c>
      <c r="G55" s="14">
        <f ca="1">INDIRECT("'("&amp;$A$4&amp;")'!h53")</f>
        <v>32</v>
      </c>
      <c r="H55" s="14">
        <f ca="1">INDIRECT("'("&amp;$A$4&amp;")'!i53")</f>
        <v>21</v>
      </c>
      <c r="I55" s="14">
        <f ca="1">INDIRECT("'("&amp;$A$4&amp;")'!j53")</f>
        <v>6</v>
      </c>
      <c r="J55" s="14">
        <f ca="1">INDIRECT("'("&amp;$A$4&amp;")'!k53")</f>
        <v>315</v>
      </c>
      <c r="K55" s="14">
        <f ca="1">INDIRECT("'("&amp;$A$4&amp;")'!l53")</f>
        <v>91154</v>
      </c>
      <c r="M55" s="11"/>
      <c r="N55" s="11"/>
      <c r="P55" s="13"/>
      <c r="Q55" s="13"/>
      <c r="R55" s="13"/>
      <c r="S55" s="13"/>
      <c r="T55" s="13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spans="1:32" s="5" customFormat="1" ht="15" customHeight="1" x14ac:dyDescent="0.35">
      <c r="A56" s="58" t="s">
        <v>49</v>
      </c>
      <c r="B56" s="14">
        <f ca="1">INDIRECT("'("&amp;$A$4&amp;")'!C54")</f>
        <v>928</v>
      </c>
      <c r="C56" s="14">
        <f ca="1">INDIRECT("'("&amp;$A$4&amp;")'!d54")</f>
        <v>538</v>
      </c>
      <c r="D56" s="14">
        <f ca="1">INDIRECT("'("&amp;$A$4&amp;")'!e54")</f>
        <v>390</v>
      </c>
      <c r="E56" s="14">
        <f ca="1">INDIRECT("'("&amp;$A$4&amp;")'!f54")</f>
        <v>224</v>
      </c>
      <c r="F56" s="14">
        <f ca="1">INDIRECT("'("&amp;$A$4&amp;")'!g54")</f>
        <v>87</v>
      </c>
      <c r="G56" s="14">
        <f ca="1">INDIRECT("'("&amp;$A$4&amp;")'!h54")</f>
        <v>22</v>
      </c>
      <c r="H56" s="14">
        <f ca="1">INDIRECT("'("&amp;$A$4&amp;")'!i54")</f>
        <v>1</v>
      </c>
      <c r="I56" s="14">
        <f ca="1">INDIRECT("'("&amp;$A$4&amp;")'!j54")</f>
        <v>0</v>
      </c>
      <c r="J56" s="14">
        <f ca="1">INDIRECT("'("&amp;$A$4&amp;")'!k54")</f>
        <v>79</v>
      </c>
      <c r="K56" s="14">
        <f ca="1">INDIRECT("'("&amp;$A$4&amp;")'!l54")</f>
        <v>82719</v>
      </c>
      <c r="L56" s="4"/>
      <c r="M56" s="11"/>
      <c r="N56" s="11"/>
      <c r="P56" s="13"/>
      <c r="Q56" s="13"/>
      <c r="R56" s="13"/>
      <c r="S56" s="13"/>
      <c r="T56" s="13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 s="5" customFormat="1" ht="15" customHeight="1" thickBot="1" x14ac:dyDescent="0.4">
      <c r="A57" s="16" t="s">
        <v>21</v>
      </c>
      <c r="B57" s="17">
        <f ca="1">INDIRECT("'("&amp;$A$4&amp;")'!C55")</f>
        <v>10400</v>
      </c>
      <c r="C57" s="17">
        <f ca="1">INDIRECT("'("&amp;$A$4&amp;")'!d55")</f>
        <v>7876</v>
      </c>
      <c r="D57" s="17">
        <f ca="1">INDIRECT("'("&amp;$A$4&amp;")'!e55")</f>
        <v>2524</v>
      </c>
      <c r="E57" s="17">
        <f ca="1">INDIRECT("'("&amp;$A$4&amp;")'!f55")</f>
        <v>2129</v>
      </c>
      <c r="F57" s="17">
        <f ca="1">INDIRECT("'("&amp;$A$4&amp;")'!g55")</f>
        <v>382</v>
      </c>
      <c r="G57" s="17">
        <f ca="1">INDIRECT("'("&amp;$A$4&amp;")'!h55")</f>
        <v>63</v>
      </c>
      <c r="H57" s="17">
        <f ca="1">INDIRECT("'("&amp;$A$4&amp;")'!i55")</f>
        <v>8</v>
      </c>
      <c r="I57" s="17">
        <f ca="1">INDIRECT("'("&amp;$A$4&amp;")'!j55")</f>
        <v>0</v>
      </c>
      <c r="J57" s="17">
        <f ca="1">INDIRECT("'("&amp;$A$4&amp;")'!k55")</f>
        <v>441</v>
      </c>
      <c r="K57" s="17">
        <f ca="1">INDIRECT("'("&amp;$A$4&amp;")'!l55")</f>
        <v>179413</v>
      </c>
      <c r="L57" s="4"/>
      <c r="M57" s="11"/>
      <c r="N57" s="11"/>
      <c r="P57" s="13"/>
      <c r="Q57" s="13"/>
      <c r="R57" s="13"/>
      <c r="S57" s="13"/>
      <c r="T57" s="13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</row>
    <row r="58" spans="1:32" x14ac:dyDescent="0.35">
      <c r="M58" s="11"/>
      <c r="N58" s="11"/>
      <c r="O58" s="11"/>
      <c r="P58" s="11"/>
      <c r="Q58" s="11"/>
      <c r="R58" s="11"/>
      <c r="S58" s="11"/>
      <c r="T58" s="11"/>
    </row>
    <row r="59" spans="1:32" s="5" customFormat="1" ht="15" customHeight="1" x14ac:dyDescent="0.35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4"/>
      <c r="M59" s="11"/>
      <c r="N59" s="11"/>
      <c r="O59" s="11"/>
      <c r="P59" s="11"/>
      <c r="Q59" s="11"/>
      <c r="R59" s="11"/>
      <c r="S59" s="11"/>
      <c r="T59" s="11"/>
    </row>
    <row r="60" spans="1:32" s="5" customFormat="1" ht="15" customHeight="1" x14ac:dyDescent="0.3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4"/>
      <c r="M60" s="11"/>
      <c r="N60" s="11"/>
      <c r="O60" s="11"/>
      <c r="P60" s="11"/>
      <c r="Q60" s="11"/>
      <c r="R60" s="11"/>
      <c r="S60" s="11"/>
      <c r="T60" s="11"/>
    </row>
    <row r="61" spans="1:32" s="5" customFormat="1" ht="15" customHeight="1" x14ac:dyDescent="0.35">
      <c r="A61" s="1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11"/>
      <c r="N61" s="11"/>
      <c r="O61" s="11"/>
      <c r="P61" s="11"/>
      <c r="Q61" s="11"/>
      <c r="R61" s="11"/>
      <c r="S61" s="11"/>
      <c r="T61" s="11"/>
    </row>
    <row r="62" spans="1:32" s="5" customFormat="1" ht="31.5" customHeight="1" x14ac:dyDescent="0.35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4"/>
      <c r="M62" s="11"/>
      <c r="N62" s="11"/>
      <c r="O62" s="11"/>
      <c r="P62" s="11"/>
      <c r="Q62" s="11"/>
      <c r="R62" s="11"/>
      <c r="S62" s="11"/>
      <c r="T62" s="11"/>
    </row>
    <row r="63" spans="1:32" s="5" customFormat="1" ht="15" customHeight="1" x14ac:dyDescent="0.3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4"/>
      <c r="M63" s="11"/>
      <c r="N63" s="11"/>
      <c r="O63" s="11"/>
      <c r="P63" s="11"/>
      <c r="Q63" s="11"/>
      <c r="R63" s="11"/>
      <c r="S63" s="11"/>
      <c r="T63" s="11"/>
    </row>
    <row r="64" spans="1:32" s="5" customFormat="1" ht="15" customHeight="1" x14ac:dyDescent="0.3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4"/>
    </row>
    <row r="65" spans="1:12" s="5" customFormat="1" ht="15" customHeight="1" x14ac:dyDescent="0.35">
      <c r="A65" s="19"/>
      <c r="B65" s="2"/>
      <c r="C65" s="2"/>
      <c r="D65" s="2"/>
      <c r="E65" s="2"/>
      <c r="F65" s="2"/>
      <c r="G65" s="2"/>
      <c r="H65" s="2"/>
      <c r="I65" s="2"/>
      <c r="J65" s="2"/>
      <c r="K65" s="2"/>
      <c r="L65" s="4"/>
    </row>
    <row r="66" spans="1:12" s="5" customFormat="1" ht="15" customHeight="1" x14ac:dyDescent="0.35">
      <c r="A66" s="19"/>
      <c r="B66" s="2"/>
      <c r="C66" s="2"/>
      <c r="D66" s="2"/>
      <c r="E66" s="2"/>
      <c r="F66" s="2"/>
      <c r="G66" s="2"/>
      <c r="H66" s="2"/>
      <c r="I66" s="2"/>
      <c r="J66" s="2"/>
      <c r="K66" s="2"/>
      <c r="L66" s="4"/>
    </row>
    <row r="67" spans="1:12" s="5" customFormat="1" x14ac:dyDescent="0.35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4"/>
    </row>
    <row r="69" spans="1:12" s="5" customFormat="1" x14ac:dyDescent="0.35">
      <c r="A69" s="4"/>
      <c r="B69" s="4"/>
      <c r="C69" s="4"/>
      <c r="D69" s="4"/>
      <c r="E69" s="4"/>
      <c r="F69" s="20"/>
      <c r="G69" s="20"/>
      <c r="H69" s="20"/>
      <c r="I69" s="20"/>
      <c r="J69" s="20"/>
      <c r="K69" s="20"/>
      <c r="L69" s="4"/>
    </row>
    <row r="70" spans="1:12" s="5" customFormat="1" x14ac:dyDescent="0.35">
      <c r="A70" s="19"/>
      <c r="B70" s="4"/>
      <c r="C70" s="4"/>
      <c r="D70" s="4"/>
      <c r="E70" s="4"/>
      <c r="F70" s="20"/>
      <c r="G70" s="20"/>
      <c r="H70" s="20"/>
      <c r="I70" s="20"/>
      <c r="J70" s="20"/>
      <c r="K70" s="20"/>
      <c r="L70" s="4"/>
    </row>
  </sheetData>
  <mergeCells count="15">
    <mergeCell ref="A4:E4"/>
    <mergeCell ref="B5:E5"/>
    <mergeCell ref="A1:K1"/>
    <mergeCell ref="A59:K59"/>
    <mergeCell ref="A60:K60"/>
    <mergeCell ref="A67:K67"/>
    <mergeCell ref="B6:D6"/>
    <mergeCell ref="E6:E7"/>
    <mergeCell ref="F6:F7"/>
    <mergeCell ref="G6:G7"/>
    <mergeCell ref="H6:H7"/>
    <mergeCell ref="I6:I7"/>
    <mergeCell ref="J6:J7"/>
    <mergeCell ref="K6:K7"/>
    <mergeCell ref="A62:K6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AJ90"/>
  <sheetViews>
    <sheetView tabSelected="1" zoomScaleNormal="100" workbookViewId="0">
      <pane ySplit="8" topLeftCell="A9" activePane="bottomLeft" state="frozen"/>
      <selection pane="bottomLeft" sqref="A1:K1"/>
    </sheetView>
  </sheetViews>
  <sheetFormatPr defaultColWidth="9.08984375" defaultRowHeight="14.5" x14ac:dyDescent="0.35"/>
  <cols>
    <col min="1" max="1" width="42.90625" style="4" customWidth="1"/>
    <col min="2" max="11" width="13.6328125" style="4" customWidth="1"/>
    <col min="12" max="13" width="9.08984375" style="4" customWidth="1"/>
    <col min="14" max="14" width="7.90625" style="4" customWidth="1"/>
    <col min="15" max="15" width="9.08984375" style="4" customWidth="1"/>
    <col min="16" max="16" width="10" style="4" bestFit="1" customWidth="1"/>
    <col min="17" max="17" width="11.90625" style="4" customWidth="1"/>
    <col min="18" max="22" width="9.08984375" style="4"/>
    <col min="23" max="23" width="11" style="4" customWidth="1"/>
    <col min="24" max="16384" width="9.08984375" style="4"/>
  </cols>
  <sheetData>
    <row r="1" spans="1:36" s="3" customFormat="1" ht="23.25" customHeight="1" x14ac:dyDescent="0.5">
      <c r="A1" s="136" t="s">
        <v>124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"/>
      <c r="M1" s="1"/>
      <c r="N1" s="2"/>
      <c r="O1" s="2"/>
    </row>
    <row r="2" spans="1:36" s="5" customFormat="1" ht="15" customHeight="1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36" s="5" customFormat="1" ht="15" customHeight="1" x14ac:dyDescent="0.35">
      <c r="A3" s="22" t="s">
        <v>59</v>
      </c>
      <c r="B3" s="23"/>
      <c r="C3" s="23"/>
      <c r="D3" s="23"/>
      <c r="E3" s="23"/>
      <c r="F3" s="4"/>
      <c r="G3" s="4"/>
      <c r="H3" s="4"/>
      <c r="I3" s="4"/>
      <c r="J3" s="4"/>
      <c r="K3" s="4"/>
      <c r="L3" s="4"/>
      <c r="M3" s="4"/>
      <c r="N3" s="4"/>
      <c r="O3" s="4"/>
    </row>
    <row r="4" spans="1:36" s="5" customFormat="1" ht="15" customHeight="1" x14ac:dyDescent="0.35">
      <c r="A4" s="132" t="s">
        <v>125</v>
      </c>
      <c r="B4" s="132"/>
      <c r="C4" s="132"/>
      <c r="D4" s="132"/>
      <c r="E4" s="132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36" s="5" customFormat="1" ht="15" thickBot="1" x14ac:dyDescent="0.4">
      <c r="A5" s="4"/>
      <c r="B5" s="133"/>
      <c r="C5" s="133"/>
      <c r="D5" s="133"/>
      <c r="E5" s="133"/>
      <c r="F5" s="30"/>
      <c r="G5" s="30"/>
      <c r="H5" s="30"/>
      <c r="I5" s="30"/>
      <c r="J5" s="30"/>
      <c r="K5" s="30"/>
      <c r="L5" s="4"/>
      <c r="M5" s="4"/>
      <c r="N5" s="6"/>
      <c r="O5" s="6"/>
      <c r="Q5" s="6"/>
      <c r="R5" s="6"/>
      <c r="T5" s="6"/>
      <c r="U5" s="6"/>
      <c r="V5" s="6"/>
      <c r="W5" s="6"/>
      <c r="X5" s="6"/>
      <c r="AA5" s="7"/>
    </row>
    <row r="6" spans="1:36" s="3" customFormat="1" ht="24.9" customHeight="1" thickBot="1" x14ac:dyDescent="0.4">
      <c r="A6" s="2"/>
      <c r="B6" s="137" t="s">
        <v>67</v>
      </c>
      <c r="C6" s="137"/>
      <c r="D6" s="137"/>
      <c r="E6" s="128" t="s">
        <v>68</v>
      </c>
      <c r="F6" s="128" t="s">
        <v>69</v>
      </c>
      <c r="G6" s="128" t="s">
        <v>70</v>
      </c>
      <c r="H6" s="128" t="s">
        <v>71</v>
      </c>
      <c r="I6" s="128" t="s">
        <v>72</v>
      </c>
      <c r="J6" s="128" t="s">
        <v>73</v>
      </c>
      <c r="K6" s="128" t="s">
        <v>74</v>
      </c>
      <c r="L6" s="2"/>
      <c r="M6" s="2"/>
      <c r="N6" s="56"/>
      <c r="O6" s="56"/>
      <c r="Q6" s="56"/>
      <c r="R6" s="56"/>
      <c r="T6" s="56"/>
      <c r="U6" s="56"/>
      <c r="V6" s="56"/>
      <c r="W6" s="56"/>
      <c r="X6" s="56"/>
    </row>
    <row r="7" spans="1:36" s="10" customFormat="1" ht="75" customHeight="1" thickBot="1" x14ac:dyDescent="0.4">
      <c r="A7" s="8" t="s">
        <v>132</v>
      </c>
      <c r="B7" s="9" t="s">
        <v>75</v>
      </c>
      <c r="C7" s="9" t="s">
        <v>76</v>
      </c>
      <c r="D7" s="9" t="s">
        <v>77</v>
      </c>
      <c r="E7" s="129"/>
      <c r="F7" s="129"/>
      <c r="G7" s="129"/>
      <c r="H7" s="129"/>
      <c r="I7" s="129"/>
      <c r="J7" s="129"/>
      <c r="K7" s="129"/>
      <c r="P7" s="4"/>
    </row>
    <row r="8" spans="1:36" s="5" customFormat="1" ht="15" customHeight="1" x14ac:dyDescent="0.35">
      <c r="A8" s="25" t="s">
        <v>0</v>
      </c>
      <c r="B8" s="15">
        <f ca="1">IF('FIRE1202 raw'!B8="N/A","N/A",IF('FIRE1202 raw'!B8="..","..",ROUND('FIRE1202 raw'!B8,0)))</f>
        <v>49423</v>
      </c>
      <c r="C8" s="15">
        <f ca="1">IF('FIRE1202 raw'!C8="N/A","N/A",IF('FIRE1202 raw'!C8="..","..",ROUND('FIRE1202 raw'!C8,0)))</f>
        <v>33851</v>
      </c>
      <c r="D8" s="15">
        <f ca="1">IF('FIRE1202 raw'!D8="N/A","N/A",IF('FIRE1202 raw'!D8="..","..",ROUND('FIRE1202 raw'!D8,0)))</f>
        <v>15572</v>
      </c>
      <c r="E8" s="15">
        <f ca="1">IF('FIRE1202 raw'!E8="N/A","N/A",IF('FIRE1202 raw'!E8="..","..",ROUND('FIRE1202 raw'!E8,0)))</f>
        <v>14734</v>
      </c>
      <c r="F8" s="15">
        <f ca="1">IF('FIRE1202 raw'!F8="N/A","N/A",IF('FIRE1202 raw'!F8="..","..",ROUND('FIRE1202 raw'!F8,0)))</f>
        <v>1424</v>
      </c>
      <c r="G8" s="15">
        <f ca="1">IF('FIRE1202 raw'!G8="N/A","N/A",IF('FIRE1202 raw'!G8="..","..",ROUND('FIRE1202 raw'!G8,0)))</f>
        <v>635</v>
      </c>
      <c r="H8" s="15">
        <f ca="1">IF('FIRE1202 raw'!H8="N/A","N/A",IF('FIRE1202 raw'!H8="..","..",ROUND('FIRE1202 raw'!H8,0)))</f>
        <v>82</v>
      </c>
      <c r="I8" s="15">
        <f ca="1">IF('FIRE1202 raw'!I8="N/A","N/A",IF('FIRE1202 raw'!I8="..","..",ROUND('FIRE1202 raw'!I8,0)))</f>
        <v>105</v>
      </c>
      <c r="J8" s="15">
        <f ca="1">IF('FIRE1202 raw'!J8="N/A","N/A",IF('FIRE1202 raw'!J8="..","..",ROUND('FIRE1202 raw'!J8,0)))</f>
        <v>3500</v>
      </c>
      <c r="K8" s="15">
        <f ca="1">IF('FIRE1202 raw'!K8="N/A","N/A",IF('FIRE1202 raw'!K8="..","..",ROUND('FIRE1202 raw'!K8,0)))</f>
        <v>1647617</v>
      </c>
      <c r="L8" s="101"/>
      <c r="N8" s="11"/>
      <c r="O8" s="11"/>
      <c r="Q8" s="11"/>
      <c r="R8" s="11"/>
      <c r="T8" s="13"/>
      <c r="U8" s="13"/>
      <c r="V8" s="13"/>
      <c r="W8" s="13"/>
      <c r="X8" s="13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s="5" customFormat="1" ht="15" customHeight="1" x14ac:dyDescent="0.35">
      <c r="A9" s="26" t="s">
        <v>4</v>
      </c>
      <c r="B9" s="15">
        <f ca="1">IF('FIRE1202 raw'!B9="N/A","N/A",IF('FIRE1202 raw'!B9="..","..",ROUND('FIRE1202 raw'!B9,0)))</f>
        <v>30298</v>
      </c>
      <c r="C9" s="15">
        <f ca="1">IF('FIRE1202 raw'!C9="N/A","N/A",IF('FIRE1202 raw'!C9="..","..",ROUND('FIRE1202 raw'!C9,0)))</f>
        <v>21122</v>
      </c>
      <c r="D9" s="15">
        <f ca="1">IF('FIRE1202 raw'!D9="N/A","N/A",IF('FIRE1202 raw'!D9="..","..",ROUND('FIRE1202 raw'!D9,0)))</f>
        <v>9176</v>
      </c>
      <c r="E9" s="15">
        <f ca="1">IF('FIRE1202 raw'!E9="N/A","N/A",IF('FIRE1202 raw'!E9="..","..",ROUND('FIRE1202 raw'!E9,0)))</f>
        <v>8033</v>
      </c>
      <c r="F9" s="15">
        <f ca="1">IF('FIRE1202 raw'!F9="N/A","N/A",IF('FIRE1202 raw'!F9="..","..",ROUND('FIRE1202 raw'!F9,0)))</f>
        <v>752</v>
      </c>
      <c r="G9" s="15">
        <f ca="1">IF('FIRE1202 raw'!G9="N/A","N/A",IF('FIRE1202 raw'!G9="..","..",ROUND('FIRE1202 raw'!G9,0)))</f>
        <v>415</v>
      </c>
      <c r="H9" s="15">
        <f ca="1">IF('FIRE1202 raw'!H9="N/A","N/A",IF('FIRE1202 raw'!H9="..","..",ROUND('FIRE1202 raw'!H9,0)))</f>
        <v>41</v>
      </c>
      <c r="I9" s="15">
        <f ca="1">IF('FIRE1202 raw'!I9="N/A","N/A",IF('FIRE1202 raw'!I9="..","..",ROUND('FIRE1202 raw'!I9,0)))</f>
        <v>96</v>
      </c>
      <c r="J9" s="15">
        <f ca="1">IF('FIRE1202 raw'!J9="N/A","N/A",IF('FIRE1202 raw'!J9="..","..",ROUND('FIRE1202 raw'!J9,0)))</f>
        <v>2544</v>
      </c>
      <c r="K9" s="15">
        <f ca="1">IF('FIRE1202 raw'!K9="N/A","N/A",IF('FIRE1202 raw'!K9="..","..",ROUND('FIRE1202 raw'!K9,0)))</f>
        <v>1081522</v>
      </c>
      <c r="L9" s="4"/>
      <c r="N9" s="11"/>
      <c r="O9" s="11"/>
      <c r="Q9" s="11"/>
      <c r="R9" s="11"/>
      <c r="T9" s="13"/>
      <c r="U9" s="13"/>
      <c r="V9" s="13"/>
      <c r="W9" s="13"/>
      <c r="X9" s="13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s="5" customFormat="1" ht="15" customHeight="1" x14ac:dyDescent="0.35">
      <c r="A10" s="4" t="s">
        <v>5</v>
      </c>
      <c r="B10" s="57">
        <f ca="1">IF('FIRE1202 raw'!B10="N/A","N/A",IF('FIRE1202 raw'!B10="..","..",ROUND('FIRE1202 raw'!B10,0)))</f>
        <v>282</v>
      </c>
      <c r="C10" s="57">
        <f ca="1">IF('FIRE1202 raw'!C10="N/A","N/A",IF('FIRE1202 raw'!C10="..","..",ROUND('FIRE1202 raw'!C10,0)))</f>
        <v>130</v>
      </c>
      <c r="D10" s="57">
        <f ca="1">IF('FIRE1202 raw'!D10="N/A","N/A",IF('FIRE1202 raw'!D10="..","..",ROUND('FIRE1202 raw'!D10,0)))</f>
        <v>152</v>
      </c>
      <c r="E10" s="57">
        <f ca="1">IF('FIRE1202 raw'!E10="N/A","N/A",IF('FIRE1202 raw'!E10="..","..",ROUND('FIRE1202 raw'!E10,0)))</f>
        <v>149</v>
      </c>
      <c r="F10" s="57">
        <f ca="1">IF('FIRE1202 raw'!F10="N/A","N/A",IF('FIRE1202 raw'!F10="..","..",ROUND('FIRE1202 raw'!F10,0)))</f>
        <v>13</v>
      </c>
      <c r="G10" s="57">
        <f ca="1">IF('FIRE1202 raw'!G10="N/A","N/A",IF('FIRE1202 raw'!G10="..","..",ROUND('FIRE1202 raw'!G10,0)))</f>
        <v>20</v>
      </c>
      <c r="H10" s="57">
        <f ca="1">IF('FIRE1202 raw'!H10="N/A","N/A",IF('FIRE1202 raw'!H10="..","..",ROUND('FIRE1202 raw'!H10,0)))</f>
        <v>0</v>
      </c>
      <c r="I10" s="57">
        <f ca="1">IF('FIRE1202 raw'!I10="N/A","N/A",IF('FIRE1202 raw'!I10="..","..",ROUND('FIRE1202 raw'!I10,0)))</f>
        <v>3</v>
      </c>
      <c r="J10" s="57">
        <f ca="1">IF('FIRE1202 raw'!J10="N/A","N/A",IF('FIRE1202 raw'!J10="..","..",ROUND('FIRE1202 raw'!J10,0)))</f>
        <v>44</v>
      </c>
      <c r="K10" s="57">
        <f ca="1">IF('FIRE1202 raw'!K10="N/A","N/A",IF('FIRE1202 raw'!K10="..","..",ROUND('FIRE1202 raw'!K10,0)))</f>
        <v>18781</v>
      </c>
      <c r="L10" s="4"/>
      <c r="N10" s="11"/>
      <c r="O10" s="11"/>
      <c r="Q10" s="11"/>
      <c r="R10" s="11"/>
      <c r="T10" s="13"/>
      <c r="U10" s="13"/>
      <c r="V10" s="13"/>
      <c r="W10" s="13"/>
      <c r="X10" s="13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s="5" customFormat="1" ht="15" customHeight="1" x14ac:dyDescent="0.35">
      <c r="A11" s="4" t="s">
        <v>6</v>
      </c>
      <c r="B11" s="57">
        <f ca="1">IF('FIRE1202 raw'!B11="N/A","N/A",IF('FIRE1202 raw'!B11="..","..",ROUND('FIRE1202 raw'!B11,0)))</f>
        <v>1321</v>
      </c>
      <c r="C11" s="57">
        <f ca="1">IF('FIRE1202 raw'!C11="N/A","N/A",IF('FIRE1202 raw'!C11="..","..",ROUND('FIRE1202 raw'!C11,0)))</f>
        <v>1210</v>
      </c>
      <c r="D11" s="57">
        <f ca="1">IF('FIRE1202 raw'!D11="N/A","N/A",IF('FIRE1202 raw'!D11="..","..",ROUND('FIRE1202 raw'!D11,0)))</f>
        <v>111</v>
      </c>
      <c r="E11" s="57">
        <f ca="1">IF('FIRE1202 raw'!E11="N/A","N/A",IF('FIRE1202 raw'!E11="..","..",ROUND('FIRE1202 raw'!E11,0)))</f>
        <v>0</v>
      </c>
      <c r="F11" s="57">
        <f ca="1">IF('FIRE1202 raw'!F11="N/A","N/A",IF('FIRE1202 raw'!F11="..","..",ROUND('FIRE1202 raw'!F11,0)))</f>
        <v>1</v>
      </c>
      <c r="G11" s="57">
        <f ca="1">IF('FIRE1202 raw'!G11="N/A","N/A",IF('FIRE1202 raw'!G11="..","..",ROUND('FIRE1202 raw'!G11,0)))</f>
        <v>2</v>
      </c>
      <c r="H11" s="57">
        <f ca="1">IF('FIRE1202 raw'!H11="N/A","N/A",IF('FIRE1202 raw'!H11="..","..",ROUND('FIRE1202 raw'!H11,0)))</f>
        <v>0</v>
      </c>
      <c r="I11" s="57">
        <f ca="1">IF('FIRE1202 raw'!I11="N/A","N/A",IF('FIRE1202 raw'!I11="..","..",ROUND('FIRE1202 raw'!I11,0)))</f>
        <v>0</v>
      </c>
      <c r="J11" s="57">
        <f ca="1">IF('FIRE1202 raw'!J11="N/A","N/A",IF('FIRE1202 raw'!J11="..","..",ROUND('FIRE1202 raw'!J11,0)))</f>
        <v>15</v>
      </c>
      <c r="K11" s="57">
        <f ca="1">IF('FIRE1202 raw'!K11="N/A","N/A",IF('FIRE1202 raw'!K11="..","..",ROUND('FIRE1202 raw'!K11,0)))</f>
        <v>19748</v>
      </c>
      <c r="L11" s="4"/>
      <c r="M11" s="100"/>
      <c r="N11" s="11"/>
      <c r="O11" s="101"/>
      <c r="Q11" s="11"/>
      <c r="R11" s="11"/>
      <c r="T11" s="13"/>
      <c r="U11" s="13"/>
      <c r="V11" s="13"/>
      <c r="W11" s="13"/>
      <c r="X11" s="13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s="5" customFormat="1" ht="15" customHeight="1" x14ac:dyDescent="0.35">
      <c r="A12" s="4" t="s">
        <v>7</v>
      </c>
      <c r="B12" s="57">
        <f ca="1">IF('FIRE1202 raw'!B12="N/A","N/A",IF('FIRE1202 raw'!B12="..","..",ROUND('FIRE1202 raw'!B12,0)))</f>
        <v>943</v>
      </c>
      <c r="C12" s="57">
        <f ca="1">IF('FIRE1202 raw'!C12="N/A","N/A",IF('FIRE1202 raw'!C12="..","..",ROUND('FIRE1202 raw'!C12,0)))</f>
        <v>564</v>
      </c>
      <c r="D12" s="57">
        <f ca="1">IF('FIRE1202 raw'!D12="N/A","N/A",IF('FIRE1202 raw'!D12="..","..",ROUND('FIRE1202 raw'!D12,0)))</f>
        <v>379</v>
      </c>
      <c r="E12" s="57">
        <f ca="1">IF('FIRE1202 raw'!E12="N/A","N/A",IF('FIRE1202 raw'!E12="..","..",ROUND('FIRE1202 raw'!E12,0)))</f>
        <v>257</v>
      </c>
      <c r="F12" s="57">
        <f ca="1">IF('FIRE1202 raw'!F12="N/A","N/A",IF('FIRE1202 raw'!F12="..","..",ROUND('FIRE1202 raw'!F12,0)))</f>
        <v>23</v>
      </c>
      <c r="G12" s="57">
        <f ca="1">IF('FIRE1202 raw'!G12="N/A","N/A",IF('FIRE1202 raw'!G12="..","..",ROUND('FIRE1202 raw'!G12,0)))</f>
        <v>2</v>
      </c>
      <c r="H12" s="57">
        <f ca="1">IF('FIRE1202 raw'!H12="N/A","N/A",IF('FIRE1202 raw'!H12="..","..",ROUND('FIRE1202 raw'!H12,0)))</f>
        <v>2</v>
      </c>
      <c r="I12" s="57">
        <f ca="1">IF('FIRE1202 raw'!I12="N/A","N/A",IF('FIRE1202 raw'!I12="..","..",ROUND('FIRE1202 raw'!I12,0)))</f>
        <v>4</v>
      </c>
      <c r="J12" s="57">
        <f ca="1">IF('FIRE1202 raw'!J12="N/A","N/A",IF('FIRE1202 raw'!J12="..","..",ROUND('FIRE1202 raw'!J12,0)))</f>
        <v>361</v>
      </c>
      <c r="K12" s="57" t="str">
        <f ca="1">IF('FIRE1202 raw'!K12="N/A","N/A",IF('FIRE1202 raw'!K12="..","..",ROUND('FIRE1202 raw'!K12,0)))</f>
        <v>N/A</v>
      </c>
      <c r="L12" s="4"/>
      <c r="N12" s="11"/>
      <c r="O12" s="11"/>
      <c r="Q12" s="11"/>
      <c r="R12" s="11"/>
      <c r="T12" s="13"/>
      <c r="U12" s="13"/>
      <c r="V12" s="13"/>
      <c r="W12" s="13"/>
      <c r="X12" s="13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s="5" customFormat="1" ht="15" customHeight="1" x14ac:dyDescent="0.35">
      <c r="A13" s="4" t="s">
        <v>8</v>
      </c>
      <c r="B13" s="57">
        <f ca="1">IF('FIRE1202 raw'!B13="N/A","N/A",IF('FIRE1202 raw'!B13="..","..",ROUND('FIRE1202 raw'!B13,0)))</f>
        <v>364</v>
      </c>
      <c r="C13" s="57">
        <f ca="1">IF('FIRE1202 raw'!C13="N/A","N/A",IF('FIRE1202 raw'!C13="..","..",ROUND('FIRE1202 raw'!C13,0)))</f>
        <v>125</v>
      </c>
      <c r="D13" s="57">
        <f ca="1">IF('FIRE1202 raw'!D13="N/A","N/A",IF('FIRE1202 raw'!D13="..","..",ROUND('FIRE1202 raw'!D13,0)))</f>
        <v>239</v>
      </c>
      <c r="E13" s="57">
        <f ca="1">IF('FIRE1202 raw'!E13="N/A","N/A",IF('FIRE1202 raw'!E13="..","..",ROUND('FIRE1202 raw'!E13,0)))</f>
        <v>251</v>
      </c>
      <c r="F13" s="57">
        <f ca="1">IF('FIRE1202 raw'!F13="N/A","N/A",IF('FIRE1202 raw'!F13="..","..",ROUND('FIRE1202 raw'!F13,0)))</f>
        <v>5</v>
      </c>
      <c r="G13" s="57">
        <f ca="1">IF('FIRE1202 raw'!G13="N/A","N/A",IF('FIRE1202 raw'!G13="..","..",ROUND('FIRE1202 raw'!G13,0)))</f>
        <v>1</v>
      </c>
      <c r="H13" s="57">
        <f ca="1">IF('FIRE1202 raw'!H13="N/A","N/A",IF('FIRE1202 raw'!H13="..","..",ROUND('FIRE1202 raw'!H13,0)))</f>
        <v>0</v>
      </c>
      <c r="I13" s="57">
        <f ca="1">IF('FIRE1202 raw'!I13="N/A","N/A",IF('FIRE1202 raw'!I13="..","..",ROUND('FIRE1202 raw'!I13,0)))</f>
        <v>1</v>
      </c>
      <c r="J13" s="57">
        <f ca="1">IF('FIRE1202 raw'!J13="N/A","N/A",IF('FIRE1202 raw'!J13="..","..",ROUND('FIRE1202 raw'!J13,0)))</f>
        <v>17</v>
      </c>
      <c r="K13" s="57">
        <f ca="1">IF('FIRE1202 raw'!K13="N/A","N/A",IF('FIRE1202 raw'!K13="..","..",ROUND('FIRE1202 raw'!K13,0)))</f>
        <v>12678</v>
      </c>
      <c r="L13" s="4"/>
      <c r="N13" s="11"/>
      <c r="O13" s="11"/>
      <c r="Q13" s="11"/>
      <c r="R13" s="11"/>
      <c r="T13" s="13"/>
      <c r="U13" s="13"/>
      <c r="V13" s="13"/>
      <c r="W13" s="13"/>
      <c r="X13" s="13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s="5" customFormat="1" ht="15" customHeight="1" x14ac:dyDescent="0.35">
      <c r="A14" s="4" t="s">
        <v>9</v>
      </c>
      <c r="B14" s="57">
        <f ca="1">IF('FIRE1202 raw'!B14="N/A","N/A",IF('FIRE1202 raw'!B14="..","..",ROUND('FIRE1202 raw'!B14,0)))</f>
        <v>1506</v>
      </c>
      <c r="C14" s="57">
        <f ca="1">IF('FIRE1202 raw'!C14="N/A","N/A",IF('FIRE1202 raw'!C14="..","..",ROUND('FIRE1202 raw'!C14,0)))</f>
        <v>1240</v>
      </c>
      <c r="D14" s="57">
        <f ca="1">IF('FIRE1202 raw'!D14="N/A","N/A",IF('FIRE1202 raw'!D14="..","..",ROUND('FIRE1202 raw'!D14,0)))</f>
        <v>266</v>
      </c>
      <c r="E14" s="57">
        <f ca="1">IF('FIRE1202 raw'!E14="N/A","N/A",IF('FIRE1202 raw'!E14="..","..",ROUND('FIRE1202 raw'!E14,0)))</f>
        <v>219</v>
      </c>
      <c r="F14" s="57">
        <f ca="1">IF('FIRE1202 raw'!F14="N/A","N/A",IF('FIRE1202 raw'!F14="..","..",ROUND('FIRE1202 raw'!F14,0)))</f>
        <v>2</v>
      </c>
      <c r="G14" s="57">
        <f ca="1">IF('FIRE1202 raw'!G14="N/A","N/A",IF('FIRE1202 raw'!G14="..","..",ROUND('FIRE1202 raw'!G14,0)))</f>
        <v>0</v>
      </c>
      <c r="H14" s="57">
        <f ca="1">IF('FIRE1202 raw'!H14="N/A","N/A",IF('FIRE1202 raw'!H14="..","..",ROUND('FIRE1202 raw'!H14,0)))</f>
        <v>0</v>
      </c>
      <c r="I14" s="57">
        <f ca="1">IF('FIRE1202 raw'!I14="N/A","N/A",IF('FIRE1202 raw'!I14="..","..",ROUND('FIRE1202 raw'!I14,0)))</f>
        <v>0</v>
      </c>
      <c r="J14" s="57">
        <f ca="1">IF('FIRE1202 raw'!J14="N/A","N/A",IF('FIRE1202 raw'!J14="..","..",ROUND('FIRE1202 raw'!J14,0)))</f>
        <v>77</v>
      </c>
      <c r="K14" s="57">
        <f ca="1">IF('FIRE1202 raw'!K14="N/A","N/A",IF('FIRE1202 raw'!K14="..","..",ROUND('FIRE1202 raw'!K14,0)))</f>
        <v>35597</v>
      </c>
      <c r="L14" s="4"/>
      <c r="N14" s="11"/>
      <c r="O14" s="11"/>
      <c r="Q14" s="11"/>
      <c r="R14" s="11"/>
      <c r="T14" s="13"/>
      <c r="U14" s="13"/>
      <c r="V14" s="13"/>
      <c r="W14" s="13"/>
      <c r="X14" s="13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s="5" customFormat="1" ht="15" customHeight="1" x14ac:dyDescent="0.35">
      <c r="A15" s="4" t="s">
        <v>10</v>
      </c>
      <c r="B15" s="57">
        <f ca="1">IF('FIRE1202 raw'!B15="N/A","N/A",IF('FIRE1202 raw'!B15="..","..",ROUND('FIRE1202 raw'!B15,0)))</f>
        <v>1317</v>
      </c>
      <c r="C15" s="57">
        <f ca="1">IF('FIRE1202 raw'!C15="N/A","N/A",IF('FIRE1202 raw'!C15="..","..",ROUND('FIRE1202 raw'!C15,0)))</f>
        <v>864</v>
      </c>
      <c r="D15" s="57">
        <f ca="1">IF('FIRE1202 raw'!D15="N/A","N/A",IF('FIRE1202 raw'!D15="..","..",ROUND('FIRE1202 raw'!D15,0)))</f>
        <v>453</v>
      </c>
      <c r="E15" s="57">
        <f ca="1">IF('FIRE1202 raw'!E15="N/A","N/A",IF('FIRE1202 raw'!E15="..","..",ROUND('FIRE1202 raw'!E15,0)))</f>
        <v>424</v>
      </c>
      <c r="F15" s="57">
        <f ca="1">IF('FIRE1202 raw'!F15="N/A","N/A",IF('FIRE1202 raw'!F15="..","..",ROUND('FIRE1202 raw'!F15,0)))</f>
        <v>26</v>
      </c>
      <c r="G15" s="57">
        <f ca="1">IF('FIRE1202 raw'!G15="N/A","N/A",IF('FIRE1202 raw'!G15="..","..",ROUND('FIRE1202 raw'!G15,0)))</f>
        <v>5</v>
      </c>
      <c r="H15" s="57">
        <f ca="1">IF('FIRE1202 raw'!H15="N/A","N/A",IF('FIRE1202 raw'!H15="..","..",ROUND('FIRE1202 raw'!H15,0)))</f>
        <v>3</v>
      </c>
      <c r="I15" s="57">
        <f ca="1">IF('FIRE1202 raw'!I15="N/A","N/A",IF('FIRE1202 raw'!I15="..","..",ROUND('FIRE1202 raw'!I15,0)))</f>
        <v>0</v>
      </c>
      <c r="J15" s="57">
        <f ca="1">IF('FIRE1202 raw'!J15="N/A","N/A",IF('FIRE1202 raw'!J15="..","..",ROUND('FIRE1202 raw'!J15,0)))</f>
        <v>199</v>
      </c>
      <c r="K15" s="57">
        <f ca="1">IF('FIRE1202 raw'!K15="N/A","N/A",IF('FIRE1202 raw'!K15="..","..",ROUND('FIRE1202 raw'!K15,0)))</f>
        <v>27374</v>
      </c>
      <c r="L15" s="4"/>
      <c r="N15" s="11"/>
      <c r="O15" s="11"/>
      <c r="Q15" s="11"/>
      <c r="R15" s="11"/>
      <c r="T15" s="13"/>
      <c r="U15" s="13"/>
      <c r="V15" s="13"/>
      <c r="W15" s="13"/>
      <c r="X15" s="13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s="5" customFormat="1" ht="15" customHeight="1" x14ac:dyDescent="0.35">
      <c r="A16" s="4" t="s">
        <v>11</v>
      </c>
      <c r="B16" s="57">
        <f ca="1">IF('FIRE1202 raw'!B16="N/A","N/A",IF('FIRE1202 raw'!B16="..","..",ROUND('FIRE1202 raw'!B16,0)))</f>
        <v>1862</v>
      </c>
      <c r="C16" s="57">
        <f ca="1">IF('FIRE1202 raw'!C16="N/A","N/A",IF('FIRE1202 raw'!C16="..","..",ROUND('FIRE1202 raw'!C16,0)))</f>
        <v>1638</v>
      </c>
      <c r="D16" s="57">
        <f ca="1">IF('FIRE1202 raw'!D16="N/A","N/A",IF('FIRE1202 raw'!D16="..","..",ROUND('FIRE1202 raw'!D16,0)))</f>
        <v>224</v>
      </c>
      <c r="E16" s="57">
        <f ca="1">IF('FIRE1202 raw'!E16="N/A","N/A",IF('FIRE1202 raw'!E16="..","..",ROUND('FIRE1202 raw'!E16,0)))</f>
        <v>161</v>
      </c>
      <c r="F16" s="57">
        <f ca="1">IF('FIRE1202 raw'!F16="N/A","N/A",IF('FIRE1202 raw'!F16="..","..",ROUND('FIRE1202 raw'!F16,0)))</f>
        <v>3</v>
      </c>
      <c r="G16" s="57">
        <f ca="1">IF('FIRE1202 raw'!G16="N/A","N/A",IF('FIRE1202 raw'!G16="..","..",ROUND('FIRE1202 raw'!G16,0)))</f>
        <v>7</v>
      </c>
      <c r="H16" s="57">
        <f ca="1">IF('FIRE1202 raw'!H16="N/A","N/A",IF('FIRE1202 raw'!H16="..","..",ROUND('FIRE1202 raw'!H16,0)))</f>
        <v>0</v>
      </c>
      <c r="I16" s="57">
        <f ca="1">IF('FIRE1202 raw'!I16="N/A","N/A",IF('FIRE1202 raw'!I16="..","..",ROUND('FIRE1202 raw'!I16,0)))</f>
        <v>0</v>
      </c>
      <c r="J16" s="57">
        <f ca="1">IF('FIRE1202 raw'!J16="N/A","N/A",IF('FIRE1202 raw'!J16="..","..",ROUND('FIRE1202 raw'!J16,0)))</f>
        <v>24</v>
      </c>
      <c r="K16" s="57">
        <f ca="1">IF('FIRE1202 raw'!K16="N/A","N/A",IF('FIRE1202 raw'!K16="..","..",ROUND('FIRE1202 raw'!K16,0)))</f>
        <v>15352</v>
      </c>
      <c r="L16" s="4"/>
      <c r="N16" s="11"/>
      <c r="O16" s="11"/>
      <c r="Q16" s="11"/>
      <c r="R16" s="11"/>
      <c r="T16" s="13"/>
      <c r="U16" s="13"/>
      <c r="V16" s="13"/>
      <c r="W16" s="13"/>
      <c r="X16" s="13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s="5" customFormat="1" ht="15" customHeight="1" x14ac:dyDescent="0.35">
      <c r="A17" s="4" t="s">
        <v>12</v>
      </c>
      <c r="B17" s="57">
        <f ca="1">IF('FIRE1202 raw'!B17="N/A","N/A",IF('FIRE1202 raw'!B17="..","..",ROUND('FIRE1202 raw'!B17,0)))</f>
        <v>505</v>
      </c>
      <c r="C17" s="57">
        <f ca="1">IF('FIRE1202 raw'!C17="N/A","N/A",IF('FIRE1202 raw'!C17="..","..",ROUND('FIRE1202 raw'!C17,0)))</f>
        <v>362</v>
      </c>
      <c r="D17" s="57">
        <f ca="1">IF('FIRE1202 raw'!D17="N/A","N/A",IF('FIRE1202 raw'!D17="..","..",ROUND('FIRE1202 raw'!D17,0)))</f>
        <v>143</v>
      </c>
      <c r="E17" s="57">
        <f ca="1">IF('FIRE1202 raw'!E17="N/A","N/A",IF('FIRE1202 raw'!E17="..","..",ROUND('FIRE1202 raw'!E17,0)))</f>
        <v>126</v>
      </c>
      <c r="F17" s="57">
        <f ca="1">IF('FIRE1202 raw'!F17="N/A","N/A",IF('FIRE1202 raw'!F17="..","..",ROUND('FIRE1202 raw'!F17,0)))</f>
        <v>15</v>
      </c>
      <c r="G17" s="57">
        <f ca="1">IF('FIRE1202 raw'!G17="N/A","N/A",IF('FIRE1202 raw'!G17="..","..",ROUND('FIRE1202 raw'!G17,0)))</f>
        <v>9</v>
      </c>
      <c r="H17" s="57">
        <f ca="1">IF('FIRE1202 raw'!H17="N/A","N/A",IF('FIRE1202 raw'!H17="..","..",ROUND('FIRE1202 raw'!H17,0)))</f>
        <v>0</v>
      </c>
      <c r="I17" s="57">
        <f ca="1">IF('FIRE1202 raw'!I17="N/A","N/A",IF('FIRE1202 raw'!I17="..","..",ROUND('FIRE1202 raw'!I17,0)))</f>
        <v>0</v>
      </c>
      <c r="J17" s="57">
        <f ca="1">IF('FIRE1202 raw'!J17="N/A","N/A",IF('FIRE1202 raw'!J17="..","..",ROUND('FIRE1202 raw'!J17,0)))</f>
        <v>41</v>
      </c>
      <c r="K17" s="57">
        <f ca="1">IF('FIRE1202 raw'!K17="N/A","N/A",IF('FIRE1202 raw'!K17="..","..",ROUND('FIRE1202 raw'!K17,0)))</f>
        <v>18582</v>
      </c>
      <c r="L17" s="4"/>
      <c r="N17" s="11"/>
      <c r="O17" s="11"/>
      <c r="Q17" s="11"/>
      <c r="R17" s="11"/>
      <c r="T17" s="13"/>
      <c r="U17" s="13"/>
      <c r="V17" s="13"/>
      <c r="W17" s="13"/>
      <c r="X17" s="13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s="5" customFormat="1" ht="15" customHeight="1" x14ac:dyDescent="0.35">
      <c r="A18" s="4" t="s">
        <v>13</v>
      </c>
      <c r="B18" s="57">
        <f ca="1">IF('FIRE1202 raw'!B18="N/A","N/A",IF('FIRE1202 raw'!B18="..","..",ROUND('FIRE1202 raw'!B18,0)))</f>
        <v>1056</v>
      </c>
      <c r="C18" s="57">
        <f ca="1">IF('FIRE1202 raw'!C18="N/A","N/A",IF('FIRE1202 raw'!C18="..","..",ROUND('FIRE1202 raw'!C18,0)))</f>
        <v>682</v>
      </c>
      <c r="D18" s="57">
        <f ca="1">IF('FIRE1202 raw'!D18="N/A","N/A",IF('FIRE1202 raw'!D18="..","..",ROUND('FIRE1202 raw'!D18,0)))</f>
        <v>374</v>
      </c>
      <c r="E18" s="57">
        <f ca="1">IF('FIRE1202 raw'!E18="N/A","N/A",IF('FIRE1202 raw'!E18="..","..",ROUND('FIRE1202 raw'!E18,0)))</f>
        <v>337</v>
      </c>
      <c r="F18" s="57">
        <f ca="1">IF('FIRE1202 raw'!F18="N/A","N/A",IF('FIRE1202 raw'!F18="..","..",ROUND('FIRE1202 raw'!F18,0)))</f>
        <v>28</v>
      </c>
      <c r="G18" s="57">
        <f ca="1">IF('FIRE1202 raw'!G18="N/A","N/A",IF('FIRE1202 raw'!G18="..","..",ROUND('FIRE1202 raw'!G18,0)))</f>
        <v>7</v>
      </c>
      <c r="H18" s="57">
        <f ca="1">IF('FIRE1202 raw'!H18="N/A","N/A",IF('FIRE1202 raw'!H18="..","..",ROUND('FIRE1202 raw'!H18,0)))</f>
        <v>1</v>
      </c>
      <c r="I18" s="57">
        <f ca="1">IF('FIRE1202 raw'!I18="N/A","N/A",IF('FIRE1202 raw'!I18="..","..",ROUND('FIRE1202 raw'!I18,0)))</f>
        <v>0</v>
      </c>
      <c r="J18" s="57">
        <f ca="1">IF('FIRE1202 raw'!J18="N/A","N/A",IF('FIRE1202 raw'!J18="..","..",ROUND('FIRE1202 raw'!J18,0)))</f>
        <v>21</v>
      </c>
      <c r="K18" s="57">
        <f ca="1">IF('FIRE1202 raw'!K18="N/A","N/A",IF('FIRE1202 raw'!K18="..","..",ROUND('FIRE1202 raw'!K18,0)))</f>
        <v>7455</v>
      </c>
      <c r="L18" s="4"/>
      <c r="N18" s="11"/>
      <c r="O18" s="11"/>
      <c r="Q18" s="11"/>
      <c r="R18" s="11"/>
      <c r="T18" s="13"/>
      <c r="U18" s="13"/>
      <c r="V18" s="13"/>
      <c r="W18" s="13"/>
      <c r="X18" s="13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s="5" customFormat="1" ht="15" customHeight="1" x14ac:dyDescent="0.35">
      <c r="A19" s="21" t="s">
        <v>14</v>
      </c>
      <c r="B19" s="57">
        <f ca="1">IF('FIRE1202 raw'!B19="N/A","N/A",IF('FIRE1202 raw'!B19="..","..",ROUND('FIRE1202 raw'!B19,0)))</f>
        <v>980</v>
      </c>
      <c r="C19" s="57">
        <f ca="1">IF('FIRE1202 raw'!C19="N/A","N/A",IF('FIRE1202 raw'!C19="..","..",ROUND('FIRE1202 raw'!C19,0)))</f>
        <v>612</v>
      </c>
      <c r="D19" s="57">
        <f ca="1">IF('FIRE1202 raw'!D19="N/A","N/A",IF('FIRE1202 raw'!D19="..","..",ROUND('FIRE1202 raw'!D19,0)))</f>
        <v>368</v>
      </c>
      <c r="E19" s="57">
        <f ca="1">IF('FIRE1202 raw'!E19="N/A","N/A",IF('FIRE1202 raw'!E19="..","..",ROUND('FIRE1202 raw'!E19,0)))</f>
        <v>324</v>
      </c>
      <c r="F19" s="57">
        <f ca="1">IF('FIRE1202 raw'!F19="N/A","N/A",IF('FIRE1202 raw'!F19="..","..",ROUND('FIRE1202 raw'!F19,0)))</f>
        <v>39</v>
      </c>
      <c r="G19" s="57">
        <f ca="1">IF('FIRE1202 raw'!G19="N/A","N/A",IF('FIRE1202 raw'!G19="..","..",ROUND('FIRE1202 raw'!G19,0)))</f>
        <v>13</v>
      </c>
      <c r="H19" s="57">
        <f ca="1">IF('FIRE1202 raw'!H19="N/A","N/A",IF('FIRE1202 raw'!H19="..","..",ROUND('FIRE1202 raw'!H19,0)))</f>
        <v>0</v>
      </c>
      <c r="I19" s="57">
        <f ca="1">IF('FIRE1202 raw'!I19="N/A","N/A",IF('FIRE1202 raw'!I19="..","..",ROUND('FIRE1202 raw'!I19,0)))</f>
        <v>0</v>
      </c>
      <c r="J19" s="57">
        <f ca="1">IF('FIRE1202 raw'!J19="N/A","N/A",IF('FIRE1202 raw'!J19="..","..",ROUND('FIRE1202 raw'!J19,0)))</f>
        <v>305</v>
      </c>
      <c r="K19" s="57">
        <f ca="1">IF('FIRE1202 raw'!K19="N/A","N/A",IF('FIRE1202 raw'!K19="..","..",ROUND('FIRE1202 raw'!K19,0)))</f>
        <v>34845</v>
      </c>
      <c r="L19" s="4"/>
      <c r="N19" s="11"/>
      <c r="O19" s="11"/>
      <c r="Q19" s="11"/>
      <c r="R19" s="11"/>
      <c r="T19" s="13"/>
      <c r="U19" s="13"/>
      <c r="V19" s="13"/>
      <c r="W19" s="13"/>
      <c r="X19" s="13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s="5" customFormat="1" ht="15" customHeight="1" x14ac:dyDescent="0.35">
      <c r="A20" s="21" t="s">
        <v>15</v>
      </c>
      <c r="B20" s="57">
        <f ca="1">IF('FIRE1202 raw'!B20="N/A","N/A",IF('FIRE1202 raw'!B20="..","..",ROUND('FIRE1202 raw'!B20,0)))</f>
        <v>683</v>
      </c>
      <c r="C20" s="57">
        <f ca="1">IF('FIRE1202 raw'!C20="N/A","N/A",IF('FIRE1202 raw'!C20="..","..",ROUND('FIRE1202 raw'!C20,0)))</f>
        <v>181</v>
      </c>
      <c r="D20" s="57">
        <f ca="1">IF('FIRE1202 raw'!D20="N/A","N/A",IF('FIRE1202 raw'!D20="..","..",ROUND('FIRE1202 raw'!D20,0)))</f>
        <v>502</v>
      </c>
      <c r="E20" s="57">
        <f ca="1">IF('FIRE1202 raw'!E20="N/A","N/A",IF('FIRE1202 raw'!E20="..","..",ROUND('FIRE1202 raw'!E20,0)))</f>
        <v>428</v>
      </c>
      <c r="F20" s="57">
        <f ca="1">IF('FIRE1202 raw'!F20="N/A","N/A",IF('FIRE1202 raw'!F20="..","..",ROUND('FIRE1202 raw'!F20,0)))</f>
        <v>45</v>
      </c>
      <c r="G20" s="57">
        <f ca="1">IF('FIRE1202 raw'!G20="N/A","N/A",IF('FIRE1202 raw'!G20="..","..",ROUND('FIRE1202 raw'!G20,0)))</f>
        <v>44</v>
      </c>
      <c r="H20" s="57">
        <f ca="1">IF('FIRE1202 raw'!H20="N/A","N/A",IF('FIRE1202 raw'!H20="..","..",ROUND('FIRE1202 raw'!H20,0)))</f>
        <v>6</v>
      </c>
      <c r="I20" s="57">
        <f ca="1">IF('FIRE1202 raw'!I20="N/A","N/A",IF('FIRE1202 raw'!I20="..","..",ROUND('FIRE1202 raw'!I20,0)))</f>
        <v>4</v>
      </c>
      <c r="J20" s="57">
        <f ca="1">IF('FIRE1202 raw'!J20="N/A","N/A",IF('FIRE1202 raw'!J20="..","..",ROUND('FIRE1202 raw'!J20,0)))</f>
        <v>59</v>
      </c>
      <c r="K20" s="57">
        <f ca="1">IF('FIRE1202 raw'!K20="N/A","N/A",IF('FIRE1202 raw'!K20="..","..",ROUND('FIRE1202 raw'!K20,0)))</f>
        <v>97800</v>
      </c>
      <c r="L20" s="4"/>
      <c r="N20" s="11"/>
      <c r="O20" s="11"/>
      <c r="Q20" s="11"/>
      <c r="R20" s="11"/>
      <c r="T20" s="13"/>
      <c r="U20" s="13"/>
      <c r="V20" s="13"/>
      <c r="W20" s="13"/>
      <c r="X20" s="13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s="5" customFormat="1" ht="15" customHeight="1" x14ac:dyDescent="0.35">
      <c r="A21" s="21" t="s">
        <v>118</v>
      </c>
      <c r="B21" s="57">
        <f ca="1">IF('FIRE1202 raw'!B21="N/A","N/A",IF('FIRE1202 raw'!B21="..","..",ROUND('FIRE1202 raw'!B21,0)))</f>
        <v>1230</v>
      </c>
      <c r="C21" s="57">
        <f ca="1">IF('FIRE1202 raw'!C21="N/A","N/A",IF('FIRE1202 raw'!C21="..","..",ROUND('FIRE1202 raw'!C21,0)))</f>
        <v>879</v>
      </c>
      <c r="D21" s="57">
        <f ca="1">IF('FIRE1202 raw'!D21="N/A","N/A",IF('FIRE1202 raw'!D21="..","..",ROUND('FIRE1202 raw'!D21,0)))</f>
        <v>351</v>
      </c>
      <c r="E21" s="57">
        <f ca="1">IF('FIRE1202 raw'!E21="N/A","N/A",IF('FIRE1202 raw'!E21="..","..",ROUND('FIRE1202 raw'!E21,0)))</f>
        <v>96</v>
      </c>
      <c r="F21" s="57">
        <f ca="1">IF('FIRE1202 raw'!F21="N/A","N/A",IF('FIRE1202 raw'!F21="..","..",ROUND('FIRE1202 raw'!F21,0)))</f>
        <v>7</v>
      </c>
      <c r="G21" s="57">
        <f ca="1">IF('FIRE1202 raw'!G21="N/A","N/A",IF('FIRE1202 raw'!G21="..","..",ROUND('FIRE1202 raw'!G21,0)))</f>
        <v>19</v>
      </c>
      <c r="H21" s="57">
        <f ca="1">IF('FIRE1202 raw'!H21="N/A","N/A",IF('FIRE1202 raw'!H21="..","..",ROUND('FIRE1202 raw'!H21,0)))</f>
        <v>1</v>
      </c>
      <c r="I21" s="57">
        <f ca="1">IF('FIRE1202 raw'!I21="N/A","N/A",IF('FIRE1202 raw'!I21="..","..",ROUND('FIRE1202 raw'!I21,0)))</f>
        <v>0</v>
      </c>
      <c r="J21" s="57">
        <f ca="1">IF('FIRE1202 raw'!J21="N/A","N/A",IF('FIRE1202 raw'!J21="..","..",ROUND('FIRE1202 raw'!J21,0)))</f>
        <v>5</v>
      </c>
      <c r="K21" s="57">
        <f ca="1">IF('FIRE1202 raw'!K21="N/A","N/A",IF('FIRE1202 raw'!K21="..","..",ROUND('FIRE1202 raw'!K21,0)))</f>
        <v>95621</v>
      </c>
      <c r="L21" s="4"/>
      <c r="N21" s="11"/>
      <c r="O21" s="11"/>
      <c r="Q21" s="11"/>
      <c r="R21" s="11"/>
      <c r="T21" s="13"/>
      <c r="U21" s="13"/>
      <c r="V21" s="13"/>
      <c r="W21" s="13"/>
      <c r="X21" s="13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s="5" customFormat="1" ht="15" customHeight="1" x14ac:dyDescent="0.35">
      <c r="A22" s="4" t="s">
        <v>119</v>
      </c>
      <c r="B22" s="57" t="str">
        <f ca="1">IF('FIRE1202 raw'!B22="N/A","N/A",IF('FIRE1202 raw'!B22="..","..",ROUND('FIRE1202 raw'!B22,0)))</f>
        <v>..</v>
      </c>
      <c r="C22" s="57" t="str">
        <f ca="1">IF('FIRE1202 raw'!C22="N/A","N/A",IF('FIRE1202 raw'!C22="..","..",ROUND('FIRE1202 raw'!C22,0)))</f>
        <v>..</v>
      </c>
      <c r="D22" s="57" t="str">
        <f ca="1">IF('FIRE1202 raw'!D22="N/A","N/A",IF('FIRE1202 raw'!D22="..","..",ROUND('FIRE1202 raw'!D22,0)))</f>
        <v>..</v>
      </c>
      <c r="E22" s="57" t="str">
        <f ca="1">IF('FIRE1202 raw'!E22="N/A","N/A",IF('FIRE1202 raw'!E22="..","..",ROUND('FIRE1202 raw'!E22,0)))</f>
        <v>..</v>
      </c>
      <c r="F22" s="57" t="str">
        <f ca="1">IF('FIRE1202 raw'!F22="N/A","N/A",IF('FIRE1202 raw'!F22="..","..",ROUND('FIRE1202 raw'!F22,0)))</f>
        <v>..</v>
      </c>
      <c r="G22" s="57" t="str">
        <f ca="1">IF('FIRE1202 raw'!G22="N/A","N/A",IF('FIRE1202 raw'!G22="..","..",ROUND('FIRE1202 raw'!G22,0)))</f>
        <v>..</v>
      </c>
      <c r="H22" s="57" t="str">
        <f ca="1">IF('FIRE1202 raw'!H22="N/A","N/A",IF('FIRE1202 raw'!H22="..","..",ROUND('FIRE1202 raw'!H22,0)))</f>
        <v>..</v>
      </c>
      <c r="I22" s="57" t="str">
        <f ca="1">IF('FIRE1202 raw'!I22="N/A","N/A",IF('FIRE1202 raw'!I22="..","..",ROUND('FIRE1202 raw'!I22,0)))</f>
        <v>..</v>
      </c>
      <c r="J22" s="57" t="str">
        <f ca="1">IF('FIRE1202 raw'!J22="N/A","N/A",IF('FIRE1202 raw'!J22="..","..",ROUND('FIRE1202 raw'!J22,0)))</f>
        <v>..</v>
      </c>
      <c r="K22" s="57" t="str">
        <f ca="1">IF('FIRE1202 raw'!K22="N/A","N/A",IF('FIRE1202 raw'!K22="..","..",ROUND('FIRE1202 raw'!K22,0)))</f>
        <v>..</v>
      </c>
      <c r="L22" s="4"/>
      <c r="N22" s="11"/>
      <c r="O22" s="11"/>
      <c r="Q22" s="11"/>
      <c r="R22" s="11"/>
      <c r="T22" s="13"/>
      <c r="U22" s="13"/>
      <c r="V22" s="13"/>
      <c r="W22" s="13"/>
      <c r="X22" s="13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s="5" customFormat="1" ht="15" customHeight="1" x14ac:dyDescent="0.35">
      <c r="A23" s="4" t="s">
        <v>17</v>
      </c>
      <c r="B23" s="57">
        <f ca="1">IF('FIRE1202 raw'!B23="N/A","N/A",IF('FIRE1202 raw'!B23="..","..",ROUND('FIRE1202 raw'!B23,0)))</f>
        <v>2138</v>
      </c>
      <c r="C23" s="57">
        <f ca="1">IF('FIRE1202 raw'!C23="N/A","N/A",IF('FIRE1202 raw'!C23="..","..",ROUND('FIRE1202 raw'!C23,0)))</f>
        <v>1815</v>
      </c>
      <c r="D23" s="57">
        <f ca="1">IF('FIRE1202 raw'!D23="N/A","N/A",IF('FIRE1202 raw'!D23="..","..",ROUND('FIRE1202 raw'!D23,0)))</f>
        <v>323</v>
      </c>
      <c r="E23" s="57">
        <f ca="1">IF('FIRE1202 raw'!E23="N/A","N/A",IF('FIRE1202 raw'!E23="..","..",ROUND('FIRE1202 raw'!E23,0)))</f>
        <v>353</v>
      </c>
      <c r="F23" s="57">
        <f ca="1">IF('FIRE1202 raw'!F23="N/A","N/A",IF('FIRE1202 raw'!F23="..","..",ROUND('FIRE1202 raw'!F23,0)))</f>
        <v>0</v>
      </c>
      <c r="G23" s="57">
        <f ca="1">IF('FIRE1202 raw'!G23="N/A","N/A",IF('FIRE1202 raw'!G23="..","..",ROUND('FIRE1202 raw'!G23,0)))</f>
        <v>4</v>
      </c>
      <c r="H23" s="57">
        <f ca="1">IF('FIRE1202 raw'!H23="N/A","N/A",IF('FIRE1202 raw'!H23="..","..",ROUND('FIRE1202 raw'!H23,0)))</f>
        <v>0</v>
      </c>
      <c r="I23" s="57">
        <f ca="1">IF('FIRE1202 raw'!I23="N/A","N/A",IF('FIRE1202 raw'!I23="..","..",ROUND('FIRE1202 raw'!I23,0)))</f>
        <v>0</v>
      </c>
      <c r="J23" s="57">
        <f ca="1">IF('FIRE1202 raw'!J23="N/A","N/A",IF('FIRE1202 raw'!J23="..","..",ROUND('FIRE1202 raw'!J23,0)))</f>
        <v>1</v>
      </c>
      <c r="K23" s="57">
        <f ca="1">IF('FIRE1202 raw'!K23="N/A","N/A",IF('FIRE1202 raw'!K23="..","..",ROUND('FIRE1202 raw'!K23,0)))</f>
        <v>15699</v>
      </c>
      <c r="L23" s="4"/>
      <c r="N23" s="11"/>
      <c r="O23" s="11"/>
      <c r="Q23" s="11"/>
      <c r="R23" s="11"/>
      <c r="T23" s="13"/>
      <c r="U23" s="13"/>
      <c r="V23" s="13"/>
      <c r="W23" s="13"/>
      <c r="X23" s="13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s="5" customFormat="1" ht="15" customHeight="1" x14ac:dyDescent="0.35">
      <c r="A24" s="4" t="s">
        <v>18</v>
      </c>
      <c r="B24" s="57">
        <f ca="1">IF('FIRE1202 raw'!B24="N/A","N/A",IF('FIRE1202 raw'!B24="..","..",ROUND('FIRE1202 raw'!B24,0)))</f>
        <v>499</v>
      </c>
      <c r="C24" s="57">
        <f ca="1">IF('FIRE1202 raw'!C24="N/A","N/A",IF('FIRE1202 raw'!C24="..","..",ROUND('FIRE1202 raw'!C24,0)))</f>
        <v>372</v>
      </c>
      <c r="D24" s="57">
        <f ca="1">IF('FIRE1202 raw'!D24="N/A","N/A",IF('FIRE1202 raw'!D24="..","..",ROUND('FIRE1202 raw'!D24,0)))</f>
        <v>127</v>
      </c>
      <c r="E24" s="57">
        <f ca="1">IF('FIRE1202 raw'!E24="N/A","N/A",IF('FIRE1202 raw'!E24="..","..",ROUND('FIRE1202 raw'!E24,0)))</f>
        <v>117</v>
      </c>
      <c r="F24" s="57">
        <f ca="1">IF('FIRE1202 raw'!F24="N/A","N/A",IF('FIRE1202 raw'!F24="..","..",ROUND('FIRE1202 raw'!F24,0)))</f>
        <v>7</v>
      </c>
      <c r="G24" s="57">
        <f ca="1">IF('FIRE1202 raw'!G24="N/A","N/A",IF('FIRE1202 raw'!G24="..","..",ROUND('FIRE1202 raw'!G24,0)))</f>
        <v>17</v>
      </c>
      <c r="H24" s="57">
        <f ca="1">IF('FIRE1202 raw'!H24="N/A","N/A",IF('FIRE1202 raw'!H24="..","..",ROUND('FIRE1202 raw'!H24,0)))</f>
        <v>2</v>
      </c>
      <c r="I24" s="57">
        <f ca="1">IF('FIRE1202 raw'!I24="N/A","N/A",IF('FIRE1202 raw'!I24="..","..",ROUND('FIRE1202 raw'!I24,0)))</f>
        <v>1</v>
      </c>
      <c r="J24" s="57">
        <f ca="1">IF('FIRE1202 raw'!J24="N/A","N/A",IF('FIRE1202 raw'!J24="..","..",ROUND('FIRE1202 raw'!J24,0)))</f>
        <v>123</v>
      </c>
      <c r="K24" s="57">
        <f ca="1">IF('FIRE1202 raw'!K24="N/A","N/A",IF('FIRE1202 raw'!K24="..","..",ROUND('FIRE1202 raw'!K24,0)))</f>
        <v>27060</v>
      </c>
      <c r="L24" s="4"/>
      <c r="N24" s="11"/>
      <c r="O24" s="11"/>
      <c r="Q24" s="11"/>
      <c r="R24" s="11"/>
      <c r="T24" s="13"/>
      <c r="U24" s="13"/>
      <c r="V24" s="13"/>
      <c r="W24" s="13"/>
      <c r="X24" s="13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s="5" customFormat="1" ht="15" customHeight="1" x14ac:dyDescent="0.35">
      <c r="A25" s="4" t="s">
        <v>19</v>
      </c>
      <c r="B25" s="57">
        <f ca="1">IF('FIRE1202 raw'!B25="N/A","N/A",IF('FIRE1202 raw'!B25="..","..",ROUND('FIRE1202 raw'!B25,0)))</f>
        <v>1290</v>
      </c>
      <c r="C25" s="57">
        <f ca="1">IF('FIRE1202 raw'!C25="N/A","N/A",IF('FIRE1202 raw'!C25="..","..",ROUND('FIRE1202 raw'!C25,0)))</f>
        <v>1252</v>
      </c>
      <c r="D25" s="57">
        <f ca="1">IF('FIRE1202 raw'!D25="N/A","N/A",IF('FIRE1202 raw'!D25="..","..",ROUND('FIRE1202 raw'!D25,0)))</f>
        <v>38</v>
      </c>
      <c r="E25" s="57">
        <f ca="1">IF('FIRE1202 raw'!E25="N/A","N/A",IF('FIRE1202 raw'!E25="..","..",ROUND('FIRE1202 raw'!E25,0)))</f>
        <v>112</v>
      </c>
      <c r="F25" s="57">
        <f ca="1">IF('FIRE1202 raw'!F25="N/A","N/A",IF('FIRE1202 raw'!F25="..","..",ROUND('FIRE1202 raw'!F25,0)))</f>
        <v>5</v>
      </c>
      <c r="G25" s="57">
        <f ca="1">IF('FIRE1202 raw'!G25="N/A","N/A",IF('FIRE1202 raw'!G25="..","..",ROUND('FIRE1202 raw'!G25,0)))</f>
        <v>0</v>
      </c>
      <c r="H25" s="57">
        <f ca="1">IF('FIRE1202 raw'!H25="N/A","N/A",IF('FIRE1202 raw'!H25="..","..",ROUND('FIRE1202 raw'!H25,0)))</f>
        <v>8</v>
      </c>
      <c r="I25" s="57">
        <f ca="1">IF('FIRE1202 raw'!I25="N/A","N/A",IF('FIRE1202 raw'!I25="..","..",ROUND('FIRE1202 raw'!I25,0)))</f>
        <v>3</v>
      </c>
      <c r="J25" s="57">
        <f ca="1">IF('FIRE1202 raw'!J25="N/A","N/A",IF('FIRE1202 raw'!J25="..","..",ROUND('FIRE1202 raw'!J25,0)))</f>
        <v>2</v>
      </c>
      <c r="K25" s="57">
        <f ca="1">IF('FIRE1202 raw'!K25="N/A","N/A",IF('FIRE1202 raw'!K25="..","..",ROUND('FIRE1202 raw'!K25,0)))</f>
        <v>41430</v>
      </c>
      <c r="L25" s="4"/>
      <c r="N25" s="11"/>
      <c r="O25" s="11"/>
      <c r="Q25" s="11"/>
      <c r="R25" s="11"/>
      <c r="T25" s="13"/>
      <c r="U25" s="13"/>
      <c r="V25" s="13"/>
      <c r="W25" s="13"/>
      <c r="X25" s="13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s="5" customFormat="1" ht="15" customHeight="1" x14ac:dyDescent="0.35">
      <c r="A26" s="4" t="s">
        <v>20</v>
      </c>
      <c r="B26" s="57">
        <f ca="1">IF('FIRE1202 raw'!B26="N/A","N/A",IF('FIRE1202 raw'!B26="..","..",ROUND('FIRE1202 raw'!B26,0)))</f>
        <v>277</v>
      </c>
      <c r="C26" s="57">
        <f ca="1">IF('FIRE1202 raw'!C26="N/A","N/A",IF('FIRE1202 raw'!C26="..","..",ROUND('FIRE1202 raw'!C26,0)))</f>
        <v>217</v>
      </c>
      <c r="D26" s="57">
        <f ca="1">IF('FIRE1202 raw'!D26="N/A","N/A",IF('FIRE1202 raw'!D26="..","..",ROUND('FIRE1202 raw'!D26,0)))</f>
        <v>60</v>
      </c>
      <c r="E26" s="57">
        <f ca="1">IF('FIRE1202 raw'!E26="N/A","N/A",IF('FIRE1202 raw'!E26="..","..",ROUND('FIRE1202 raw'!E26,0)))</f>
        <v>43</v>
      </c>
      <c r="F26" s="57">
        <f ca="1">IF('FIRE1202 raw'!F26="N/A","N/A",IF('FIRE1202 raw'!F26="..","..",ROUND('FIRE1202 raw'!F26,0)))</f>
        <v>8</v>
      </c>
      <c r="G26" s="57">
        <f ca="1">IF('FIRE1202 raw'!G26="N/A","N/A",IF('FIRE1202 raw'!G26="..","..",ROUND('FIRE1202 raw'!G26,0)))</f>
        <v>4</v>
      </c>
      <c r="H26" s="57">
        <f ca="1">IF('FIRE1202 raw'!H26="N/A","N/A",IF('FIRE1202 raw'!H26="..","..",ROUND('FIRE1202 raw'!H26,0)))</f>
        <v>1</v>
      </c>
      <c r="I26" s="57">
        <f ca="1">IF('FIRE1202 raw'!I26="N/A","N/A",IF('FIRE1202 raw'!I26="..","..",ROUND('FIRE1202 raw'!I26,0)))</f>
        <v>0</v>
      </c>
      <c r="J26" s="57">
        <f ca="1">IF('FIRE1202 raw'!J26="N/A","N/A",IF('FIRE1202 raw'!J26="..","..",ROUND('FIRE1202 raw'!J26,0)))</f>
        <v>10</v>
      </c>
      <c r="K26" s="57">
        <f ca="1">IF('FIRE1202 raw'!K26="N/A","N/A",IF('FIRE1202 raw'!K26="..","..",ROUND('FIRE1202 raw'!K26,0)))</f>
        <v>16674</v>
      </c>
      <c r="L26" s="4"/>
      <c r="N26" s="11"/>
      <c r="O26" s="11"/>
      <c r="Q26" s="11"/>
      <c r="R26" s="11"/>
      <c r="T26" s="13"/>
      <c r="U26" s="13"/>
      <c r="V26" s="13"/>
      <c r="W26" s="13"/>
      <c r="X26" s="13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s="5" customFormat="1" ht="15" customHeight="1" x14ac:dyDescent="0.35">
      <c r="A27" s="4" t="s">
        <v>23</v>
      </c>
      <c r="B27" s="57">
        <f ca="1">IF('FIRE1202 raw'!B27="N/A","N/A",IF('FIRE1202 raw'!B27="..","..",ROUND('FIRE1202 raw'!B27,0)))</f>
        <v>457</v>
      </c>
      <c r="C27" s="57">
        <f ca="1">IF('FIRE1202 raw'!C27="N/A","N/A",IF('FIRE1202 raw'!C27="..","..",ROUND('FIRE1202 raw'!C27,0)))</f>
        <v>148</v>
      </c>
      <c r="D27" s="57">
        <f ca="1">IF('FIRE1202 raw'!D27="N/A","N/A",IF('FIRE1202 raw'!D27="..","..",ROUND('FIRE1202 raw'!D27,0)))</f>
        <v>309</v>
      </c>
      <c r="E27" s="57">
        <f ca="1">IF('FIRE1202 raw'!E27="N/A","N/A",IF('FIRE1202 raw'!E27="..","..",ROUND('FIRE1202 raw'!E27,0)))</f>
        <v>165</v>
      </c>
      <c r="F27" s="57">
        <f ca="1">IF('FIRE1202 raw'!F27="N/A","N/A",IF('FIRE1202 raw'!F27="..","..",ROUND('FIRE1202 raw'!F27,0)))</f>
        <v>1</v>
      </c>
      <c r="G27" s="57">
        <f ca="1">IF('FIRE1202 raw'!G27="N/A","N/A",IF('FIRE1202 raw'!G27="..","..",ROUND('FIRE1202 raw'!G27,0)))</f>
        <v>24</v>
      </c>
      <c r="H27" s="57">
        <f ca="1">IF('FIRE1202 raw'!H27="N/A","N/A",IF('FIRE1202 raw'!H27="..","..",ROUND('FIRE1202 raw'!H27,0)))</f>
        <v>0</v>
      </c>
      <c r="I27" s="57">
        <f ca="1">IF('FIRE1202 raw'!I27="N/A","N/A",IF('FIRE1202 raw'!I27="..","..",ROUND('FIRE1202 raw'!I27,0)))</f>
        <v>5</v>
      </c>
      <c r="J27" s="57">
        <f ca="1">IF('FIRE1202 raw'!J27="N/A","N/A",IF('FIRE1202 raw'!J27="..","..",ROUND('FIRE1202 raw'!J27,0)))</f>
        <v>141</v>
      </c>
      <c r="K27" s="57">
        <f ca="1">IF('FIRE1202 raw'!K27="N/A","N/A",IF('FIRE1202 raw'!K27="..","..",ROUND('FIRE1202 raw'!K27,0)))</f>
        <v>104639</v>
      </c>
      <c r="L27" s="4"/>
      <c r="N27" s="11"/>
      <c r="O27" s="11"/>
      <c r="Q27" s="11"/>
      <c r="R27" s="11"/>
      <c r="T27" s="13"/>
      <c r="U27" s="13"/>
      <c r="V27" s="13"/>
      <c r="W27" s="13"/>
      <c r="X27" s="13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s="5" customFormat="1" ht="15" customHeight="1" x14ac:dyDescent="0.35">
      <c r="A28" s="4" t="s">
        <v>24</v>
      </c>
      <c r="B28" s="57">
        <f ca="1">IF('FIRE1202 raw'!B28="N/A","N/A",IF('FIRE1202 raw'!B28="..","..",ROUND('FIRE1202 raw'!B28,0)))</f>
        <v>726</v>
      </c>
      <c r="C28" s="57">
        <f ca="1">IF('FIRE1202 raw'!C28="N/A","N/A",IF('FIRE1202 raw'!C28="..","..",ROUND('FIRE1202 raw'!C28,0)))</f>
        <v>362</v>
      </c>
      <c r="D28" s="57">
        <f ca="1">IF('FIRE1202 raw'!D28="N/A","N/A",IF('FIRE1202 raw'!D28="..","..",ROUND('FIRE1202 raw'!D28,0)))</f>
        <v>364</v>
      </c>
      <c r="E28" s="57">
        <f ca="1">IF('FIRE1202 raw'!E28="N/A","N/A",IF('FIRE1202 raw'!E28="..","..",ROUND('FIRE1202 raw'!E28,0)))</f>
        <v>319</v>
      </c>
      <c r="F28" s="57">
        <f ca="1">IF('FIRE1202 raw'!F28="N/A","N/A",IF('FIRE1202 raw'!F28="..","..",ROUND('FIRE1202 raw'!F28,0)))</f>
        <v>132</v>
      </c>
      <c r="G28" s="57">
        <f ca="1">IF('FIRE1202 raw'!G28="N/A","N/A",IF('FIRE1202 raw'!G28="..","..",ROUND('FIRE1202 raw'!G28,0)))</f>
        <v>113</v>
      </c>
      <c r="H28" s="57">
        <f ca="1">IF('FIRE1202 raw'!H28="N/A","N/A",IF('FIRE1202 raw'!H28="..","..",ROUND('FIRE1202 raw'!H28,0)))</f>
        <v>0</v>
      </c>
      <c r="I28" s="57">
        <f ca="1">IF('FIRE1202 raw'!I28="N/A","N/A",IF('FIRE1202 raw'!I28="..","..",ROUND('FIRE1202 raw'!I28,0)))</f>
        <v>62</v>
      </c>
      <c r="J28" s="57">
        <f ca="1">IF('FIRE1202 raw'!J28="N/A","N/A",IF('FIRE1202 raw'!J28="..","..",ROUND('FIRE1202 raw'!J28,0)))</f>
        <v>112</v>
      </c>
      <c r="K28" s="57">
        <f ca="1">IF('FIRE1202 raw'!K28="N/A","N/A",IF('FIRE1202 raw'!K28="..","..",ROUND('FIRE1202 raw'!K28,0)))</f>
        <v>18689</v>
      </c>
      <c r="L28" s="4"/>
      <c r="N28" s="11"/>
      <c r="O28" s="11"/>
      <c r="Q28" s="11"/>
      <c r="R28" s="11"/>
      <c r="T28" s="13"/>
      <c r="U28" s="13"/>
      <c r="V28" s="13"/>
      <c r="W28" s="13"/>
      <c r="X28" s="13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s="5" customFormat="1" ht="15" customHeight="1" x14ac:dyDescent="0.35">
      <c r="A29" s="4" t="s">
        <v>25</v>
      </c>
      <c r="B29" s="57">
        <f ca="1">IF('FIRE1202 raw'!B29="N/A","N/A",IF('FIRE1202 raw'!B29="..","..",ROUND('FIRE1202 raw'!B29,0)))</f>
        <v>282</v>
      </c>
      <c r="C29" s="57">
        <f ca="1">IF('FIRE1202 raw'!C29="N/A","N/A",IF('FIRE1202 raw'!C29="..","..",ROUND('FIRE1202 raw'!C29,0)))</f>
        <v>256</v>
      </c>
      <c r="D29" s="57">
        <f ca="1">IF('FIRE1202 raw'!D29="N/A","N/A",IF('FIRE1202 raw'!D29="..","..",ROUND('FIRE1202 raw'!D29,0)))</f>
        <v>26</v>
      </c>
      <c r="E29" s="57">
        <f ca="1">IF('FIRE1202 raw'!E29="N/A","N/A",IF('FIRE1202 raw'!E29="..","..",ROUND('FIRE1202 raw'!E29,0)))</f>
        <v>30</v>
      </c>
      <c r="F29" s="57">
        <f ca="1">IF('FIRE1202 raw'!F29="N/A","N/A",IF('FIRE1202 raw'!F29="..","..",ROUND('FIRE1202 raw'!F29,0)))</f>
        <v>6</v>
      </c>
      <c r="G29" s="57">
        <f ca="1">IF('FIRE1202 raw'!G29="N/A","N/A",IF('FIRE1202 raw'!G29="..","..",ROUND('FIRE1202 raw'!G29,0)))</f>
        <v>6</v>
      </c>
      <c r="H29" s="57">
        <f ca="1">IF('FIRE1202 raw'!H29="N/A","N/A",IF('FIRE1202 raw'!H29="..","..",ROUND('FIRE1202 raw'!H29,0)))</f>
        <v>0</v>
      </c>
      <c r="I29" s="57">
        <f ca="1">IF('FIRE1202 raw'!I29="N/A","N/A",IF('FIRE1202 raw'!I29="..","..",ROUND('FIRE1202 raw'!I29,0)))</f>
        <v>0</v>
      </c>
      <c r="J29" s="57">
        <f ca="1">IF('FIRE1202 raw'!J29="N/A","N/A",IF('FIRE1202 raw'!J29="..","..",ROUND('FIRE1202 raw'!J29,0)))</f>
        <v>24</v>
      </c>
      <c r="K29" s="57">
        <f ca="1">IF('FIRE1202 raw'!K29="N/A","N/A",IF('FIRE1202 raw'!K29="..","..",ROUND('FIRE1202 raw'!K29,0)))</f>
        <v>27885</v>
      </c>
      <c r="L29" s="4"/>
      <c r="N29" s="11"/>
      <c r="O29" s="11"/>
      <c r="Q29" s="11"/>
      <c r="R29" s="11"/>
      <c r="T29" s="13"/>
      <c r="U29" s="13"/>
      <c r="V29" s="13"/>
      <c r="W29" s="13"/>
      <c r="X29" s="13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s="5" customFormat="1" ht="15" customHeight="1" x14ac:dyDescent="0.35">
      <c r="A30" s="4" t="s">
        <v>26</v>
      </c>
      <c r="B30" s="57">
        <f ca="1">IF('FIRE1202 raw'!B30="N/A","N/A",IF('FIRE1202 raw'!B30="..","..",ROUND('FIRE1202 raw'!B30,0)))</f>
        <v>881</v>
      </c>
      <c r="C30" s="57">
        <f ca="1">IF('FIRE1202 raw'!C30="N/A","N/A",IF('FIRE1202 raw'!C30="..","..",ROUND('FIRE1202 raw'!C30,0)))</f>
        <v>715</v>
      </c>
      <c r="D30" s="57">
        <f ca="1">IF('FIRE1202 raw'!D30="N/A","N/A",IF('FIRE1202 raw'!D30="..","..",ROUND('FIRE1202 raw'!D30,0)))</f>
        <v>166</v>
      </c>
      <c r="E30" s="57">
        <f ca="1">IF('FIRE1202 raw'!E30="N/A","N/A",IF('FIRE1202 raw'!E30="..","..",ROUND('FIRE1202 raw'!E30,0)))</f>
        <v>128</v>
      </c>
      <c r="F30" s="57">
        <f ca="1">IF('FIRE1202 raw'!F30="N/A","N/A",IF('FIRE1202 raw'!F30="..","..",ROUND('FIRE1202 raw'!F30,0)))</f>
        <v>21</v>
      </c>
      <c r="G30" s="57">
        <f ca="1">IF('FIRE1202 raw'!G30="N/A","N/A",IF('FIRE1202 raw'!G30="..","..",ROUND('FIRE1202 raw'!G30,0)))</f>
        <v>6</v>
      </c>
      <c r="H30" s="57">
        <f ca="1">IF('FIRE1202 raw'!H30="N/A","N/A",IF('FIRE1202 raw'!H30="..","..",ROUND('FIRE1202 raw'!H30,0)))</f>
        <v>0</v>
      </c>
      <c r="I30" s="57">
        <f ca="1">IF('FIRE1202 raw'!I30="N/A","N/A",IF('FIRE1202 raw'!I30="..","..",ROUND('FIRE1202 raw'!I30,0)))</f>
        <v>4</v>
      </c>
      <c r="J30" s="57">
        <f ca="1">IF('FIRE1202 raw'!J30="N/A","N/A",IF('FIRE1202 raw'!J30="..","..",ROUND('FIRE1202 raw'!J30,0)))</f>
        <v>117</v>
      </c>
      <c r="K30" s="57">
        <f ca="1">IF('FIRE1202 raw'!K30="N/A","N/A",IF('FIRE1202 raw'!K30="..","..",ROUND('FIRE1202 raw'!K30,0)))</f>
        <v>38319</v>
      </c>
      <c r="L30" s="4"/>
      <c r="N30" s="11"/>
      <c r="O30" s="11"/>
      <c r="Q30" s="11"/>
      <c r="R30" s="11"/>
      <c r="T30" s="13"/>
      <c r="U30" s="13"/>
      <c r="V30" s="13"/>
      <c r="W30" s="13"/>
      <c r="X30" s="13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s="5" customFormat="1" ht="15" customHeight="1" x14ac:dyDescent="0.35">
      <c r="A31" s="4" t="s">
        <v>27</v>
      </c>
      <c r="B31" s="57">
        <f ca="1">IF('FIRE1202 raw'!B31="N/A","N/A",IF('FIRE1202 raw'!B31="..","..",ROUND('FIRE1202 raw'!B31,0)))</f>
        <v>106</v>
      </c>
      <c r="C31" s="57">
        <f ca="1">IF('FIRE1202 raw'!C31="N/A","N/A",IF('FIRE1202 raw'!C31="..","..",ROUND('FIRE1202 raw'!C31,0)))</f>
        <v>66</v>
      </c>
      <c r="D31" s="57">
        <f ca="1">IF('FIRE1202 raw'!D31="N/A","N/A",IF('FIRE1202 raw'!D31="..","..",ROUND('FIRE1202 raw'!D31,0)))</f>
        <v>40</v>
      </c>
      <c r="E31" s="57">
        <f ca="1">IF('FIRE1202 raw'!E31="N/A","N/A",IF('FIRE1202 raw'!E31="..","..",ROUND('FIRE1202 raw'!E31,0)))</f>
        <v>40</v>
      </c>
      <c r="F31" s="57">
        <f ca="1">IF('FIRE1202 raw'!F31="N/A","N/A",IF('FIRE1202 raw'!F31="..","..",ROUND('FIRE1202 raw'!F31,0)))</f>
        <v>2</v>
      </c>
      <c r="G31" s="57">
        <f ca="1">IF('FIRE1202 raw'!G31="N/A","N/A",IF('FIRE1202 raw'!G31="..","..",ROUND('FIRE1202 raw'!G31,0)))</f>
        <v>0</v>
      </c>
      <c r="H31" s="57">
        <f ca="1">IF('FIRE1202 raw'!H31="N/A","N/A",IF('FIRE1202 raw'!H31="..","..",ROUND('FIRE1202 raw'!H31,0)))</f>
        <v>0</v>
      </c>
      <c r="I31" s="57">
        <f ca="1">IF('FIRE1202 raw'!I31="N/A","N/A",IF('FIRE1202 raw'!I31="..","..",ROUND('FIRE1202 raw'!I31,0)))</f>
        <v>0</v>
      </c>
      <c r="J31" s="57">
        <f ca="1">IF('FIRE1202 raw'!J31="N/A","N/A",IF('FIRE1202 raw'!J31="..","..",ROUND('FIRE1202 raw'!J31,0)))</f>
        <v>1</v>
      </c>
      <c r="K31" s="57">
        <f ca="1">IF('FIRE1202 raw'!K31="N/A","N/A",IF('FIRE1202 raw'!K31="..","..",ROUND('FIRE1202 raw'!K31,0)))</f>
        <v>6492</v>
      </c>
      <c r="L31" s="4"/>
      <c r="N31" s="11"/>
      <c r="O31" s="11"/>
      <c r="Q31" s="11"/>
      <c r="R31" s="11"/>
      <c r="T31" s="13"/>
      <c r="U31" s="13"/>
      <c r="V31" s="13"/>
      <c r="W31" s="13"/>
      <c r="X31" s="13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5" customFormat="1" ht="15" customHeight="1" x14ac:dyDescent="0.35">
      <c r="A32" s="5" t="s">
        <v>29</v>
      </c>
      <c r="B32" s="57">
        <f ca="1">IF('FIRE1202 raw'!B32="N/A","N/A",IF('FIRE1202 raw'!B32="..","..",ROUND('FIRE1202 raw'!B32,0)))</f>
        <v>802</v>
      </c>
      <c r="C32" s="57">
        <f ca="1">IF('FIRE1202 raw'!C32="N/A","N/A",IF('FIRE1202 raw'!C32="..","..",ROUND('FIRE1202 raw'!C32,0)))</f>
        <v>649</v>
      </c>
      <c r="D32" s="57">
        <f ca="1">IF('FIRE1202 raw'!D32="N/A","N/A",IF('FIRE1202 raw'!D32="..","..",ROUND('FIRE1202 raw'!D32,0)))</f>
        <v>153</v>
      </c>
      <c r="E32" s="57">
        <f ca="1">IF('FIRE1202 raw'!E32="N/A","N/A",IF('FIRE1202 raw'!E32="..","..",ROUND('FIRE1202 raw'!E32,0)))</f>
        <v>232</v>
      </c>
      <c r="F32" s="57">
        <f ca="1">IF('FIRE1202 raw'!F32="N/A","N/A",IF('FIRE1202 raw'!F32="..","..",ROUND('FIRE1202 raw'!F32,0)))</f>
        <v>77</v>
      </c>
      <c r="G32" s="57">
        <f ca="1">IF('FIRE1202 raw'!G32="N/A","N/A",IF('FIRE1202 raw'!G32="..","..",ROUND('FIRE1202 raw'!G32,0)))</f>
        <v>12</v>
      </c>
      <c r="H32" s="57">
        <f ca="1">IF('FIRE1202 raw'!H32="N/A","N/A",IF('FIRE1202 raw'!H32="..","..",ROUND('FIRE1202 raw'!H32,0)))</f>
        <v>0</v>
      </c>
      <c r="I32" s="57">
        <f ca="1">IF('FIRE1202 raw'!I32="N/A","N/A",IF('FIRE1202 raw'!I32="..","..",ROUND('FIRE1202 raw'!I32,0)))</f>
        <v>0</v>
      </c>
      <c r="J32" s="57">
        <f ca="1">IF('FIRE1202 raw'!J32="N/A","N/A",IF('FIRE1202 raw'!J32="..","..",ROUND('FIRE1202 raw'!J32,0)))</f>
        <v>44</v>
      </c>
      <c r="K32" s="57">
        <f ca="1">IF('FIRE1202 raw'!K32="N/A","N/A",IF('FIRE1202 raw'!K32="..","..",ROUND('FIRE1202 raw'!K32,0)))</f>
        <v>25440</v>
      </c>
      <c r="L32" s="4"/>
      <c r="N32" s="11"/>
      <c r="O32" s="11"/>
      <c r="Q32" s="11"/>
      <c r="R32" s="11"/>
      <c r="T32" s="13"/>
      <c r="U32" s="13"/>
      <c r="V32" s="13"/>
      <c r="W32" s="13"/>
      <c r="X32" s="13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6" s="5" customFormat="1" ht="15" customHeight="1" x14ac:dyDescent="0.35">
      <c r="A33" s="5" t="s">
        <v>30</v>
      </c>
      <c r="B33" s="57">
        <f ca="1">IF('FIRE1202 raw'!B33="N/A","N/A",IF('FIRE1202 raw'!B33="..","..",ROUND('FIRE1202 raw'!B33,0)))</f>
        <v>2101</v>
      </c>
      <c r="C33" s="57">
        <f ca="1">IF('FIRE1202 raw'!C33="N/A","N/A",IF('FIRE1202 raw'!C33="..","..",ROUND('FIRE1202 raw'!C33,0)))</f>
        <v>561</v>
      </c>
      <c r="D33" s="57">
        <f ca="1">IF('FIRE1202 raw'!D33="N/A","N/A",IF('FIRE1202 raw'!D33="..","..",ROUND('FIRE1202 raw'!D33,0)))</f>
        <v>1540</v>
      </c>
      <c r="E33" s="57">
        <f ca="1">IF('FIRE1202 raw'!E33="N/A","N/A",IF('FIRE1202 raw'!E33="..","..",ROUND('FIRE1202 raw'!E33,0)))</f>
        <v>1317</v>
      </c>
      <c r="F33" s="57">
        <f ca="1">IF('FIRE1202 raw'!F33="N/A","N/A",IF('FIRE1202 raw'!F33="..","..",ROUND('FIRE1202 raw'!F33,0)))</f>
        <v>125</v>
      </c>
      <c r="G33" s="57">
        <f ca="1">IF('FIRE1202 raw'!G33="N/A","N/A",IF('FIRE1202 raw'!G33="..","..",ROUND('FIRE1202 raw'!G33,0)))</f>
        <v>14</v>
      </c>
      <c r="H33" s="57">
        <f ca="1">IF('FIRE1202 raw'!H33="N/A","N/A",IF('FIRE1202 raw'!H33="..","..",ROUND('FIRE1202 raw'!H33,0)))</f>
        <v>7</v>
      </c>
      <c r="I33" s="57">
        <f ca="1">IF('FIRE1202 raw'!I33="N/A","N/A",IF('FIRE1202 raw'!I33="..","..",ROUND('FIRE1202 raw'!I33,0)))</f>
        <v>3</v>
      </c>
      <c r="J33" s="57">
        <f ca="1">IF('FIRE1202 raw'!J33="N/A","N/A",IF('FIRE1202 raw'!J33="..","..",ROUND('FIRE1202 raw'!J33,0)))</f>
        <v>53</v>
      </c>
      <c r="K33" s="57">
        <f ca="1">IF('FIRE1202 raw'!K33="N/A","N/A",IF('FIRE1202 raw'!K33="..","..",ROUND('FIRE1202 raw'!K33,0)))</f>
        <v>25510</v>
      </c>
      <c r="L33" s="4"/>
      <c r="N33" s="11"/>
      <c r="O33" s="11"/>
      <c r="Q33" s="11"/>
      <c r="R33" s="11"/>
      <c r="T33" s="13"/>
      <c r="U33" s="13"/>
      <c r="V33" s="13"/>
      <c r="W33" s="13"/>
      <c r="X33" s="13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:36" s="5" customFormat="1" ht="15" customHeight="1" x14ac:dyDescent="0.35">
      <c r="A34" s="4" t="s">
        <v>31</v>
      </c>
      <c r="B34" s="57">
        <f ca="1">IF('FIRE1202 raw'!B34="N/A","N/A",IF('FIRE1202 raw'!B34="..","..",ROUND('FIRE1202 raw'!B34,0)))</f>
        <v>259</v>
      </c>
      <c r="C34" s="57">
        <f ca="1">IF('FIRE1202 raw'!C34="N/A","N/A",IF('FIRE1202 raw'!C34="..","..",ROUND('FIRE1202 raw'!C34,0)))</f>
        <v>166</v>
      </c>
      <c r="D34" s="57">
        <f ca="1">IF('FIRE1202 raw'!D34="N/A","N/A",IF('FIRE1202 raw'!D34="..","..",ROUND('FIRE1202 raw'!D34,0)))</f>
        <v>93</v>
      </c>
      <c r="E34" s="57">
        <f ca="1">IF('FIRE1202 raw'!E34="N/A","N/A",IF('FIRE1202 raw'!E34="..","..",ROUND('FIRE1202 raw'!E34,0)))</f>
        <v>128</v>
      </c>
      <c r="F34" s="57">
        <f ca="1">IF('FIRE1202 raw'!F34="N/A","N/A",IF('FIRE1202 raw'!F34="..","..",ROUND('FIRE1202 raw'!F34,0)))</f>
        <v>37</v>
      </c>
      <c r="G34" s="57">
        <f ca="1">IF('FIRE1202 raw'!G34="N/A","N/A",IF('FIRE1202 raw'!G34="..","..",ROUND('FIRE1202 raw'!G34,0)))</f>
        <v>13</v>
      </c>
      <c r="H34" s="57">
        <f ca="1">IF('FIRE1202 raw'!H34="N/A","N/A",IF('FIRE1202 raw'!H34="..","..",ROUND('FIRE1202 raw'!H34,0)))</f>
        <v>1</v>
      </c>
      <c r="I34" s="57">
        <f ca="1">IF('FIRE1202 raw'!I34="N/A","N/A",IF('FIRE1202 raw'!I34="..","..",ROUND('FIRE1202 raw'!I34,0)))</f>
        <v>3</v>
      </c>
      <c r="J34" s="57">
        <f ca="1">IF('FIRE1202 raw'!J34="N/A","N/A",IF('FIRE1202 raw'!J34="..","..",ROUND('FIRE1202 raw'!J34,0)))</f>
        <v>77</v>
      </c>
      <c r="K34" s="57">
        <f ca="1">IF('FIRE1202 raw'!K34="N/A","N/A",IF('FIRE1202 raw'!K34="..","..",ROUND('FIRE1202 raw'!K34,0)))</f>
        <v>25587</v>
      </c>
      <c r="L34" s="4"/>
      <c r="N34" s="11"/>
      <c r="O34" s="11"/>
      <c r="Q34" s="11"/>
      <c r="R34" s="11"/>
      <c r="T34" s="13"/>
      <c r="U34" s="13"/>
      <c r="V34" s="13"/>
      <c r="W34" s="13"/>
      <c r="X34" s="13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:36" s="5" customFormat="1" ht="15" customHeight="1" x14ac:dyDescent="0.35">
      <c r="A35" s="5" t="s">
        <v>32</v>
      </c>
      <c r="B35" s="57">
        <f ca="1">IF('FIRE1202 raw'!B35="N/A","N/A",IF('FIRE1202 raw'!B35="..","..",ROUND('FIRE1202 raw'!B35,0)))</f>
        <v>299</v>
      </c>
      <c r="C35" s="57">
        <f ca="1">IF('FIRE1202 raw'!C35="N/A","N/A",IF('FIRE1202 raw'!C35="..","..",ROUND('FIRE1202 raw'!C35,0)))</f>
        <v>198</v>
      </c>
      <c r="D35" s="57">
        <f ca="1">IF('FIRE1202 raw'!D35="N/A","N/A",IF('FIRE1202 raw'!D35="..","..",ROUND('FIRE1202 raw'!D35,0)))</f>
        <v>101</v>
      </c>
      <c r="E35" s="57">
        <f ca="1">IF('FIRE1202 raw'!E35="N/A","N/A",IF('FIRE1202 raw'!E35="..","..",ROUND('FIRE1202 raw'!E35,0)))</f>
        <v>85</v>
      </c>
      <c r="F35" s="57">
        <f ca="1">IF('FIRE1202 raw'!F35="N/A","N/A",IF('FIRE1202 raw'!F35="..","..",ROUND('FIRE1202 raw'!F35,0)))</f>
        <v>6</v>
      </c>
      <c r="G35" s="57">
        <f ca="1">IF('FIRE1202 raw'!G35="N/A","N/A",IF('FIRE1202 raw'!G35="..","..",ROUND('FIRE1202 raw'!G35,0)))</f>
        <v>3</v>
      </c>
      <c r="H35" s="57">
        <f ca="1">IF('FIRE1202 raw'!H35="N/A","N/A",IF('FIRE1202 raw'!H35="..","..",ROUND('FIRE1202 raw'!H35,0)))</f>
        <v>0</v>
      </c>
      <c r="I35" s="57">
        <f ca="1">IF('FIRE1202 raw'!I35="N/A","N/A",IF('FIRE1202 raw'!I35="..","..",ROUND('FIRE1202 raw'!I35,0)))</f>
        <v>1</v>
      </c>
      <c r="J35" s="57">
        <f ca="1">IF('FIRE1202 raw'!J35="N/A","N/A",IF('FIRE1202 raw'!J35="..","..",ROUND('FIRE1202 raw'!J35,0)))</f>
        <v>4</v>
      </c>
      <c r="K35" s="57">
        <f ca="1">IF('FIRE1202 raw'!K35="N/A","N/A",IF('FIRE1202 raw'!K35="..","..",ROUND('FIRE1202 raw'!K35,0)))</f>
        <v>28639</v>
      </c>
      <c r="L35" s="4"/>
      <c r="N35" s="11"/>
      <c r="O35" s="11"/>
      <c r="Q35" s="11"/>
      <c r="R35" s="11"/>
      <c r="T35" s="13"/>
      <c r="U35" s="13"/>
      <c r="V35" s="13"/>
      <c r="W35" s="13"/>
      <c r="X35" s="13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6" s="5" customFormat="1" ht="15" customHeight="1" x14ac:dyDescent="0.35">
      <c r="A36" s="5" t="s">
        <v>34</v>
      </c>
      <c r="B36" s="57">
        <f ca="1">IF('FIRE1202 raw'!B36="N/A","N/A",IF('FIRE1202 raw'!B36="..","..",ROUND('FIRE1202 raw'!B36,0)))</f>
        <v>676</v>
      </c>
      <c r="C36" s="57">
        <f ca="1">IF('FIRE1202 raw'!C36="N/A","N/A",IF('FIRE1202 raw'!C36="..","..",ROUND('FIRE1202 raw'!C36,0)))</f>
        <v>598</v>
      </c>
      <c r="D36" s="57">
        <f ca="1">IF('FIRE1202 raw'!D36="N/A","N/A",IF('FIRE1202 raw'!D36="..","..",ROUND('FIRE1202 raw'!D36,0)))</f>
        <v>78</v>
      </c>
      <c r="E36" s="57">
        <f ca="1">IF('FIRE1202 raw'!E36="N/A","N/A",IF('FIRE1202 raw'!E36="..","..",ROUND('FIRE1202 raw'!E36,0)))</f>
        <v>63</v>
      </c>
      <c r="F36" s="57">
        <f ca="1">IF('FIRE1202 raw'!F36="N/A","N/A",IF('FIRE1202 raw'!F36="..","..",ROUND('FIRE1202 raw'!F36,0)))</f>
        <v>4</v>
      </c>
      <c r="G36" s="57">
        <f ca="1">IF('FIRE1202 raw'!G36="N/A","N/A",IF('FIRE1202 raw'!G36="..","..",ROUND('FIRE1202 raw'!G36,0)))</f>
        <v>3</v>
      </c>
      <c r="H36" s="57">
        <f ca="1">IF('FIRE1202 raw'!H36="N/A","N/A",IF('FIRE1202 raw'!H36="..","..",ROUND('FIRE1202 raw'!H36,0)))</f>
        <v>1</v>
      </c>
      <c r="I36" s="57">
        <f ca="1">IF('FIRE1202 raw'!I36="N/A","N/A",IF('FIRE1202 raw'!I36="..","..",ROUND('FIRE1202 raw'!I36,0)))</f>
        <v>0</v>
      </c>
      <c r="J36" s="57">
        <f ca="1">IF('FIRE1202 raw'!J36="N/A","N/A",IF('FIRE1202 raw'!J36="..","..",ROUND('FIRE1202 raw'!J36,0)))</f>
        <v>99</v>
      </c>
      <c r="K36" s="57">
        <f ca="1">IF('FIRE1202 raw'!K36="N/A","N/A",IF('FIRE1202 raw'!K36="..","..",ROUND('FIRE1202 raw'!K36,0)))</f>
        <v>23275</v>
      </c>
      <c r="L36" s="4"/>
      <c r="N36" s="11"/>
      <c r="O36" s="11"/>
      <c r="Q36" s="11"/>
      <c r="R36" s="11"/>
      <c r="T36" s="13"/>
      <c r="U36" s="13"/>
      <c r="V36" s="13"/>
      <c r="W36" s="13"/>
      <c r="X36" s="13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36" s="5" customFormat="1" ht="15" customHeight="1" x14ac:dyDescent="0.35">
      <c r="A37" s="5" t="s">
        <v>35</v>
      </c>
      <c r="B37" s="57">
        <f ca="1">IF('FIRE1202 raw'!B37="N/A","N/A",IF('FIRE1202 raw'!B37="..","..",ROUND('FIRE1202 raw'!B37,0)))</f>
        <v>1767</v>
      </c>
      <c r="C37" s="57">
        <f ca="1">IF('FIRE1202 raw'!C37="N/A","N/A",IF('FIRE1202 raw'!C37="..","..",ROUND('FIRE1202 raw'!C37,0)))</f>
        <v>1182</v>
      </c>
      <c r="D37" s="57">
        <f ca="1">IF('FIRE1202 raw'!D37="N/A","N/A",IF('FIRE1202 raw'!D37="..","..",ROUND('FIRE1202 raw'!D37,0)))</f>
        <v>585</v>
      </c>
      <c r="E37" s="57">
        <f ca="1">IF('FIRE1202 raw'!E37="N/A","N/A",IF('FIRE1202 raw'!E37="..","..",ROUND('FIRE1202 raw'!E37,0)))</f>
        <v>563</v>
      </c>
      <c r="F37" s="57">
        <f ca="1">IF('FIRE1202 raw'!F37="N/A","N/A",IF('FIRE1202 raw'!F37="..","..",ROUND('FIRE1202 raw'!F37,0)))</f>
        <v>20</v>
      </c>
      <c r="G37" s="57">
        <f ca="1">IF('FIRE1202 raw'!G37="N/A","N/A",IF('FIRE1202 raw'!G37="..","..",ROUND('FIRE1202 raw'!G37,0)))</f>
        <v>4</v>
      </c>
      <c r="H37" s="57">
        <f ca="1">IF('FIRE1202 raw'!H37="N/A","N/A",IF('FIRE1202 raw'!H37="..","..",ROUND('FIRE1202 raw'!H37,0)))</f>
        <v>5</v>
      </c>
      <c r="I37" s="57">
        <f ca="1">IF('FIRE1202 raw'!I37="N/A","N/A",IF('FIRE1202 raw'!I37="..","..",ROUND('FIRE1202 raw'!I37,0)))</f>
        <v>0</v>
      </c>
      <c r="J37" s="57">
        <f ca="1">IF('FIRE1202 raw'!J37="N/A","N/A",IF('FIRE1202 raw'!J37="..","..",ROUND('FIRE1202 raw'!J37,0)))</f>
        <v>156</v>
      </c>
      <c r="K37" s="57">
        <f ca="1">IF('FIRE1202 raw'!K37="N/A","N/A",IF('FIRE1202 raw'!K37="..","..",ROUND('FIRE1202 raw'!K37,0)))</f>
        <v>44124</v>
      </c>
      <c r="L37" s="4"/>
      <c r="N37" s="11"/>
      <c r="O37" s="11"/>
      <c r="Q37" s="11"/>
      <c r="R37" s="11"/>
      <c r="T37" s="13"/>
      <c r="U37" s="13"/>
      <c r="V37" s="13"/>
      <c r="W37" s="13"/>
      <c r="X37" s="13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6" s="5" customFormat="1" ht="15" customHeight="1" x14ac:dyDescent="0.35">
      <c r="A38" s="5" t="s">
        <v>36</v>
      </c>
      <c r="B38" s="57">
        <f ca="1">IF('FIRE1202 raw'!B38="N/A","N/A",IF('FIRE1202 raw'!B38="..","..",ROUND('FIRE1202 raw'!B38,0)))</f>
        <v>510</v>
      </c>
      <c r="C38" s="57">
        <f ca="1">IF('FIRE1202 raw'!C38="N/A","N/A",IF('FIRE1202 raw'!C38="..","..",ROUND('FIRE1202 raw'!C38,0)))</f>
        <v>368</v>
      </c>
      <c r="D38" s="57">
        <f ca="1">IF('FIRE1202 raw'!D38="N/A","N/A",IF('FIRE1202 raw'!D38="..","..",ROUND('FIRE1202 raw'!D38,0)))</f>
        <v>142</v>
      </c>
      <c r="E38" s="57">
        <f ca="1">IF('FIRE1202 raw'!E38="N/A","N/A",IF('FIRE1202 raw'!E38="..","..",ROUND('FIRE1202 raw'!E38,0)))</f>
        <v>137</v>
      </c>
      <c r="F38" s="57">
        <f ca="1">IF('FIRE1202 raw'!F38="N/A","N/A",IF('FIRE1202 raw'!F38="..","..",ROUND('FIRE1202 raw'!F38,0)))</f>
        <v>19</v>
      </c>
      <c r="G38" s="57">
        <f ca="1">IF('FIRE1202 raw'!G38="N/A","N/A",IF('FIRE1202 raw'!G38="..","..",ROUND('FIRE1202 raw'!G38,0)))</f>
        <v>6</v>
      </c>
      <c r="H38" s="57">
        <f ca="1">IF('FIRE1202 raw'!H38="N/A","N/A",IF('FIRE1202 raw'!H38="..","..",ROUND('FIRE1202 raw'!H38,0)))</f>
        <v>0</v>
      </c>
      <c r="I38" s="57">
        <f ca="1">IF('FIRE1202 raw'!I38="N/A","N/A",IF('FIRE1202 raw'!I38="..","..",ROUND('FIRE1202 raw'!I38,0)))</f>
        <v>0</v>
      </c>
      <c r="J38" s="57">
        <f ca="1">IF('FIRE1202 raw'!J38="N/A","N/A",IF('FIRE1202 raw'!J38="..","..",ROUND('FIRE1202 raw'!J38,0)))</f>
        <v>5</v>
      </c>
      <c r="K38" s="57">
        <f ca="1">IF('FIRE1202 raw'!K38="N/A","N/A",IF('FIRE1202 raw'!K38="..","..",ROUND('FIRE1202 raw'!K38,0)))</f>
        <v>20981</v>
      </c>
      <c r="L38" s="4"/>
      <c r="N38" s="11"/>
      <c r="O38" s="11"/>
      <c r="Q38" s="11"/>
      <c r="R38" s="11"/>
      <c r="T38" s="13"/>
      <c r="U38" s="13"/>
      <c r="V38" s="13"/>
      <c r="W38" s="13"/>
      <c r="X38" s="13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6" s="5" customFormat="1" ht="15" customHeight="1" x14ac:dyDescent="0.35">
      <c r="A39" s="5" t="s">
        <v>37</v>
      </c>
      <c r="B39" s="57">
        <f ca="1">IF('FIRE1202 raw'!B39="N/A","N/A",IF('FIRE1202 raw'!B39="..","..",ROUND('FIRE1202 raw'!B39,0)))</f>
        <v>339</v>
      </c>
      <c r="C39" s="57">
        <f ca="1">IF('FIRE1202 raw'!C39="N/A","N/A",IF('FIRE1202 raw'!C39="..","..",ROUND('FIRE1202 raw'!C39,0)))</f>
        <v>226</v>
      </c>
      <c r="D39" s="57">
        <f ca="1">IF('FIRE1202 raw'!D39="N/A","N/A",IF('FIRE1202 raw'!D39="..","..",ROUND('FIRE1202 raw'!D39,0)))</f>
        <v>113</v>
      </c>
      <c r="E39" s="57">
        <f ca="1">IF('FIRE1202 raw'!E39="N/A","N/A",IF('FIRE1202 raw'!E39="..","..",ROUND('FIRE1202 raw'!E39,0)))</f>
        <v>99</v>
      </c>
      <c r="F39" s="57">
        <f ca="1">IF('FIRE1202 raw'!F39="N/A","N/A",IF('FIRE1202 raw'!F39="..","..",ROUND('FIRE1202 raw'!F39,0)))</f>
        <v>0</v>
      </c>
      <c r="G39" s="57">
        <f ca="1">IF('FIRE1202 raw'!G39="N/A","N/A",IF('FIRE1202 raw'!G39="..","..",ROUND('FIRE1202 raw'!G39,0)))</f>
        <v>1</v>
      </c>
      <c r="H39" s="57">
        <f ca="1">IF('FIRE1202 raw'!H39="N/A","N/A",IF('FIRE1202 raw'!H39="..","..",ROUND('FIRE1202 raw'!H39,0)))</f>
        <v>0</v>
      </c>
      <c r="I39" s="57">
        <f ca="1">IF('FIRE1202 raw'!I39="N/A","N/A",IF('FIRE1202 raw'!I39="..","..",ROUND('FIRE1202 raw'!I39,0)))</f>
        <v>0</v>
      </c>
      <c r="J39" s="57">
        <f ca="1">IF('FIRE1202 raw'!J39="N/A","N/A",IF('FIRE1202 raw'!J39="..","..",ROUND('FIRE1202 raw'!J39,0)))</f>
        <v>24</v>
      </c>
      <c r="K39" s="57">
        <f ca="1">IF('FIRE1202 raw'!K39="N/A","N/A",IF('FIRE1202 raw'!K39="..","..",ROUND('FIRE1202 raw'!K39,0)))</f>
        <v>8856</v>
      </c>
      <c r="L39" s="4"/>
      <c r="N39" s="11"/>
      <c r="O39" s="11"/>
      <c r="Q39" s="11"/>
      <c r="R39" s="11"/>
      <c r="T39" s="13"/>
      <c r="U39" s="13"/>
      <c r="V39" s="13"/>
      <c r="W39" s="13"/>
      <c r="X39" s="13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s="5" customFormat="1" ht="15" customHeight="1" x14ac:dyDescent="0.35">
      <c r="A40" s="4" t="s">
        <v>38</v>
      </c>
      <c r="B40" s="57">
        <f ca="1">IF('FIRE1202 raw'!B40="N/A","N/A",IF('FIRE1202 raw'!B40="..","..",ROUND('FIRE1202 raw'!B40,0)))</f>
        <v>853</v>
      </c>
      <c r="C40" s="57">
        <f ca="1">IF('FIRE1202 raw'!C40="N/A","N/A",IF('FIRE1202 raw'!C40="..","..",ROUND('FIRE1202 raw'!C40,0)))</f>
        <v>579</v>
      </c>
      <c r="D40" s="57">
        <f ca="1">IF('FIRE1202 raw'!D40="N/A","N/A",IF('FIRE1202 raw'!D40="..","..",ROUND('FIRE1202 raw'!D40,0)))</f>
        <v>274</v>
      </c>
      <c r="E40" s="57">
        <f ca="1">IF('FIRE1202 raw'!E40="N/A","N/A",IF('FIRE1202 raw'!E40="..","..",ROUND('FIRE1202 raw'!E40,0)))</f>
        <v>236</v>
      </c>
      <c r="F40" s="57">
        <f ca="1">IF('FIRE1202 raw'!F40="N/A","N/A",IF('FIRE1202 raw'!F40="..","..",ROUND('FIRE1202 raw'!F40,0)))</f>
        <v>19</v>
      </c>
      <c r="G40" s="57">
        <f ca="1">IF('FIRE1202 raw'!G40="N/A","N/A",IF('FIRE1202 raw'!G40="..","..",ROUND('FIRE1202 raw'!G40,0)))</f>
        <v>9</v>
      </c>
      <c r="H40" s="57">
        <f ca="1">IF('FIRE1202 raw'!H40="N/A","N/A",IF('FIRE1202 raw'!H40="..","..",ROUND('FIRE1202 raw'!H40,0)))</f>
        <v>0</v>
      </c>
      <c r="I40" s="57">
        <f ca="1">IF('FIRE1202 raw'!I40="N/A","N/A",IF('FIRE1202 raw'!I40="..","..",ROUND('FIRE1202 raw'!I40,0)))</f>
        <v>0</v>
      </c>
      <c r="J40" s="57">
        <f ca="1">IF('FIRE1202 raw'!J40="N/A","N/A",IF('FIRE1202 raw'!J40="..","..",ROUND('FIRE1202 raw'!J40,0)))</f>
        <v>170</v>
      </c>
      <c r="K40" s="57">
        <f ca="1">IF('FIRE1202 raw'!K40="N/A","N/A",IF('FIRE1202 raw'!K40="..","..",ROUND('FIRE1202 raw'!K40,0)))</f>
        <v>25537</v>
      </c>
      <c r="L40" s="4"/>
      <c r="N40" s="11"/>
      <c r="O40" s="11"/>
      <c r="Q40" s="11"/>
      <c r="R40" s="11"/>
      <c r="T40" s="13"/>
      <c r="U40" s="13"/>
      <c r="V40" s="13"/>
      <c r="W40" s="13"/>
      <c r="X40" s="13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s="5" customFormat="1" ht="15" customHeight="1" x14ac:dyDescent="0.35">
      <c r="A41" s="4" t="s">
        <v>39</v>
      </c>
      <c r="B41" s="57">
        <f ca="1">IF('FIRE1202 raw'!B41="N/A","N/A",IF('FIRE1202 raw'!B41="..","..",ROUND('FIRE1202 raw'!B41,0)))</f>
        <v>349</v>
      </c>
      <c r="C41" s="57">
        <f ca="1">IF('FIRE1202 raw'!C41="N/A","N/A",IF('FIRE1202 raw'!C41="..","..",ROUND('FIRE1202 raw'!C41,0)))</f>
        <v>233</v>
      </c>
      <c r="D41" s="57">
        <f ca="1">IF('FIRE1202 raw'!D41="N/A","N/A",IF('FIRE1202 raw'!D41="..","..",ROUND('FIRE1202 raw'!D41,0)))</f>
        <v>116</v>
      </c>
      <c r="E41" s="57">
        <f ca="1">IF('FIRE1202 raw'!E41="N/A","N/A",IF('FIRE1202 raw'!E41="..","..",ROUND('FIRE1202 raw'!E41,0)))</f>
        <v>98</v>
      </c>
      <c r="F41" s="57">
        <f ca="1">IF('FIRE1202 raw'!F41="N/A","N/A",IF('FIRE1202 raw'!F41="..","..",ROUND('FIRE1202 raw'!F41,0)))</f>
        <v>11</v>
      </c>
      <c r="G41" s="57">
        <f ca="1">IF('FIRE1202 raw'!G41="N/A","N/A",IF('FIRE1202 raw'!G41="..","..",ROUND('FIRE1202 raw'!G41,0)))</f>
        <v>5</v>
      </c>
      <c r="H41" s="57">
        <f ca="1">IF('FIRE1202 raw'!H41="N/A","N/A",IF('FIRE1202 raw'!H41="..","..",ROUND('FIRE1202 raw'!H41,0)))</f>
        <v>1</v>
      </c>
      <c r="I41" s="57">
        <f ca="1">IF('FIRE1202 raw'!I41="N/A","N/A",IF('FIRE1202 raw'!I41="..","..",ROUND('FIRE1202 raw'!I41,0)))</f>
        <v>2</v>
      </c>
      <c r="J41" s="57">
        <f ca="1">IF('FIRE1202 raw'!J41="N/A","N/A",IF('FIRE1202 raw'!J41="..","..",ROUND('FIRE1202 raw'!J41,0)))</f>
        <v>65</v>
      </c>
      <c r="K41" s="57">
        <f ca="1">IF('FIRE1202 raw'!K41="N/A","N/A",IF('FIRE1202 raw'!K41="..","..",ROUND('FIRE1202 raw'!K41,0)))</f>
        <v>19804</v>
      </c>
      <c r="L41" s="4"/>
      <c r="N41" s="11"/>
      <c r="O41" s="11"/>
      <c r="Q41" s="11"/>
      <c r="R41" s="11"/>
      <c r="T41" s="13"/>
      <c r="U41" s="13"/>
      <c r="V41" s="13"/>
      <c r="W41" s="13"/>
      <c r="X41" s="13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s="5" customFormat="1" ht="15" customHeight="1" x14ac:dyDescent="0.35">
      <c r="A42" s="4" t="s">
        <v>40</v>
      </c>
      <c r="B42" s="57">
        <f ca="1">IF('FIRE1202 raw'!B42="N/A","N/A",IF('FIRE1202 raw'!B42="..","..",ROUND('FIRE1202 raw'!B42,0)))</f>
        <v>451</v>
      </c>
      <c r="C42" s="57">
        <f ca="1">IF('FIRE1202 raw'!C42="N/A","N/A",IF('FIRE1202 raw'!C42="..","..",ROUND('FIRE1202 raw'!C42,0)))</f>
        <v>344</v>
      </c>
      <c r="D42" s="57">
        <f ca="1">IF('FIRE1202 raw'!D42="N/A","N/A",IF('FIRE1202 raw'!D42="..","..",ROUND('FIRE1202 raw'!D42,0)))</f>
        <v>107</v>
      </c>
      <c r="E42" s="57">
        <f ca="1">IF('FIRE1202 raw'!E42="N/A","N/A",IF('FIRE1202 raw'!E42="..","..",ROUND('FIRE1202 raw'!E42,0)))</f>
        <v>98</v>
      </c>
      <c r="F42" s="57">
        <f ca="1">IF('FIRE1202 raw'!F42="N/A","N/A",IF('FIRE1202 raw'!F42="..","..",ROUND('FIRE1202 raw'!F42,0)))</f>
        <v>2</v>
      </c>
      <c r="G42" s="57">
        <f ca="1">IF('FIRE1202 raw'!G42="N/A","N/A",IF('FIRE1202 raw'!G42="..","..",ROUND('FIRE1202 raw'!G42,0)))</f>
        <v>8</v>
      </c>
      <c r="H42" s="57">
        <f ca="1">IF('FIRE1202 raw'!H42="N/A","N/A",IF('FIRE1202 raw'!H42="..","..",ROUND('FIRE1202 raw'!H42,0)))</f>
        <v>0</v>
      </c>
      <c r="I42" s="57">
        <f ca="1">IF('FIRE1202 raw'!I42="N/A","N/A",IF('FIRE1202 raw'!I42="..","..",ROUND('FIRE1202 raw'!I42,0)))</f>
        <v>0</v>
      </c>
      <c r="J42" s="57">
        <f ca="1">IF('FIRE1202 raw'!J42="N/A","N/A",IF('FIRE1202 raw'!J42="..","..",ROUND('FIRE1202 raw'!J42,0)))</f>
        <v>79</v>
      </c>
      <c r="K42" s="57">
        <f ca="1">IF('FIRE1202 raw'!K42="N/A","N/A",IF('FIRE1202 raw'!K42="..","..",ROUND('FIRE1202 raw'!K42,0)))</f>
        <v>14709</v>
      </c>
      <c r="L42" s="4"/>
      <c r="N42" s="11"/>
      <c r="O42" s="11"/>
      <c r="Q42" s="11"/>
      <c r="R42" s="11"/>
      <c r="T42" s="13"/>
      <c r="U42" s="13"/>
      <c r="V42" s="13"/>
      <c r="W42" s="13"/>
      <c r="X42" s="13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s="5" customFormat="1" ht="15" customHeight="1" x14ac:dyDescent="0.35">
      <c r="A43" s="4" t="s">
        <v>42</v>
      </c>
      <c r="B43" s="57">
        <f ca="1">IF('FIRE1202 raw'!B43="N/A","N/A",IF('FIRE1202 raw'!B43="..","..",ROUND('FIRE1202 raw'!B43,0)))</f>
        <v>416</v>
      </c>
      <c r="C43" s="57">
        <f ca="1">IF('FIRE1202 raw'!C43="N/A","N/A",IF('FIRE1202 raw'!C43="..","..",ROUND('FIRE1202 raw'!C43,0)))</f>
        <v>249</v>
      </c>
      <c r="D43" s="57">
        <f ca="1">IF('FIRE1202 raw'!D43="N/A","N/A",IF('FIRE1202 raw'!D43="..","..",ROUND('FIRE1202 raw'!D43,0)))</f>
        <v>167</v>
      </c>
      <c r="E43" s="57">
        <f ca="1">IF('FIRE1202 raw'!E43="N/A","N/A",IF('FIRE1202 raw'!E43="..","..",ROUND('FIRE1202 raw'!E43,0)))</f>
        <v>162</v>
      </c>
      <c r="F43" s="57">
        <f ca="1">IF('FIRE1202 raw'!F43="N/A","N/A",IF('FIRE1202 raw'!F43="..","..",ROUND('FIRE1202 raw'!F43,0)))</f>
        <v>9</v>
      </c>
      <c r="G43" s="57">
        <f ca="1">IF('FIRE1202 raw'!G43="N/A","N/A",IF('FIRE1202 raw'!G43="..","..",ROUND('FIRE1202 raw'!G43,0)))</f>
        <v>4</v>
      </c>
      <c r="H43" s="57">
        <f ca="1">IF('FIRE1202 raw'!H43="N/A","N/A",IF('FIRE1202 raw'!H43="..","..",ROUND('FIRE1202 raw'!H43,0)))</f>
        <v>0</v>
      </c>
      <c r="I43" s="57">
        <f ca="1">IF('FIRE1202 raw'!I43="N/A","N/A",IF('FIRE1202 raw'!I43="..","..",ROUND('FIRE1202 raw'!I43,0)))</f>
        <v>0</v>
      </c>
      <c r="J43" s="57">
        <f ca="1">IF('FIRE1202 raw'!J43="N/A","N/A",IF('FIRE1202 raw'!J43="..","..",ROUND('FIRE1202 raw'!J43,0)))</f>
        <v>0</v>
      </c>
      <c r="K43" s="57">
        <f ca="1">IF('FIRE1202 raw'!K43="N/A","N/A",IF('FIRE1202 raw'!K43="..","..",ROUND('FIRE1202 raw'!K43,0)))</f>
        <v>26218</v>
      </c>
      <c r="L43" s="4"/>
      <c r="N43" s="11"/>
      <c r="O43" s="11"/>
      <c r="Q43" s="11"/>
      <c r="R43" s="11"/>
      <c r="T43" s="13"/>
      <c r="U43" s="13"/>
      <c r="V43" s="13"/>
      <c r="W43" s="13"/>
      <c r="X43" s="13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 s="5" customFormat="1" ht="15" customHeight="1" x14ac:dyDescent="0.35">
      <c r="A44" s="4" t="s">
        <v>43</v>
      </c>
      <c r="B44" s="57">
        <f ca="1">IF('FIRE1202 raw'!B44="N/A","N/A",IF('FIRE1202 raw'!B44="..","..",ROUND('FIRE1202 raw'!B44,0)))</f>
        <v>294</v>
      </c>
      <c r="C44" s="57">
        <f ca="1">IF('FIRE1202 raw'!C44="N/A","N/A",IF('FIRE1202 raw'!C44="..","..",ROUND('FIRE1202 raw'!C44,0)))</f>
        <v>210</v>
      </c>
      <c r="D44" s="57">
        <f ca="1">IF('FIRE1202 raw'!D44="N/A","N/A",IF('FIRE1202 raw'!D44="..","..",ROUND('FIRE1202 raw'!D44,0)))</f>
        <v>84</v>
      </c>
      <c r="E44" s="57">
        <f ca="1">IF('FIRE1202 raw'!E44="N/A","N/A",IF('FIRE1202 raw'!E44="..","..",ROUND('FIRE1202 raw'!E44,0)))</f>
        <v>81</v>
      </c>
      <c r="F44" s="57">
        <f ca="1">IF('FIRE1202 raw'!F44="N/A","N/A",IF('FIRE1202 raw'!F44="..","..",ROUND('FIRE1202 raw'!F44,0)))</f>
        <v>2</v>
      </c>
      <c r="G44" s="57">
        <f ca="1">IF('FIRE1202 raw'!G44="N/A","N/A",IF('FIRE1202 raw'!G44="..","..",ROUND('FIRE1202 raw'!G44,0)))</f>
        <v>9</v>
      </c>
      <c r="H44" s="57">
        <f ca="1">IF('FIRE1202 raw'!H44="N/A","N/A",IF('FIRE1202 raw'!H44="..","..",ROUND('FIRE1202 raw'!H44,0)))</f>
        <v>0</v>
      </c>
      <c r="I44" s="57">
        <f ca="1">IF('FIRE1202 raw'!I44="N/A","N/A",IF('FIRE1202 raw'!I44="..","..",ROUND('FIRE1202 raw'!I44,0)))</f>
        <v>0</v>
      </c>
      <c r="J44" s="57">
        <f ca="1">IF('FIRE1202 raw'!J44="N/A","N/A",IF('FIRE1202 raw'!J44="..","..",ROUND('FIRE1202 raw'!J44,0)))</f>
        <v>13</v>
      </c>
      <c r="K44" s="57">
        <f ca="1">IF('FIRE1202 raw'!K44="N/A","N/A",IF('FIRE1202 raw'!K44="..","..",ROUND('FIRE1202 raw'!K44,0)))</f>
        <v>49187</v>
      </c>
      <c r="L44" s="4"/>
      <c r="N44" s="11"/>
      <c r="O44" s="11"/>
      <c r="Q44" s="11"/>
      <c r="R44" s="11"/>
      <c r="T44" s="13"/>
      <c r="U44" s="13"/>
      <c r="V44" s="13"/>
      <c r="W44" s="13"/>
      <c r="X44" s="13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s="5" customFormat="1" ht="15" customHeight="1" x14ac:dyDescent="0.35">
      <c r="A45" s="4" t="s">
        <v>44</v>
      </c>
      <c r="B45" s="57">
        <f ca="1">IF('FIRE1202 raw'!B45="N/A","N/A",IF('FIRE1202 raw'!B45="..","..",ROUND('FIRE1202 raw'!B45,0)))</f>
        <v>1525</v>
      </c>
      <c r="C45" s="57">
        <f ca="1">IF('FIRE1202 raw'!C45="N/A","N/A",IF('FIRE1202 raw'!C45="..","..",ROUND('FIRE1202 raw'!C45,0)))</f>
        <v>1162</v>
      </c>
      <c r="D45" s="57">
        <f ca="1">IF('FIRE1202 raw'!D45="N/A","N/A",IF('FIRE1202 raw'!D45="..","..",ROUND('FIRE1202 raw'!D45,0)))</f>
        <v>363</v>
      </c>
      <c r="E45" s="57">
        <f ca="1">IF('FIRE1202 raw'!E45="N/A","N/A",IF('FIRE1202 raw'!E45="..","..",ROUND('FIRE1202 raw'!E45,0)))</f>
        <v>330</v>
      </c>
      <c r="F45" s="57">
        <f ca="1">IF('FIRE1202 raw'!F45="N/A","N/A",IF('FIRE1202 raw'!F45="..","..",ROUND('FIRE1202 raw'!F45,0)))</f>
        <v>8</v>
      </c>
      <c r="G45" s="57">
        <f ca="1">IF('FIRE1202 raw'!G45="N/A","N/A",IF('FIRE1202 raw'!G45="..","..",ROUND('FIRE1202 raw'!G45,0)))</f>
        <v>4</v>
      </c>
      <c r="H45" s="57">
        <f ca="1">IF('FIRE1202 raw'!H45="N/A","N/A",IF('FIRE1202 raw'!H45="..","..",ROUND('FIRE1202 raw'!H45,0)))</f>
        <v>1</v>
      </c>
      <c r="I45" s="57">
        <f ca="1">IF('FIRE1202 raw'!I45="N/A","N/A",IF('FIRE1202 raw'!I45="..","..",ROUND('FIRE1202 raw'!I45,0)))</f>
        <v>0</v>
      </c>
      <c r="J45" s="57">
        <f ca="1">IF('FIRE1202 raw'!J45="N/A","N/A",IF('FIRE1202 raw'!J45="..","..",ROUND('FIRE1202 raw'!J45,0)))</f>
        <v>3</v>
      </c>
      <c r="K45" s="57">
        <f ca="1">IF('FIRE1202 raw'!K45="N/A","N/A",IF('FIRE1202 raw'!K45="..","..",ROUND('FIRE1202 raw'!K45,0)))</f>
        <v>29076</v>
      </c>
      <c r="L45" s="4"/>
      <c r="N45" s="11"/>
      <c r="O45" s="11"/>
      <c r="Q45" s="11"/>
      <c r="R45" s="11"/>
      <c r="T45" s="13"/>
      <c r="U45" s="13"/>
      <c r="V45" s="13"/>
      <c r="W45" s="13"/>
      <c r="X45" s="13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s="5" customFormat="1" ht="15" customHeight="1" x14ac:dyDescent="0.35">
      <c r="A46" s="4" t="s">
        <v>46</v>
      </c>
      <c r="B46" s="57">
        <f ca="1">IF('FIRE1202 raw'!B46="N/A","N/A",IF('FIRE1202 raw'!B46="..","..",ROUND('FIRE1202 raw'!B46,0)))</f>
        <v>513</v>
      </c>
      <c r="C46" s="57">
        <f ca="1">IF('FIRE1202 raw'!C46="N/A","N/A",IF('FIRE1202 raw'!C46="..","..",ROUND('FIRE1202 raw'!C46,0)))</f>
        <v>307</v>
      </c>
      <c r="D46" s="57">
        <f ca="1">IF('FIRE1202 raw'!D46="N/A","N/A",IF('FIRE1202 raw'!D46="..","..",ROUND('FIRE1202 raw'!D46,0)))</f>
        <v>206</v>
      </c>
      <c r="E46" s="57">
        <f ca="1">IF('FIRE1202 raw'!E46="N/A","N/A",IF('FIRE1202 raw'!E46="..","..",ROUND('FIRE1202 raw'!E46,0)))</f>
        <v>189</v>
      </c>
      <c r="F46" s="57">
        <f ca="1">IF('FIRE1202 raw'!F46="N/A","N/A",IF('FIRE1202 raw'!F46="..","..",ROUND('FIRE1202 raw'!F46,0)))</f>
        <v>16</v>
      </c>
      <c r="G46" s="57">
        <f ca="1">IF('FIRE1202 raw'!G46="N/A","N/A",IF('FIRE1202 raw'!G46="..","..",ROUND('FIRE1202 raw'!G46,0)))</f>
        <v>11</v>
      </c>
      <c r="H46" s="57">
        <f ca="1">IF('FIRE1202 raw'!H46="N/A","N/A",IF('FIRE1202 raw'!H46="..","..",ROUND('FIRE1202 raw'!H46,0)))</f>
        <v>0</v>
      </c>
      <c r="I46" s="57">
        <f ca="1">IF('FIRE1202 raw'!I46="N/A","N/A",IF('FIRE1202 raw'!I46="..","..",ROUND('FIRE1202 raw'!I46,0)))</f>
        <v>0</v>
      </c>
      <c r="J46" s="57">
        <f ca="1">IF('FIRE1202 raw'!J46="N/A","N/A",IF('FIRE1202 raw'!J46="..","..",ROUND('FIRE1202 raw'!J46,0)))</f>
        <v>19</v>
      </c>
      <c r="K46" s="57">
        <f ca="1">IF('FIRE1202 raw'!K46="N/A","N/A",IF('FIRE1202 raw'!K46="..","..",ROUND('FIRE1202 raw'!K46,0)))</f>
        <v>13060</v>
      </c>
      <c r="L46" s="4"/>
      <c r="N46" s="11"/>
      <c r="O46" s="11"/>
      <c r="Q46" s="11"/>
      <c r="R46" s="11"/>
      <c r="T46" s="13"/>
      <c r="U46" s="13"/>
      <c r="V46" s="13"/>
      <c r="W46" s="13"/>
      <c r="X46" s="13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s="5" customFormat="1" ht="15" customHeight="1" x14ac:dyDescent="0.35">
      <c r="A47" s="4" t="s">
        <v>48</v>
      </c>
      <c r="B47" s="57">
        <f ca="1">IF('FIRE1202 raw'!B47="N/A","N/A",IF('FIRE1202 raw'!B47="..","..",ROUND('FIRE1202 raw'!B47,0)))</f>
        <v>439</v>
      </c>
      <c r="C47" s="57">
        <f ca="1">IF('FIRE1202 raw'!C47="N/A","N/A",IF('FIRE1202 raw'!C47="..","..",ROUND('FIRE1202 raw'!C47,0)))</f>
        <v>400</v>
      </c>
      <c r="D47" s="57">
        <f ca="1">IF('FIRE1202 raw'!D47="N/A","N/A",IF('FIRE1202 raw'!D47="..","..",ROUND('FIRE1202 raw'!D47,0)))</f>
        <v>39</v>
      </c>
      <c r="E47" s="57">
        <f ca="1">IF('FIRE1202 raw'!E47="N/A","N/A",IF('FIRE1202 raw'!E47="..","..",ROUND('FIRE1202 raw'!E47,0)))</f>
        <v>136</v>
      </c>
      <c r="F47" s="57">
        <f ca="1">IF('FIRE1202 raw'!F47="N/A","N/A",IF('FIRE1202 raw'!F47="..","..",ROUND('FIRE1202 raw'!F47,0)))</f>
        <v>8</v>
      </c>
      <c r="G47" s="57">
        <f ca="1">IF('FIRE1202 raw'!G47="N/A","N/A",IF('FIRE1202 raw'!G47="..","..",ROUND('FIRE1202 raw'!G47,0)))</f>
        <v>6</v>
      </c>
      <c r="H47" s="57">
        <f ca="1">IF('FIRE1202 raw'!H47="N/A","N/A",IF('FIRE1202 raw'!H47="..","..",ROUND('FIRE1202 raw'!H47,0)))</f>
        <v>1</v>
      </c>
      <c r="I47" s="57">
        <f ca="1">IF('FIRE1202 raw'!I47="N/A","N/A",IF('FIRE1202 raw'!I47="..","..",ROUND('FIRE1202 raw'!I47,0)))</f>
        <v>0</v>
      </c>
      <c r="J47" s="57">
        <f ca="1">IF('FIRE1202 raw'!J47="N/A","N/A",IF('FIRE1202 raw'!J47="..","..",ROUND('FIRE1202 raw'!J47,0)))</f>
        <v>34</v>
      </c>
      <c r="K47" s="57">
        <f ca="1">IF('FIRE1202 raw'!K47="N/A","N/A",IF('FIRE1202 raw'!K47="..","..",ROUND('FIRE1202 raw'!K47,0)))</f>
        <v>20799</v>
      </c>
      <c r="L47" s="4"/>
      <c r="N47" s="11"/>
      <c r="O47" s="11"/>
      <c r="Q47" s="11"/>
      <c r="R47" s="11"/>
      <c r="T47" s="13"/>
      <c r="U47" s="13"/>
      <c r="V47" s="13"/>
      <c r="W47" s="13"/>
      <c r="X47" s="13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1:36" s="5" customFormat="1" ht="15" customHeight="1" x14ac:dyDescent="0.35">
      <c r="A48" s="4" t="s">
        <v>123</v>
      </c>
      <c r="B48" s="57" t="str">
        <f ca="1">IF('FIRE1202 raw'!B48="N/A","N/A",IF('FIRE1202 raw'!B48="..","..",ROUND('FIRE1202 raw'!B48,0)))</f>
        <v>..</v>
      </c>
      <c r="C48" s="57" t="str">
        <f ca="1">IF('FIRE1202 raw'!C48="N/A","N/A",IF('FIRE1202 raw'!C48="..","..",ROUND('FIRE1202 raw'!C48,0)))</f>
        <v>..</v>
      </c>
      <c r="D48" s="57" t="str">
        <f ca="1">IF('FIRE1202 raw'!D48="N/A","N/A",IF('FIRE1202 raw'!D48="..","..",ROUND('FIRE1202 raw'!D48,0)))</f>
        <v>..</v>
      </c>
      <c r="E48" s="57" t="str">
        <f ca="1">IF('FIRE1202 raw'!E48="N/A","N/A",IF('FIRE1202 raw'!E48="..","..",ROUND('FIRE1202 raw'!E48,0)))</f>
        <v>..</v>
      </c>
      <c r="F48" s="57" t="str">
        <f ca="1">IF('FIRE1202 raw'!F48="N/A","N/A",IF('FIRE1202 raw'!F48="..","..",ROUND('FIRE1202 raw'!F48,0)))</f>
        <v>..</v>
      </c>
      <c r="G48" s="57" t="str">
        <f ca="1">IF('FIRE1202 raw'!G48="N/A","N/A",IF('FIRE1202 raw'!G48="..","..",ROUND('FIRE1202 raw'!G48,0)))</f>
        <v>..</v>
      </c>
      <c r="H48" s="57" t="str">
        <f ca="1">IF('FIRE1202 raw'!H48="N/A","N/A",IF('FIRE1202 raw'!H48="..","..",ROUND('FIRE1202 raw'!H48,0)))</f>
        <v>..</v>
      </c>
      <c r="I48" s="57" t="str">
        <f ca="1">IF('FIRE1202 raw'!I48="N/A","N/A",IF('FIRE1202 raw'!I48="..","..",ROUND('FIRE1202 raw'!I48,0)))</f>
        <v>..</v>
      </c>
      <c r="J48" s="57" t="str">
        <f ca="1">IF('FIRE1202 raw'!J48="N/A","N/A",IF('FIRE1202 raw'!J48="..","..",ROUND('FIRE1202 raw'!J48,0)))</f>
        <v>..</v>
      </c>
      <c r="K48" s="57" t="str">
        <f ca="1">IF('FIRE1202 raw'!K48="N/A","N/A",IF('FIRE1202 raw'!K48="..","..",ROUND('FIRE1202 raw'!K48,0)))</f>
        <v>..</v>
      </c>
      <c r="L48" s="4"/>
      <c r="N48" s="11"/>
      <c r="O48" s="11"/>
      <c r="Q48" s="11"/>
      <c r="R48" s="11"/>
      <c r="T48" s="13"/>
      <c r="U48" s="13"/>
      <c r="V48" s="13"/>
      <c r="W48" s="13"/>
      <c r="X48" s="13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1:36" s="5" customFormat="1" ht="15" customHeight="1" x14ac:dyDescent="0.35">
      <c r="A49" s="4" t="s">
        <v>28</v>
      </c>
      <c r="B49" s="57">
        <f ca="1">IF('FIRE1202 raw'!B49="N/A","N/A",IF('FIRE1202 raw'!B49="..","..",ROUND('FIRE1202 raw'!B49,0)))</f>
        <v>0</v>
      </c>
      <c r="C49" s="57">
        <f ca="1">IF('FIRE1202 raw'!C49="N/A","N/A",IF('FIRE1202 raw'!C49="..","..",ROUND('FIRE1202 raw'!C49,0)))</f>
        <v>0</v>
      </c>
      <c r="D49" s="57">
        <f ca="1">IF('FIRE1202 raw'!D49="N/A","N/A",IF('FIRE1202 raw'!D49="..","..",ROUND('FIRE1202 raw'!D49,0)))</f>
        <v>0</v>
      </c>
      <c r="E49" s="57">
        <f ca="1">IF('FIRE1202 raw'!E49="N/A","N/A",IF('FIRE1202 raw'!E49="..","..",ROUND('FIRE1202 raw'!E49,0)))</f>
        <v>0</v>
      </c>
      <c r="F49" s="57">
        <f ca="1">IF('FIRE1202 raw'!F49="N/A","N/A",IF('FIRE1202 raw'!F49="..","..",ROUND('FIRE1202 raw'!F49,0)))</f>
        <v>0</v>
      </c>
      <c r="G49" s="57">
        <f ca="1">IF('FIRE1202 raw'!G49="N/A","N/A",IF('FIRE1202 raw'!G49="..","..",ROUND('FIRE1202 raw'!G49,0)))</f>
        <v>0</v>
      </c>
      <c r="H49" s="57">
        <f ca="1">IF('FIRE1202 raw'!H49="N/A","N/A",IF('FIRE1202 raw'!H49="..","..",ROUND('FIRE1202 raw'!H49,0)))</f>
        <v>0</v>
      </c>
      <c r="I49" s="57">
        <f ca="1">IF('FIRE1202 raw'!I49="N/A","N/A",IF('FIRE1202 raw'!I49="..","..",ROUND('FIRE1202 raw'!I49,0)))</f>
        <v>0</v>
      </c>
      <c r="J49" s="57">
        <f ca="1">IF('FIRE1202 raw'!J49="N/A","N/A",IF('FIRE1202 raw'!J49="..","..",ROUND('FIRE1202 raw'!J49,0)))</f>
        <v>0</v>
      </c>
      <c r="K49" s="57">
        <f ca="1">IF('FIRE1202 raw'!K49="N/A","N/A",IF('FIRE1202 raw'!K49="..","..",ROUND('FIRE1202 raw'!K49,0)))</f>
        <v>0</v>
      </c>
      <c r="L49" s="4"/>
      <c r="N49" s="11"/>
      <c r="O49" s="11"/>
      <c r="Q49" s="11"/>
      <c r="R49" s="11"/>
      <c r="T49" s="13"/>
      <c r="U49" s="13"/>
      <c r="V49" s="13"/>
      <c r="W49" s="13"/>
      <c r="X49" s="13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1:36" s="5" customFormat="1" ht="15" customHeight="1" x14ac:dyDescent="0.35">
      <c r="A50" s="24" t="s">
        <v>3</v>
      </c>
      <c r="B50" s="15">
        <f ca="1">IF('FIRE1202 raw'!B50="N/A","N/A",IF('FIRE1202 raw'!B50="..","..",ROUND('FIRE1202 raw'!B50,0)))</f>
        <v>19125</v>
      </c>
      <c r="C50" s="15">
        <f ca="1">IF('FIRE1202 raw'!C50="N/A","N/A",IF('FIRE1202 raw'!C50="..","..",ROUND('FIRE1202 raw'!C50,0)))</f>
        <v>12729</v>
      </c>
      <c r="D50" s="15">
        <f ca="1">IF('FIRE1202 raw'!D50="N/A","N/A",IF('FIRE1202 raw'!D50="..","..",ROUND('FIRE1202 raw'!D50,0)))</f>
        <v>6396</v>
      </c>
      <c r="E50" s="15">
        <f ca="1">IF('FIRE1202 raw'!E50="N/A","N/A",IF('FIRE1202 raw'!E50="..","..",ROUND('FIRE1202 raw'!E50,0)))</f>
        <v>6701</v>
      </c>
      <c r="F50" s="15">
        <f ca="1">IF('FIRE1202 raw'!F50="N/A","N/A",IF('FIRE1202 raw'!F50="..","..",ROUND('FIRE1202 raw'!F50,0)))</f>
        <v>672</v>
      </c>
      <c r="G50" s="15">
        <f ca="1">IF('FIRE1202 raw'!G50="N/A","N/A",IF('FIRE1202 raw'!G50="..","..",ROUND('FIRE1202 raw'!G50,0)))</f>
        <v>220</v>
      </c>
      <c r="H50" s="15">
        <f ca="1">IF('FIRE1202 raw'!H50="N/A","N/A",IF('FIRE1202 raw'!H50="..","..",ROUND('FIRE1202 raw'!H50,0)))</f>
        <v>41</v>
      </c>
      <c r="I50" s="15">
        <f ca="1">IF('FIRE1202 raw'!I50="N/A","N/A",IF('FIRE1202 raw'!I50="..","..",ROUND('FIRE1202 raw'!I50,0)))</f>
        <v>9</v>
      </c>
      <c r="J50" s="15">
        <f ca="1">IF('FIRE1202 raw'!J50="N/A","N/A",IF('FIRE1202 raw'!J50="..","..",ROUND('FIRE1202 raw'!J50,0)))</f>
        <v>956</v>
      </c>
      <c r="K50" s="15">
        <f ca="1">IF('FIRE1202 raw'!K50="N/A","N/A",IF('FIRE1202 raw'!K50="..","..",ROUND('FIRE1202 raw'!K50,0)))</f>
        <v>566095</v>
      </c>
      <c r="L50" s="4"/>
      <c r="N50" s="11"/>
      <c r="O50" s="11"/>
      <c r="Q50" s="11"/>
      <c r="R50" s="11"/>
      <c r="T50" s="13"/>
      <c r="U50" s="13"/>
      <c r="V50" s="13"/>
      <c r="W50" s="13"/>
      <c r="X50" s="13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1:36" s="5" customFormat="1" ht="15" customHeight="1" x14ac:dyDescent="0.35">
      <c r="A51" s="58" t="s">
        <v>22</v>
      </c>
      <c r="B51" s="57">
        <f ca="1">IF('FIRE1202 raw'!B51="N/A","N/A",IF('FIRE1202 raw'!B51="..","..",ROUND('FIRE1202 raw'!B51,0)))</f>
        <v>1248</v>
      </c>
      <c r="C51" s="57">
        <f ca="1">IF('FIRE1202 raw'!C51="N/A","N/A",IF('FIRE1202 raw'!C51="..","..",ROUND('FIRE1202 raw'!C51,0)))</f>
        <v>554</v>
      </c>
      <c r="D51" s="57">
        <f ca="1">IF('FIRE1202 raw'!D51="N/A","N/A",IF('FIRE1202 raw'!D51="..","..",ROUND('FIRE1202 raw'!D51,0)))</f>
        <v>694</v>
      </c>
      <c r="E51" s="57">
        <f ca="1">IF('FIRE1202 raw'!E51="N/A","N/A",IF('FIRE1202 raw'!E51="..","..",ROUND('FIRE1202 raw'!E51,0)))</f>
        <v>579</v>
      </c>
      <c r="F51" s="57">
        <f ca="1">IF('FIRE1202 raw'!F51="N/A","N/A",IF('FIRE1202 raw'!F51="..","..",ROUND('FIRE1202 raw'!F51,0)))</f>
        <v>103</v>
      </c>
      <c r="G51" s="57">
        <f ca="1">IF('FIRE1202 raw'!G51="N/A","N/A",IF('FIRE1202 raw'!G51="..","..",ROUND('FIRE1202 raw'!G51,0)))</f>
        <v>38</v>
      </c>
      <c r="H51" s="57">
        <f ca="1">IF('FIRE1202 raw'!H51="N/A","N/A",IF('FIRE1202 raw'!H51="..","..",ROUND('FIRE1202 raw'!H51,0)))</f>
        <v>7</v>
      </c>
      <c r="I51" s="57">
        <f ca="1">IF('FIRE1202 raw'!I51="N/A","N/A",IF('FIRE1202 raw'!I51="..","..",ROUND('FIRE1202 raw'!I51,0)))</f>
        <v>0</v>
      </c>
      <c r="J51" s="57">
        <f ca="1">IF('FIRE1202 raw'!J51="N/A","N/A",IF('FIRE1202 raw'!J51="..","..",ROUND('FIRE1202 raw'!J51,0)))</f>
        <v>19</v>
      </c>
      <c r="K51" s="57">
        <f ca="1">IF('FIRE1202 raw'!K51="N/A","N/A",IF('FIRE1202 raw'!K51="..","..",ROUND('FIRE1202 raw'!K51,0)))</f>
        <v>112713</v>
      </c>
      <c r="L51" s="4"/>
      <c r="N51" s="11"/>
      <c r="O51" s="11"/>
      <c r="Q51" s="11"/>
      <c r="R51" s="11"/>
      <c r="T51" s="13"/>
      <c r="U51" s="13"/>
      <c r="V51" s="13"/>
      <c r="W51" s="13"/>
      <c r="X51" s="13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1:36" s="5" customFormat="1" ht="15" customHeight="1" x14ac:dyDescent="0.35">
      <c r="A52" s="58" t="s">
        <v>33</v>
      </c>
      <c r="B52" s="57">
        <f ca="1">IF('FIRE1202 raw'!B52="N/A","N/A",IF('FIRE1202 raw'!B52="..","..",ROUND('FIRE1202 raw'!B52,0)))</f>
        <v>908</v>
      </c>
      <c r="C52" s="57">
        <f ca="1">IF('FIRE1202 raw'!C52="N/A","N/A",IF('FIRE1202 raw'!C52="..","..",ROUND('FIRE1202 raw'!C52,0)))</f>
        <v>824</v>
      </c>
      <c r="D52" s="57">
        <f ca="1">IF('FIRE1202 raw'!D52="N/A","N/A",IF('FIRE1202 raw'!D52="..","..",ROUND('FIRE1202 raw'!D52,0)))</f>
        <v>84</v>
      </c>
      <c r="E52" s="57">
        <f ca="1">IF('FIRE1202 raw'!E52="N/A","N/A",IF('FIRE1202 raw'!E52="..","..",ROUND('FIRE1202 raw'!E52,0)))</f>
        <v>47</v>
      </c>
      <c r="F52" s="57">
        <f ca="1">IF('FIRE1202 raw'!F52="N/A","N/A",IF('FIRE1202 raw'!F52="..","..",ROUND('FIRE1202 raw'!F52,0)))</f>
        <v>37</v>
      </c>
      <c r="G52" s="57">
        <f ca="1">IF('FIRE1202 raw'!G52="N/A","N/A",IF('FIRE1202 raw'!G52="..","..",ROUND('FIRE1202 raw'!G52,0)))</f>
        <v>30</v>
      </c>
      <c r="H52" s="57">
        <f ca="1">IF('FIRE1202 raw'!H52="N/A","N/A",IF('FIRE1202 raw'!H52="..","..",ROUND('FIRE1202 raw'!H52,0)))</f>
        <v>0</v>
      </c>
      <c r="I52" s="57">
        <f ca="1">IF('FIRE1202 raw'!I52="N/A","N/A",IF('FIRE1202 raw'!I52="..","..",ROUND('FIRE1202 raw'!I52,0)))</f>
        <v>1</v>
      </c>
      <c r="J52" s="57">
        <f ca="1">IF('FIRE1202 raw'!J52="N/A","N/A",IF('FIRE1202 raw'!J52="..","..",ROUND('FIRE1202 raw'!J52,0)))</f>
        <v>46</v>
      </c>
      <c r="K52" s="57">
        <f ca="1">IF('FIRE1202 raw'!K52="N/A","N/A",IF('FIRE1202 raw'!K52="..","..",ROUND('FIRE1202 raw'!K52,0)))</f>
        <v>30427</v>
      </c>
      <c r="L52" s="4"/>
      <c r="N52" s="11"/>
      <c r="O52" s="11"/>
      <c r="Q52" s="11"/>
      <c r="R52" s="11"/>
      <c r="T52" s="13"/>
      <c r="U52" s="13"/>
      <c r="V52" s="13"/>
      <c r="W52" s="13"/>
      <c r="X52" s="13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1:36" s="5" customFormat="1" ht="15" customHeight="1" x14ac:dyDescent="0.35">
      <c r="A53" s="58" t="s">
        <v>41</v>
      </c>
      <c r="B53" s="57">
        <f ca="1">IF('FIRE1202 raw'!B53="N/A","N/A",IF('FIRE1202 raw'!B53="..","..",ROUND('FIRE1202 raw'!B53,0)))</f>
        <v>1454</v>
      </c>
      <c r="C53" s="57">
        <f ca="1">IF('FIRE1202 raw'!C53="N/A","N/A",IF('FIRE1202 raw'!C53="..","..",ROUND('FIRE1202 raw'!C53,0)))</f>
        <v>383</v>
      </c>
      <c r="D53" s="57">
        <f ca="1">IF('FIRE1202 raw'!D53="N/A","N/A",IF('FIRE1202 raw'!D53="..","..",ROUND('FIRE1202 raw'!D53,0)))</f>
        <v>1071</v>
      </c>
      <c r="E53" s="57">
        <f ca="1">IF('FIRE1202 raw'!E53="N/A","N/A",IF('FIRE1202 raw'!E53="..","..",ROUND('FIRE1202 raw'!E53,0)))</f>
        <v>876</v>
      </c>
      <c r="F53" s="57">
        <f ca="1">IF('FIRE1202 raw'!F53="N/A","N/A",IF('FIRE1202 raw'!F53="..","..",ROUND('FIRE1202 raw'!F53,0)))</f>
        <v>31</v>
      </c>
      <c r="G53" s="57">
        <f ca="1">IF('FIRE1202 raw'!G53="N/A","N/A",IF('FIRE1202 raw'!G53="..","..",ROUND('FIRE1202 raw'!G53,0)))</f>
        <v>17</v>
      </c>
      <c r="H53" s="57">
        <f ca="1">IF('FIRE1202 raw'!H53="N/A","N/A",IF('FIRE1202 raw'!H53="..","..",ROUND('FIRE1202 raw'!H53,0)))</f>
        <v>2</v>
      </c>
      <c r="I53" s="57">
        <f ca="1">IF('FIRE1202 raw'!I53="N/A","N/A",IF('FIRE1202 raw'!I53="..","..",ROUND('FIRE1202 raw'!I53,0)))</f>
        <v>0</v>
      </c>
      <c r="J53" s="57">
        <f ca="1">IF('FIRE1202 raw'!J53="N/A","N/A",IF('FIRE1202 raw'!J53="..","..",ROUND('FIRE1202 raw'!J53,0)))</f>
        <v>31</v>
      </c>
      <c r="K53" s="57">
        <f ca="1">IF('FIRE1202 raw'!K53="N/A","N/A",IF('FIRE1202 raw'!K53="..","..",ROUND('FIRE1202 raw'!K53,0)))</f>
        <v>38569</v>
      </c>
      <c r="L53" s="4"/>
      <c r="N53" s="11"/>
      <c r="O53" s="11"/>
      <c r="Q53" s="11"/>
      <c r="R53" s="11"/>
      <c r="T53" s="13"/>
      <c r="U53" s="13"/>
      <c r="V53" s="13"/>
      <c r="W53" s="13"/>
      <c r="X53" s="13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s="5" customFormat="1" ht="15" customHeight="1" x14ac:dyDescent="0.35">
      <c r="A54" s="58" t="s">
        <v>45</v>
      </c>
      <c r="B54" s="57">
        <f ca="1">IF('FIRE1202 raw'!B54="N/A","N/A",IF('FIRE1202 raw'!B54="..","..",ROUND('FIRE1202 raw'!B54,0)))</f>
        <v>1976</v>
      </c>
      <c r="C54" s="57">
        <f ca="1">IF('FIRE1202 raw'!C54="N/A","N/A",IF('FIRE1202 raw'!C54="..","..",ROUND('FIRE1202 raw'!C54,0)))</f>
        <v>1327</v>
      </c>
      <c r="D54" s="57">
        <f ca="1">IF('FIRE1202 raw'!D54="N/A","N/A",IF('FIRE1202 raw'!D54="..","..",ROUND('FIRE1202 raw'!D54,0)))</f>
        <v>649</v>
      </c>
      <c r="E54" s="57">
        <f ca="1">IF('FIRE1202 raw'!E54="N/A","N/A",IF('FIRE1202 raw'!E54="..","..",ROUND('FIRE1202 raw'!E54,0)))</f>
        <v>635</v>
      </c>
      <c r="F54" s="57">
        <f ca="1">IF('FIRE1202 raw'!F54="N/A","N/A",IF('FIRE1202 raw'!F54="..","..",ROUND('FIRE1202 raw'!F54,0)))</f>
        <v>10</v>
      </c>
      <c r="G54" s="57">
        <f ca="1">IF('FIRE1202 raw'!G54="N/A","N/A",IF('FIRE1202 raw'!G54="..","..",ROUND('FIRE1202 raw'!G54,0)))</f>
        <v>18</v>
      </c>
      <c r="H54" s="57">
        <f ca="1">IF('FIRE1202 raw'!H54="N/A","N/A",IF('FIRE1202 raw'!H54="..","..",ROUND('FIRE1202 raw'!H54,0)))</f>
        <v>2</v>
      </c>
      <c r="I54" s="57">
        <f ca="1">IF('FIRE1202 raw'!I54="N/A","N/A",IF('FIRE1202 raw'!I54="..","..",ROUND('FIRE1202 raw'!I54,0)))</f>
        <v>2</v>
      </c>
      <c r="J54" s="57">
        <f ca="1">IF('FIRE1202 raw'!J54="N/A","N/A",IF('FIRE1202 raw'!J54="..","..",ROUND('FIRE1202 raw'!J54,0)))</f>
        <v>25</v>
      </c>
      <c r="K54" s="57">
        <f ca="1">IF('FIRE1202 raw'!K54="N/A","N/A",IF('FIRE1202 raw'!K54="..","..",ROUND('FIRE1202 raw'!K54,0)))</f>
        <v>31100</v>
      </c>
      <c r="L54" s="4"/>
      <c r="N54" s="11"/>
      <c r="O54" s="11"/>
      <c r="Q54" s="11"/>
      <c r="R54" s="11"/>
      <c r="T54" s="13"/>
      <c r="U54" s="13"/>
      <c r="V54" s="13"/>
      <c r="W54" s="13"/>
      <c r="X54" s="13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6" s="5" customFormat="1" ht="15" customHeight="1" x14ac:dyDescent="0.35">
      <c r="A55" s="58" t="s">
        <v>47</v>
      </c>
      <c r="B55" s="57">
        <f ca="1">IF('FIRE1202 raw'!B55="N/A","N/A",IF('FIRE1202 raw'!B55="..","..",ROUND('FIRE1202 raw'!B55,0)))</f>
        <v>2211</v>
      </c>
      <c r="C55" s="57">
        <f ca="1">IF('FIRE1202 raw'!C55="N/A","N/A",IF('FIRE1202 raw'!C55="..","..",ROUND('FIRE1202 raw'!C55,0)))</f>
        <v>1227</v>
      </c>
      <c r="D55" s="57">
        <f ca="1">IF('FIRE1202 raw'!D55="N/A","N/A",IF('FIRE1202 raw'!D55="..","..",ROUND('FIRE1202 raw'!D55,0)))</f>
        <v>984</v>
      </c>
      <c r="E55" s="57">
        <f ca="1">IF('FIRE1202 raw'!E55="N/A","N/A",IF('FIRE1202 raw'!E55="..","..",ROUND('FIRE1202 raw'!E55,0)))</f>
        <v>2211</v>
      </c>
      <c r="F55" s="57">
        <f ca="1">IF('FIRE1202 raw'!F55="N/A","N/A",IF('FIRE1202 raw'!F55="..","..",ROUND('FIRE1202 raw'!F55,0)))</f>
        <v>22</v>
      </c>
      <c r="G55" s="57">
        <f ca="1">IF('FIRE1202 raw'!G55="N/A","N/A",IF('FIRE1202 raw'!G55="..","..",ROUND('FIRE1202 raw'!G55,0)))</f>
        <v>32</v>
      </c>
      <c r="H55" s="57">
        <f ca="1">IF('FIRE1202 raw'!H55="N/A","N/A",IF('FIRE1202 raw'!H55="..","..",ROUND('FIRE1202 raw'!H55,0)))</f>
        <v>21</v>
      </c>
      <c r="I55" s="57">
        <f ca="1">IF('FIRE1202 raw'!I55="N/A","N/A",IF('FIRE1202 raw'!I55="..","..",ROUND('FIRE1202 raw'!I55,0)))</f>
        <v>6</v>
      </c>
      <c r="J55" s="57">
        <f ca="1">IF('FIRE1202 raw'!J55="N/A","N/A",IF('FIRE1202 raw'!J55="..","..",ROUND('FIRE1202 raw'!J55,0)))</f>
        <v>315</v>
      </c>
      <c r="K55" s="57">
        <f ca="1">IF('FIRE1202 raw'!K55="N/A","N/A",IF('FIRE1202 raw'!K55="..","..",ROUND('FIRE1202 raw'!K55,0)))</f>
        <v>91154</v>
      </c>
      <c r="L55" s="4"/>
      <c r="N55" s="11"/>
      <c r="O55" s="11"/>
      <c r="Q55" s="11"/>
      <c r="R55" s="11"/>
      <c r="T55" s="13"/>
      <c r="U55" s="13"/>
      <c r="V55" s="13"/>
      <c r="W55" s="13"/>
      <c r="X55" s="13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1:36" s="5" customFormat="1" ht="15" customHeight="1" x14ac:dyDescent="0.35">
      <c r="A56" s="58" t="s">
        <v>49</v>
      </c>
      <c r="B56" s="57">
        <f ca="1">IF('FIRE1202 raw'!B56="N/A","N/A",IF('FIRE1202 raw'!B56="..","..",ROUND('FIRE1202 raw'!B56,0)))</f>
        <v>928</v>
      </c>
      <c r="C56" s="57">
        <f ca="1">IF('FIRE1202 raw'!C56="N/A","N/A",IF('FIRE1202 raw'!C56="..","..",ROUND('FIRE1202 raw'!C56,0)))</f>
        <v>538</v>
      </c>
      <c r="D56" s="57">
        <f ca="1">IF('FIRE1202 raw'!D56="N/A","N/A",IF('FIRE1202 raw'!D56="..","..",ROUND('FIRE1202 raw'!D56,0)))</f>
        <v>390</v>
      </c>
      <c r="E56" s="57">
        <f ca="1">IF('FIRE1202 raw'!E56="N/A","N/A",IF('FIRE1202 raw'!E56="..","..",ROUND('FIRE1202 raw'!E56,0)))</f>
        <v>224</v>
      </c>
      <c r="F56" s="57">
        <f ca="1">IF('FIRE1202 raw'!F56="N/A","N/A",IF('FIRE1202 raw'!F56="..","..",ROUND('FIRE1202 raw'!F56,0)))</f>
        <v>87</v>
      </c>
      <c r="G56" s="57">
        <f ca="1">IF('FIRE1202 raw'!G56="N/A","N/A",IF('FIRE1202 raw'!G56="..","..",ROUND('FIRE1202 raw'!G56,0)))</f>
        <v>22</v>
      </c>
      <c r="H56" s="57">
        <f ca="1">IF('FIRE1202 raw'!H56="N/A","N/A",IF('FIRE1202 raw'!H56="..","..",ROUND('FIRE1202 raw'!H56,0)))</f>
        <v>1</v>
      </c>
      <c r="I56" s="57">
        <f ca="1">IF('FIRE1202 raw'!I56="N/A","N/A",IF('FIRE1202 raw'!I56="..","..",ROUND('FIRE1202 raw'!I56,0)))</f>
        <v>0</v>
      </c>
      <c r="J56" s="57">
        <f ca="1">IF('FIRE1202 raw'!J56="N/A","N/A",IF('FIRE1202 raw'!J56="..","..",ROUND('FIRE1202 raw'!J56,0)))</f>
        <v>79</v>
      </c>
      <c r="K56" s="57">
        <f ca="1">IF('FIRE1202 raw'!K56="N/A","N/A",IF('FIRE1202 raw'!K56="..","..",ROUND('FIRE1202 raw'!K56,0)))</f>
        <v>82719</v>
      </c>
      <c r="L56" s="4"/>
      <c r="N56" s="11"/>
      <c r="O56" s="11"/>
      <c r="P56" s="4"/>
      <c r="Q56" s="11"/>
      <c r="R56" s="11"/>
      <c r="T56" s="13"/>
      <c r="U56" s="13"/>
      <c r="V56" s="13"/>
      <c r="W56" s="13"/>
      <c r="X56" s="13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 spans="1:36" s="5" customFormat="1" ht="15" customHeight="1" thickBot="1" x14ac:dyDescent="0.4">
      <c r="A57" s="16" t="s">
        <v>21</v>
      </c>
      <c r="B57" s="59">
        <f ca="1">IF('FIRE1202 raw'!B57="N/A","N/A",IF('FIRE1202 raw'!B57="..","..",ROUND('FIRE1202 raw'!B57,0)))</f>
        <v>10400</v>
      </c>
      <c r="C57" s="59">
        <f ca="1">IF('FIRE1202 raw'!C57="N/A","N/A",IF('FIRE1202 raw'!C57="..","..",ROUND('FIRE1202 raw'!C57,0)))</f>
        <v>7876</v>
      </c>
      <c r="D57" s="59">
        <f ca="1">IF('FIRE1202 raw'!D57="N/A","N/A",IF('FIRE1202 raw'!D57="..","..",ROUND('FIRE1202 raw'!D57,0)))</f>
        <v>2524</v>
      </c>
      <c r="E57" s="59">
        <f ca="1">IF('FIRE1202 raw'!E57="N/A","N/A",IF('FIRE1202 raw'!E57="..","..",ROUND('FIRE1202 raw'!E57,0)))</f>
        <v>2129</v>
      </c>
      <c r="F57" s="59">
        <f ca="1">IF('FIRE1202 raw'!F57="N/A","N/A",IF('FIRE1202 raw'!F57="..","..",ROUND('FIRE1202 raw'!F57,0)))</f>
        <v>382</v>
      </c>
      <c r="G57" s="59">
        <f ca="1">IF('FIRE1202 raw'!G57="N/A","N/A",IF('FIRE1202 raw'!G57="..","..",ROUND('FIRE1202 raw'!G57,0)))</f>
        <v>63</v>
      </c>
      <c r="H57" s="59">
        <f ca="1">IF('FIRE1202 raw'!H57="N/A","N/A",IF('FIRE1202 raw'!H57="..","..",ROUND('FIRE1202 raw'!H57,0)))</f>
        <v>8</v>
      </c>
      <c r="I57" s="59">
        <f ca="1">IF('FIRE1202 raw'!I57="N/A","N/A",IF('FIRE1202 raw'!I57="..","..",ROUND('FIRE1202 raw'!I57,0)))</f>
        <v>0</v>
      </c>
      <c r="J57" s="59">
        <f ca="1">IF('FIRE1202 raw'!J57="N/A","N/A",IF('FIRE1202 raw'!J57="..","..",ROUND('FIRE1202 raw'!J57,0)))</f>
        <v>441</v>
      </c>
      <c r="K57" s="59">
        <f ca="1">IF('FIRE1202 raw'!K57="N/A","N/A",IF('FIRE1202 raw'!K57="..","..",ROUND('FIRE1202 raw'!K57,0)))</f>
        <v>179413</v>
      </c>
      <c r="L57" s="4"/>
      <c r="N57" s="11"/>
      <c r="O57" s="11"/>
      <c r="P57" s="4"/>
      <c r="Q57" s="11"/>
      <c r="R57" s="11"/>
      <c r="T57" s="13"/>
      <c r="U57" s="13"/>
      <c r="V57" s="13"/>
      <c r="W57" s="13"/>
      <c r="X57" s="13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1:36" x14ac:dyDescent="0.35">
      <c r="A58" s="4" t="s">
        <v>127</v>
      </c>
      <c r="N58" s="11"/>
      <c r="O58" s="11"/>
      <c r="Q58" s="11"/>
      <c r="R58" s="11"/>
      <c r="S58" s="11"/>
      <c r="T58" s="11"/>
      <c r="U58" s="11"/>
      <c r="V58" s="11"/>
      <c r="W58" s="11"/>
      <c r="X58" s="11"/>
    </row>
    <row r="59" spans="1:36" s="5" customFormat="1" ht="15" customHeight="1" x14ac:dyDescent="0.35">
      <c r="A59" s="126" t="s">
        <v>92</v>
      </c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4"/>
      <c r="M59" s="4"/>
      <c r="N59" s="11"/>
      <c r="O59" s="11"/>
      <c r="P59" s="4"/>
      <c r="Q59" s="11"/>
      <c r="R59" s="11"/>
      <c r="S59" s="11"/>
      <c r="T59" s="11"/>
      <c r="U59" s="11"/>
      <c r="V59" s="11"/>
      <c r="W59" s="11"/>
      <c r="X59" s="11"/>
    </row>
    <row r="60" spans="1:36" s="5" customFormat="1" ht="15" customHeight="1" x14ac:dyDescent="0.3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4"/>
      <c r="M60" s="4"/>
      <c r="N60" s="11"/>
      <c r="O60" s="11"/>
      <c r="P60" s="4"/>
      <c r="Q60" s="11"/>
      <c r="R60" s="11"/>
      <c r="S60" s="11"/>
      <c r="T60" s="11"/>
      <c r="U60" s="11"/>
      <c r="V60" s="11"/>
      <c r="W60" s="11"/>
      <c r="X60" s="11"/>
    </row>
    <row r="61" spans="1:36" s="5" customFormat="1" ht="15" customHeight="1" x14ac:dyDescent="0.35">
      <c r="A61" s="89" t="s">
        <v>105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4"/>
      <c r="M61" s="4"/>
      <c r="N61" s="11"/>
      <c r="O61" s="11"/>
      <c r="P61" s="4"/>
      <c r="Q61" s="11"/>
      <c r="R61" s="11"/>
      <c r="S61" s="11"/>
      <c r="T61" s="11"/>
      <c r="U61" s="11"/>
      <c r="V61" s="11"/>
      <c r="W61" s="11"/>
      <c r="X61" s="11"/>
    </row>
    <row r="62" spans="1:36" s="5" customFormat="1" ht="15" customHeight="1" x14ac:dyDescent="0.35">
      <c r="A62" s="99" t="s">
        <v>120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4"/>
      <c r="M62" s="4"/>
      <c r="N62" s="11"/>
      <c r="O62" s="11"/>
      <c r="P62" s="4"/>
      <c r="Q62" s="11"/>
      <c r="R62" s="11"/>
      <c r="S62" s="11"/>
      <c r="T62" s="11"/>
      <c r="U62" s="11"/>
      <c r="V62" s="11"/>
      <c r="W62" s="11"/>
      <c r="X62" s="11"/>
    </row>
    <row r="63" spans="1:36" s="5" customFormat="1" ht="15" customHeight="1" x14ac:dyDescent="0.35">
      <c r="A63" s="102" t="s">
        <v>121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4"/>
      <c r="M63" s="4"/>
      <c r="N63" s="11"/>
      <c r="O63" s="11"/>
      <c r="P63" s="4"/>
      <c r="Q63" s="11"/>
      <c r="R63" s="11"/>
      <c r="S63" s="11"/>
      <c r="T63" s="11"/>
      <c r="U63" s="11"/>
      <c r="V63" s="11"/>
      <c r="W63" s="11"/>
      <c r="X63" s="11"/>
    </row>
    <row r="64" spans="1:36" s="5" customFormat="1" ht="15" customHeight="1" x14ac:dyDescent="0.35">
      <c r="A64" s="109" t="s">
        <v>134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4"/>
      <c r="M64" s="4"/>
      <c r="N64" s="11"/>
      <c r="O64" s="11"/>
      <c r="P64" s="4"/>
      <c r="Q64" s="11"/>
      <c r="R64" s="11"/>
      <c r="S64" s="11"/>
      <c r="T64" s="11"/>
      <c r="U64" s="11"/>
      <c r="V64" s="11"/>
      <c r="W64" s="11"/>
      <c r="X64" s="11"/>
    </row>
    <row r="65" spans="1:25" s="5" customFormat="1" ht="15" customHeight="1" x14ac:dyDescent="0.35">
      <c r="A65" s="109" t="s">
        <v>133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4"/>
      <c r="M65" s="4"/>
      <c r="N65" s="11"/>
      <c r="O65" s="11"/>
      <c r="P65" s="4"/>
      <c r="Q65" s="11"/>
      <c r="R65" s="11"/>
      <c r="S65" s="11"/>
      <c r="T65" s="11"/>
      <c r="U65" s="11"/>
      <c r="V65" s="11"/>
      <c r="W65" s="11"/>
      <c r="X65" s="11"/>
    </row>
    <row r="66" spans="1:25" s="5" customFormat="1" ht="15" customHeight="1" x14ac:dyDescent="0.3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4"/>
      <c r="M66" s="4"/>
      <c r="N66" s="11"/>
      <c r="O66" s="11"/>
      <c r="P66" s="4"/>
      <c r="Q66" s="11"/>
      <c r="R66" s="11"/>
      <c r="S66" s="11"/>
      <c r="T66" s="11"/>
      <c r="U66" s="11"/>
      <c r="V66" s="11"/>
      <c r="W66" s="11"/>
      <c r="X66" s="11"/>
    </row>
    <row r="67" spans="1:25" s="5" customFormat="1" ht="15" customHeight="1" x14ac:dyDescent="0.35">
      <c r="A67" s="4" t="s">
        <v>122</v>
      </c>
      <c r="B67" s="2"/>
      <c r="C67" s="2"/>
      <c r="D67" s="2"/>
      <c r="E67" s="2"/>
      <c r="F67" s="2"/>
      <c r="G67" s="2"/>
      <c r="H67" s="2"/>
      <c r="I67" s="2"/>
      <c r="J67" s="2"/>
      <c r="K67" s="2"/>
      <c r="P67" s="4"/>
    </row>
    <row r="68" spans="1:25" s="5" customFormat="1" ht="15" customHeight="1" x14ac:dyDescent="0.35">
      <c r="A68" s="140" t="s">
        <v>1</v>
      </c>
      <c r="B68" s="140"/>
      <c r="C68" s="2"/>
      <c r="D68" s="2"/>
      <c r="E68" s="2"/>
      <c r="F68" s="2"/>
      <c r="G68" s="2"/>
      <c r="H68" s="2"/>
      <c r="I68" s="2"/>
      <c r="J68" s="2"/>
      <c r="K68" s="2"/>
      <c r="P68" s="4"/>
    </row>
    <row r="69" spans="1:25" s="5" customFormat="1" ht="15" customHeight="1" x14ac:dyDescent="0.35">
      <c r="A69" s="90"/>
      <c r="B69" s="90"/>
      <c r="C69" s="106"/>
      <c r="D69" s="106"/>
      <c r="E69" s="106"/>
      <c r="F69" s="106"/>
      <c r="G69" s="106"/>
      <c r="H69" s="106"/>
      <c r="I69" s="106"/>
      <c r="J69" s="106"/>
      <c r="K69" s="106"/>
      <c r="L69" s="90"/>
      <c r="M69" s="4"/>
      <c r="N69" s="4"/>
      <c r="O69" s="11"/>
      <c r="P69" s="11"/>
      <c r="Q69" s="4"/>
      <c r="R69" s="11"/>
      <c r="S69" s="11"/>
      <c r="T69" s="11"/>
      <c r="U69" s="11"/>
      <c r="V69" s="11"/>
      <c r="W69" s="11"/>
      <c r="X69" s="11"/>
      <c r="Y69" s="11"/>
    </row>
    <row r="70" spans="1:25" s="5" customFormat="1" ht="15" customHeight="1" x14ac:dyDescent="0.35">
      <c r="A70" s="95" t="s">
        <v>112</v>
      </c>
      <c r="B70" s="90"/>
      <c r="C70" s="106"/>
      <c r="D70" s="106"/>
      <c r="E70" s="106"/>
      <c r="F70" s="106"/>
      <c r="G70" s="106"/>
      <c r="H70" s="106"/>
      <c r="I70" s="106"/>
      <c r="J70" s="106"/>
      <c r="K70" s="106"/>
      <c r="L70" s="90"/>
      <c r="M70" s="4"/>
      <c r="N70" s="4"/>
      <c r="O70" s="11"/>
      <c r="P70" s="11"/>
      <c r="Q70" s="4"/>
      <c r="R70" s="11"/>
      <c r="S70" s="11"/>
      <c r="T70" s="11"/>
      <c r="U70" s="11"/>
      <c r="V70" s="11"/>
      <c r="W70" s="11"/>
      <c r="X70" s="11"/>
      <c r="Y70" s="11"/>
    </row>
    <row r="71" spans="1:25" s="5" customFormat="1" ht="15" customHeight="1" x14ac:dyDescent="0.35">
      <c r="A71" s="91" t="s">
        <v>131</v>
      </c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4"/>
      <c r="N71" s="4"/>
      <c r="O71" s="11"/>
      <c r="P71" s="11"/>
      <c r="Q71" s="4"/>
      <c r="R71" s="11"/>
      <c r="S71" s="11"/>
      <c r="T71" s="11"/>
      <c r="U71" s="11"/>
      <c r="V71" s="11"/>
      <c r="W71" s="11"/>
      <c r="X71" s="11"/>
      <c r="Y71" s="11"/>
    </row>
    <row r="72" spans="1:25" s="5" customFormat="1" ht="15" customHeight="1" x14ac:dyDescent="0.35">
      <c r="A72" s="19"/>
      <c r="B72" s="2"/>
      <c r="C72" s="2"/>
      <c r="D72" s="2"/>
      <c r="E72" s="2"/>
      <c r="F72" s="2"/>
      <c r="G72" s="2"/>
      <c r="H72" s="2"/>
      <c r="I72" s="2"/>
      <c r="J72" s="2"/>
      <c r="K72" s="2"/>
      <c r="P72" s="4"/>
    </row>
    <row r="73" spans="1:25" s="5" customFormat="1" x14ac:dyDescent="0.35">
      <c r="A73" s="126" t="s">
        <v>65</v>
      </c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P73" s="4"/>
    </row>
    <row r="75" spans="1:25" s="5" customFormat="1" x14ac:dyDescent="0.35">
      <c r="A75" s="4" t="s">
        <v>2</v>
      </c>
      <c r="B75" s="4"/>
      <c r="C75" s="4"/>
      <c r="D75" s="4"/>
      <c r="E75" s="4"/>
      <c r="F75" s="20"/>
      <c r="G75" s="20"/>
      <c r="H75" s="20"/>
      <c r="I75" s="20"/>
      <c r="J75" s="139" t="s">
        <v>129</v>
      </c>
      <c r="K75" s="139"/>
      <c r="P75" s="4"/>
    </row>
    <row r="76" spans="1:25" s="5" customFormat="1" x14ac:dyDescent="0.35">
      <c r="A76" s="105" t="s">
        <v>128</v>
      </c>
      <c r="B76" s="4"/>
      <c r="C76" s="4"/>
      <c r="D76" s="4"/>
      <c r="E76" s="4"/>
      <c r="F76" s="20"/>
      <c r="G76" s="20"/>
      <c r="H76" s="20"/>
      <c r="I76" s="20"/>
      <c r="J76" s="138" t="s">
        <v>130</v>
      </c>
      <c r="K76" s="138"/>
      <c r="P76" s="4"/>
    </row>
    <row r="83" spans="14:15" x14ac:dyDescent="0.35">
      <c r="N83" s="4" t="s">
        <v>106</v>
      </c>
      <c r="O83" s="5"/>
    </row>
    <row r="84" spans="14:15" x14ac:dyDescent="0.35">
      <c r="N84" s="4" t="s">
        <v>107</v>
      </c>
    </row>
    <row r="85" spans="14:15" x14ac:dyDescent="0.35">
      <c r="N85" s="4" t="s">
        <v>108</v>
      </c>
    </row>
    <row r="86" spans="14:15" x14ac:dyDescent="0.35">
      <c r="N86" s="4" t="s">
        <v>109</v>
      </c>
    </row>
    <row r="87" spans="14:15" x14ac:dyDescent="0.35">
      <c r="N87" s="4" t="s">
        <v>110</v>
      </c>
    </row>
    <row r="88" spans="14:15" x14ac:dyDescent="0.35">
      <c r="N88" s="4" t="s">
        <v>111</v>
      </c>
    </row>
    <row r="89" spans="14:15" x14ac:dyDescent="0.35">
      <c r="N89" s="4" t="s">
        <v>116</v>
      </c>
    </row>
    <row r="90" spans="14:15" x14ac:dyDescent="0.35">
      <c r="N90" s="4" t="s">
        <v>125</v>
      </c>
    </row>
  </sheetData>
  <mergeCells count="17">
    <mergeCell ref="J76:K76"/>
    <mergeCell ref="J75:K75"/>
    <mergeCell ref="A68:B68"/>
    <mergeCell ref="A59:K59"/>
    <mergeCell ref="A60:K60"/>
    <mergeCell ref="A73:K73"/>
    <mergeCell ref="A1:K1"/>
    <mergeCell ref="A4:E4"/>
    <mergeCell ref="B5:E5"/>
    <mergeCell ref="J6:J7"/>
    <mergeCell ref="K6:K7"/>
    <mergeCell ref="B6:D6"/>
    <mergeCell ref="E6:E7"/>
    <mergeCell ref="F6:F7"/>
    <mergeCell ref="G6:G7"/>
    <mergeCell ref="H6:H7"/>
    <mergeCell ref="I6:I7"/>
  </mergeCells>
  <dataValidations count="1">
    <dataValidation type="list" allowBlank="1" showInputMessage="1" showErrorMessage="1" sqref="A4:E4" xr:uid="{00000000-0002-0000-0C00-000000000000}">
      <formula1>$N$83:$N$90</formula1>
    </dataValidation>
  </dataValidations>
  <hyperlinks>
    <hyperlink ref="A68" r:id="rId1" xr:uid="{00000000-0004-0000-0C00-000000000000}"/>
    <hyperlink ref="A76" r:id="rId2" xr:uid="{00000000-0004-0000-0C00-000001000000}"/>
    <hyperlink ref="J75" r:id="rId3" location="fire-prevention-and-protection-statistics:-latest-version" display="Updated alongside fire prevention and protection statistics." xr:uid="{00000000-0004-0000-0C00-000002000000}"/>
    <hyperlink ref="J75:K75" r:id="rId4" display="Last Updated: 18 October 2018" xr:uid="{00000000-0004-0000-0C00-000003000000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22"/>
  </sheetPr>
  <dimension ref="A2:M61"/>
  <sheetViews>
    <sheetView showGridLines="0" zoomScale="85" zoomScaleNormal="85" workbookViewId="0">
      <pane xSplit="2" ySplit="4" topLeftCell="C5" activePane="bottomRight" state="frozen"/>
      <selection activeCell="B1" sqref="B1"/>
      <selection pane="topRight" activeCell="C1" sqref="C1"/>
      <selection pane="bottomLeft" activeCell="B4" sqref="B4"/>
      <selection pane="bottomRight" activeCell="C15" sqref="C15"/>
    </sheetView>
  </sheetViews>
  <sheetFormatPr defaultRowHeight="13" x14ac:dyDescent="0.3"/>
  <cols>
    <col min="1" max="1" width="3" style="31" hidden="1" customWidth="1"/>
    <col min="2" max="2" width="25.54296875" style="31" customWidth="1"/>
    <col min="3" max="3" width="17" style="31" customWidth="1"/>
    <col min="4" max="4" width="11.453125" style="31" customWidth="1"/>
    <col min="5" max="5" width="14.453125" style="55" customWidth="1"/>
    <col min="6" max="6" width="12.54296875" style="55" customWidth="1"/>
    <col min="7" max="9" width="13.6328125" style="55" customWidth="1"/>
    <col min="10" max="11" width="13.6328125" style="31" customWidth="1"/>
    <col min="12" max="12" width="13.453125" style="31" customWidth="1"/>
    <col min="13" max="255" width="9.08984375" style="31"/>
    <col min="256" max="256" width="0" style="31" hidden="1" customWidth="1"/>
    <col min="257" max="257" width="3" style="31" customWidth="1"/>
    <col min="258" max="258" width="25.54296875" style="31" customWidth="1"/>
    <col min="259" max="259" width="17" style="31" customWidth="1"/>
    <col min="260" max="260" width="11.453125" style="31" customWidth="1"/>
    <col min="261" max="261" width="14.453125" style="31" customWidth="1"/>
    <col min="262" max="262" width="12.54296875" style="31" customWidth="1"/>
    <col min="263" max="267" width="13.6328125" style="31" customWidth="1"/>
    <col min="268" max="268" width="13.453125" style="31" customWidth="1"/>
    <col min="269" max="511" width="9.08984375" style="31"/>
    <col min="512" max="512" width="0" style="31" hidden="1" customWidth="1"/>
    <col min="513" max="513" width="3" style="31" customWidth="1"/>
    <col min="514" max="514" width="25.54296875" style="31" customWidth="1"/>
    <col min="515" max="515" width="17" style="31" customWidth="1"/>
    <col min="516" max="516" width="11.453125" style="31" customWidth="1"/>
    <col min="517" max="517" width="14.453125" style="31" customWidth="1"/>
    <col min="518" max="518" width="12.54296875" style="31" customWidth="1"/>
    <col min="519" max="523" width="13.6328125" style="31" customWidth="1"/>
    <col min="524" max="524" width="13.453125" style="31" customWidth="1"/>
    <col min="525" max="767" width="9.08984375" style="31"/>
    <col min="768" max="768" width="0" style="31" hidden="1" customWidth="1"/>
    <col min="769" max="769" width="3" style="31" customWidth="1"/>
    <col min="770" max="770" width="25.54296875" style="31" customWidth="1"/>
    <col min="771" max="771" width="17" style="31" customWidth="1"/>
    <col min="772" max="772" width="11.453125" style="31" customWidth="1"/>
    <col min="773" max="773" width="14.453125" style="31" customWidth="1"/>
    <col min="774" max="774" width="12.54296875" style="31" customWidth="1"/>
    <col min="775" max="779" width="13.6328125" style="31" customWidth="1"/>
    <col min="780" max="780" width="13.453125" style="31" customWidth="1"/>
    <col min="781" max="1023" width="9.08984375" style="31"/>
    <col min="1024" max="1024" width="0" style="31" hidden="1" customWidth="1"/>
    <col min="1025" max="1025" width="3" style="31" customWidth="1"/>
    <col min="1026" max="1026" width="25.54296875" style="31" customWidth="1"/>
    <col min="1027" max="1027" width="17" style="31" customWidth="1"/>
    <col min="1028" max="1028" width="11.453125" style="31" customWidth="1"/>
    <col min="1029" max="1029" width="14.453125" style="31" customWidth="1"/>
    <col min="1030" max="1030" width="12.54296875" style="31" customWidth="1"/>
    <col min="1031" max="1035" width="13.6328125" style="31" customWidth="1"/>
    <col min="1036" max="1036" width="13.453125" style="31" customWidth="1"/>
    <col min="1037" max="1279" width="9.08984375" style="31"/>
    <col min="1280" max="1280" width="0" style="31" hidden="1" customWidth="1"/>
    <col min="1281" max="1281" width="3" style="31" customWidth="1"/>
    <col min="1282" max="1282" width="25.54296875" style="31" customWidth="1"/>
    <col min="1283" max="1283" width="17" style="31" customWidth="1"/>
    <col min="1284" max="1284" width="11.453125" style="31" customWidth="1"/>
    <col min="1285" max="1285" width="14.453125" style="31" customWidth="1"/>
    <col min="1286" max="1286" width="12.54296875" style="31" customWidth="1"/>
    <col min="1287" max="1291" width="13.6328125" style="31" customWidth="1"/>
    <col min="1292" max="1292" width="13.453125" style="31" customWidth="1"/>
    <col min="1293" max="1535" width="9.08984375" style="31"/>
    <col min="1536" max="1536" width="0" style="31" hidden="1" customWidth="1"/>
    <col min="1537" max="1537" width="3" style="31" customWidth="1"/>
    <col min="1538" max="1538" width="25.54296875" style="31" customWidth="1"/>
    <col min="1539" max="1539" width="17" style="31" customWidth="1"/>
    <col min="1540" max="1540" width="11.453125" style="31" customWidth="1"/>
    <col min="1541" max="1541" width="14.453125" style="31" customWidth="1"/>
    <col min="1542" max="1542" width="12.54296875" style="31" customWidth="1"/>
    <col min="1543" max="1547" width="13.6328125" style="31" customWidth="1"/>
    <col min="1548" max="1548" width="13.453125" style="31" customWidth="1"/>
    <col min="1549" max="1791" width="9.08984375" style="31"/>
    <col min="1792" max="1792" width="0" style="31" hidden="1" customWidth="1"/>
    <col min="1793" max="1793" width="3" style="31" customWidth="1"/>
    <col min="1794" max="1794" width="25.54296875" style="31" customWidth="1"/>
    <col min="1795" max="1795" width="17" style="31" customWidth="1"/>
    <col min="1796" max="1796" width="11.453125" style="31" customWidth="1"/>
    <col min="1797" max="1797" width="14.453125" style="31" customWidth="1"/>
    <col min="1798" max="1798" width="12.54296875" style="31" customWidth="1"/>
    <col min="1799" max="1803" width="13.6328125" style="31" customWidth="1"/>
    <col min="1804" max="1804" width="13.453125" style="31" customWidth="1"/>
    <col min="1805" max="2047" width="9.08984375" style="31"/>
    <col min="2048" max="2048" width="0" style="31" hidden="1" customWidth="1"/>
    <col min="2049" max="2049" width="3" style="31" customWidth="1"/>
    <col min="2050" max="2050" width="25.54296875" style="31" customWidth="1"/>
    <col min="2051" max="2051" width="17" style="31" customWidth="1"/>
    <col min="2052" max="2052" width="11.453125" style="31" customWidth="1"/>
    <col min="2053" max="2053" width="14.453125" style="31" customWidth="1"/>
    <col min="2054" max="2054" width="12.54296875" style="31" customWidth="1"/>
    <col min="2055" max="2059" width="13.6328125" style="31" customWidth="1"/>
    <col min="2060" max="2060" width="13.453125" style="31" customWidth="1"/>
    <col min="2061" max="2303" width="9.08984375" style="31"/>
    <col min="2304" max="2304" width="0" style="31" hidden="1" customWidth="1"/>
    <col min="2305" max="2305" width="3" style="31" customWidth="1"/>
    <col min="2306" max="2306" width="25.54296875" style="31" customWidth="1"/>
    <col min="2307" max="2307" width="17" style="31" customWidth="1"/>
    <col min="2308" max="2308" width="11.453125" style="31" customWidth="1"/>
    <col min="2309" max="2309" width="14.453125" style="31" customWidth="1"/>
    <col min="2310" max="2310" width="12.54296875" style="31" customWidth="1"/>
    <col min="2311" max="2315" width="13.6328125" style="31" customWidth="1"/>
    <col min="2316" max="2316" width="13.453125" style="31" customWidth="1"/>
    <col min="2317" max="2559" width="9.08984375" style="31"/>
    <col min="2560" max="2560" width="0" style="31" hidden="1" customWidth="1"/>
    <col min="2561" max="2561" width="3" style="31" customWidth="1"/>
    <col min="2562" max="2562" width="25.54296875" style="31" customWidth="1"/>
    <col min="2563" max="2563" width="17" style="31" customWidth="1"/>
    <col min="2564" max="2564" width="11.453125" style="31" customWidth="1"/>
    <col min="2565" max="2565" width="14.453125" style="31" customWidth="1"/>
    <col min="2566" max="2566" width="12.54296875" style="31" customWidth="1"/>
    <col min="2567" max="2571" width="13.6328125" style="31" customWidth="1"/>
    <col min="2572" max="2572" width="13.453125" style="31" customWidth="1"/>
    <col min="2573" max="2815" width="9.08984375" style="31"/>
    <col min="2816" max="2816" width="0" style="31" hidden="1" customWidth="1"/>
    <col min="2817" max="2817" width="3" style="31" customWidth="1"/>
    <col min="2818" max="2818" width="25.54296875" style="31" customWidth="1"/>
    <col min="2819" max="2819" width="17" style="31" customWidth="1"/>
    <col min="2820" max="2820" width="11.453125" style="31" customWidth="1"/>
    <col min="2821" max="2821" width="14.453125" style="31" customWidth="1"/>
    <col min="2822" max="2822" width="12.54296875" style="31" customWidth="1"/>
    <col min="2823" max="2827" width="13.6328125" style="31" customWidth="1"/>
    <col min="2828" max="2828" width="13.453125" style="31" customWidth="1"/>
    <col min="2829" max="3071" width="9.08984375" style="31"/>
    <col min="3072" max="3072" width="0" style="31" hidden="1" customWidth="1"/>
    <col min="3073" max="3073" width="3" style="31" customWidth="1"/>
    <col min="3074" max="3074" width="25.54296875" style="31" customWidth="1"/>
    <col min="3075" max="3075" width="17" style="31" customWidth="1"/>
    <col min="3076" max="3076" width="11.453125" style="31" customWidth="1"/>
    <col min="3077" max="3077" width="14.453125" style="31" customWidth="1"/>
    <col min="3078" max="3078" width="12.54296875" style="31" customWidth="1"/>
    <col min="3079" max="3083" width="13.6328125" style="31" customWidth="1"/>
    <col min="3084" max="3084" width="13.453125" style="31" customWidth="1"/>
    <col min="3085" max="3327" width="9.08984375" style="31"/>
    <col min="3328" max="3328" width="0" style="31" hidden="1" customWidth="1"/>
    <col min="3329" max="3329" width="3" style="31" customWidth="1"/>
    <col min="3330" max="3330" width="25.54296875" style="31" customWidth="1"/>
    <col min="3331" max="3331" width="17" style="31" customWidth="1"/>
    <col min="3332" max="3332" width="11.453125" style="31" customWidth="1"/>
    <col min="3333" max="3333" width="14.453125" style="31" customWidth="1"/>
    <col min="3334" max="3334" width="12.54296875" style="31" customWidth="1"/>
    <col min="3335" max="3339" width="13.6328125" style="31" customWidth="1"/>
    <col min="3340" max="3340" width="13.453125" style="31" customWidth="1"/>
    <col min="3341" max="3583" width="9.08984375" style="31"/>
    <col min="3584" max="3584" width="0" style="31" hidden="1" customWidth="1"/>
    <col min="3585" max="3585" width="3" style="31" customWidth="1"/>
    <col min="3586" max="3586" width="25.54296875" style="31" customWidth="1"/>
    <col min="3587" max="3587" width="17" style="31" customWidth="1"/>
    <col min="3588" max="3588" width="11.453125" style="31" customWidth="1"/>
    <col min="3589" max="3589" width="14.453125" style="31" customWidth="1"/>
    <col min="3590" max="3590" width="12.54296875" style="31" customWidth="1"/>
    <col min="3591" max="3595" width="13.6328125" style="31" customWidth="1"/>
    <col min="3596" max="3596" width="13.453125" style="31" customWidth="1"/>
    <col min="3597" max="3839" width="9.08984375" style="31"/>
    <col min="3840" max="3840" width="0" style="31" hidden="1" customWidth="1"/>
    <col min="3841" max="3841" width="3" style="31" customWidth="1"/>
    <col min="3842" max="3842" width="25.54296875" style="31" customWidth="1"/>
    <col min="3843" max="3843" width="17" style="31" customWidth="1"/>
    <col min="3844" max="3844" width="11.453125" style="31" customWidth="1"/>
    <col min="3845" max="3845" width="14.453125" style="31" customWidth="1"/>
    <col min="3846" max="3846" width="12.54296875" style="31" customWidth="1"/>
    <col min="3847" max="3851" width="13.6328125" style="31" customWidth="1"/>
    <col min="3852" max="3852" width="13.453125" style="31" customWidth="1"/>
    <col min="3853" max="4095" width="9.08984375" style="31"/>
    <col min="4096" max="4096" width="0" style="31" hidden="1" customWidth="1"/>
    <col min="4097" max="4097" width="3" style="31" customWidth="1"/>
    <col min="4098" max="4098" width="25.54296875" style="31" customWidth="1"/>
    <col min="4099" max="4099" width="17" style="31" customWidth="1"/>
    <col min="4100" max="4100" width="11.453125" style="31" customWidth="1"/>
    <col min="4101" max="4101" width="14.453125" style="31" customWidth="1"/>
    <col min="4102" max="4102" width="12.54296875" style="31" customWidth="1"/>
    <col min="4103" max="4107" width="13.6328125" style="31" customWidth="1"/>
    <col min="4108" max="4108" width="13.453125" style="31" customWidth="1"/>
    <col min="4109" max="4351" width="9.08984375" style="31"/>
    <col min="4352" max="4352" width="0" style="31" hidden="1" customWidth="1"/>
    <col min="4353" max="4353" width="3" style="31" customWidth="1"/>
    <col min="4354" max="4354" width="25.54296875" style="31" customWidth="1"/>
    <col min="4355" max="4355" width="17" style="31" customWidth="1"/>
    <col min="4356" max="4356" width="11.453125" style="31" customWidth="1"/>
    <col min="4357" max="4357" width="14.453125" style="31" customWidth="1"/>
    <col min="4358" max="4358" width="12.54296875" style="31" customWidth="1"/>
    <col min="4359" max="4363" width="13.6328125" style="31" customWidth="1"/>
    <col min="4364" max="4364" width="13.453125" style="31" customWidth="1"/>
    <col min="4365" max="4607" width="9.08984375" style="31"/>
    <col min="4608" max="4608" width="0" style="31" hidden="1" customWidth="1"/>
    <col min="4609" max="4609" width="3" style="31" customWidth="1"/>
    <col min="4610" max="4610" width="25.54296875" style="31" customWidth="1"/>
    <col min="4611" max="4611" width="17" style="31" customWidth="1"/>
    <col min="4612" max="4612" width="11.453125" style="31" customWidth="1"/>
    <col min="4613" max="4613" width="14.453125" style="31" customWidth="1"/>
    <col min="4614" max="4614" width="12.54296875" style="31" customWidth="1"/>
    <col min="4615" max="4619" width="13.6328125" style="31" customWidth="1"/>
    <col min="4620" max="4620" width="13.453125" style="31" customWidth="1"/>
    <col min="4621" max="4863" width="9.08984375" style="31"/>
    <col min="4864" max="4864" width="0" style="31" hidden="1" customWidth="1"/>
    <col min="4865" max="4865" width="3" style="31" customWidth="1"/>
    <col min="4866" max="4866" width="25.54296875" style="31" customWidth="1"/>
    <col min="4867" max="4867" width="17" style="31" customWidth="1"/>
    <col min="4868" max="4868" width="11.453125" style="31" customWidth="1"/>
    <col min="4869" max="4869" width="14.453125" style="31" customWidth="1"/>
    <col min="4870" max="4870" width="12.54296875" style="31" customWidth="1"/>
    <col min="4871" max="4875" width="13.6328125" style="31" customWidth="1"/>
    <col min="4876" max="4876" width="13.453125" style="31" customWidth="1"/>
    <col min="4877" max="5119" width="9.08984375" style="31"/>
    <col min="5120" max="5120" width="0" style="31" hidden="1" customWidth="1"/>
    <col min="5121" max="5121" width="3" style="31" customWidth="1"/>
    <col min="5122" max="5122" width="25.54296875" style="31" customWidth="1"/>
    <col min="5123" max="5123" width="17" style="31" customWidth="1"/>
    <col min="5124" max="5124" width="11.453125" style="31" customWidth="1"/>
    <col min="5125" max="5125" width="14.453125" style="31" customWidth="1"/>
    <col min="5126" max="5126" width="12.54296875" style="31" customWidth="1"/>
    <col min="5127" max="5131" width="13.6328125" style="31" customWidth="1"/>
    <col min="5132" max="5132" width="13.453125" style="31" customWidth="1"/>
    <col min="5133" max="5375" width="9.08984375" style="31"/>
    <col min="5376" max="5376" width="0" style="31" hidden="1" customWidth="1"/>
    <col min="5377" max="5377" width="3" style="31" customWidth="1"/>
    <col min="5378" max="5378" width="25.54296875" style="31" customWidth="1"/>
    <col min="5379" max="5379" width="17" style="31" customWidth="1"/>
    <col min="5380" max="5380" width="11.453125" style="31" customWidth="1"/>
    <col min="5381" max="5381" width="14.453125" style="31" customWidth="1"/>
    <col min="5382" max="5382" width="12.54296875" style="31" customWidth="1"/>
    <col min="5383" max="5387" width="13.6328125" style="31" customWidth="1"/>
    <col min="5388" max="5388" width="13.453125" style="31" customWidth="1"/>
    <col min="5389" max="5631" width="9.08984375" style="31"/>
    <col min="5632" max="5632" width="0" style="31" hidden="1" customWidth="1"/>
    <col min="5633" max="5633" width="3" style="31" customWidth="1"/>
    <col min="5634" max="5634" width="25.54296875" style="31" customWidth="1"/>
    <col min="5635" max="5635" width="17" style="31" customWidth="1"/>
    <col min="5636" max="5636" width="11.453125" style="31" customWidth="1"/>
    <col min="5637" max="5637" width="14.453125" style="31" customWidth="1"/>
    <col min="5638" max="5638" width="12.54296875" style="31" customWidth="1"/>
    <col min="5639" max="5643" width="13.6328125" style="31" customWidth="1"/>
    <col min="5644" max="5644" width="13.453125" style="31" customWidth="1"/>
    <col min="5645" max="5887" width="9.08984375" style="31"/>
    <col min="5888" max="5888" width="0" style="31" hidden="1" customWidth="1"/>
    <col min="5889" max="5889" width="3" style="31" customWidth="1"/>
    <col min="5890" max="5890" width="25.54296875" style="31" customWidth="1"/>
    <col min="5891" max="5891" width="17" style="31" customWidth="1"/>
    <col min="5892" max="5892" width="11.453125" style="31" customWidth="1"/>
    <col min="5893" max="5893" width="14.453125" style="31" customWidth="1"/>
    <col min="5894" max="5894" width="12.54296875" style="31" customWidth="1"/>
    <col min="5895" max="5899" width="13.6328125" style="31" customWidth="1"/>
    <col min="5900" max="5900" width="13.453125" style="31" customWidth="1"/>
    <col min="5901" max="6143" width="9.08984375" style="31"/>
    <col min="6144" max="6144" width="0" style="31" hidden="1" customWidth="1"/>
    <col min="6145" max="6145" width="3" style="31" customWidth="1"/>
    <col min="6146" max="6146" width="25.54296875" style="31" customWidth="1"/>
    <col min="6147" max="6147" width="17" style="31" customWidth="1"/>
    <col min="6148" max="6148" width="11.453125" style="31" customWidth="1"/>
    <col min="6149" max="6149" width="14.453125" style="31" customWidth="1"/>
    <col min="6150" max="6150" width="12.54296875" style="31" customWidth="1"/>
    <col min="6151" max="6155" width="13.6328125" style="31" customWidth="1"/>
    <col min="6156" max="6156" width="13.453125" style="31" customWidth="1"/>
    <col min="6157" max="6399" width="9.08984375" style="31"/>
    <col min="6400" max="6400" width="0" style="31" hidden="1" customWidth="1"/>
    <col min="6401" max="6401" width="3" style="31" customWidth="1"/>
    <col min="6402" max="6402" width="25.54296875" style="31" customWidth="1"/>
    <col min="6403" max="6403" width="17" style="31" customWidth="1"/>
    <col min="6404" max="6404" width="11.453125" style="31" customWidth="1"/>
    <col min="6405" max="6405" width="14.453125" style="31" customWidth="1"/>
    <col min="6406" max="6406" width="12.54296875" style="31" customWidth="1"/>
    <col min="6407" max="6411" width="13.6328125" style="31" customWidth="1"/>
    <col min="6412" max="6412" width="13.453125" style="31" customWidth="1"/>
    <col min="6413" max="6655" width="9.08984375" style="31"/>
    <col min="6656" max="6656" width="0" style="31" hidden="1" customWidth="1"/>
    <col min="6657" max="6657" width="3" style="31" customWidth="1"/>
    <col min="6658" max="6658" width="25.54296875" style="31" customWidth="1"/>
    <col min="6659" max="6659" width="17" style="31" customWidth="1"/>
    <col min="6660" max="6660" width="11.453125" style="31" customWidth="1"/>
    <col min="6661" max="6661" width="14.453125" style="31" customWidth="1"/>
    <col min="6662" max="6662" width="12.54296875" style="31" customWidth="1"/>
    <col min="6663" max="6667" width="13.6328125" style="31" customWidth="1"/>
    <col min="6668" max="6668" width="13.453125" style="31" customWidth="1"/>
    <col min="6669" max="6911" width="9.08984375" style="31"/>
    <col min="6912" max="6912" width="0" style="31" hidden="1" customWidth="1"/>
    <col min="6913" max="6913" width="3" style="31" customWidth="1"/>
    <col min="6914" max="6914" width="25.54296875" style="31" customWidth="1"/>
    <col min="6915" max="6915" width="17" style="31" customWidth="1"/>
    <col min="6916" max="6916" width="11.453125" style="31" customWidth="1"/>
    <col min="6917" max="6917" width="14.453125" style="31" customWidth="1"/>
    <col min="6918" max="6918" width="12.54296875" style="31" customWidth="1"/>
    <col min="6919" max="6923" width="13.6328125" style="31" customWidth="1"/>
    <col min="6924" max="6924" width="13.453125" style="31" customWidth="1"/>
    <col min="6925" max="7167" width="9.08984375" style="31"/>
    <col min="7168" max="7168" width="0" style="31" hidden="1" customWidth="1"/>
    <col min="7169" max="7169" width="3" style="31" customWidth="1"/>
    <col min="7170" max="7170" width="25.54296875" style="31" customWidth="1"/>
    <col min="7171" max="7171" width="17" style="31" customWidth="1"/>
    <col min="7172" max="7172" width="11.453125" style="31" customWidth="1"/>
    <col min="7173" max="7173" width="14.453125" style="31" customWidth="1"/>
    <col min="7174" max="7174" width="12.54296875" style="31" customWidth="1"/>
    <col min="7175" max="7179" width="13.6328125" style="31" customWidth="1"/>
    <col min="7180" max="7180" width="13.453125" style="31" customWidth="1"/>
    <col min="7181" max="7423" width="9.08984375" style="31"/>
    <col min="7424" max="7424" width="0" style="31" hidden="1" customWidth="1"/>
    <col min="7425" max="7425" width="3" style="31" customWidth="1"/>
    <col min="7426" max="7426" width="25.54296875" style="31" customWidth="1"/>
    <col min="7427" max="7427" width="17" style="31" customWidth="1"/>
    <col min="7428" max="7428" width="11.453125" style="31" customWidth="1"/>
    <col min="7429" max="7429" width="14.453125" style="31" customWidth="1"/>
    <col min="7430" max="7430" width="12.54296875" style="31" customWidth="1"/>
    <col min="7431" max="7435" width="13.6328125" style="31" customWidth="1"/>
    <col min="7436" max="7436" width="13.453125" style="31" customWidth="1"/>
    <col min="7437" max="7679" width="9.08984375" style="31"/>
    <col min="7680" max="7680" width="0" style="31" hidden="1" customWidth="1"/>
    <col min="7681" max="7681" width="3" style="31" customWidth="1"/>
    <col min="7682" max="7682" width="25.54296875" style="31" customWidth="1"/>
    <col min="7683" max="7683" width="17" style="31" customWidth="1"/>
    <col min="7684" max="7684" width="11.453125" style="31" customWidth="1"/>
    <col min="7685" max="7685" width="14.453125" style="31" customWidth="1"/>
    <col min="7686" max="7686" width="12.54296875" style="31" customWidth="1"/>
    <col min="7687" max="7691" width="13.6328125" style="31" customWidth="1"/>
    <col min="7692" max="7692" width="13.453125" style="31" customWidth="1"/>
    <col min="7693" max="7935" width="9.08984375" style="31"/>
    <col min="7936" max="7936" width="0" style="31" hidden="1" customWidth="1"/>
    <col min="7937" max="7937" width="3" style="31" customWidth="1"/>
    <col min="7938" max="7938" width="25.54296875" style="31" customWidth="1"/>
    <col min="7939" max="7939" width="17" style="31" customWidth="1"/>
    <col min="7940" max="7940" width="11.453125" style="31" customWidth="1"/>
    <col min="7941" max="7941" width="14.453125" style="31" customWidth="1"/>
    <col min="7942" max="7942" width="12.54296875" style="31" customWidth="1"/>
    <col min="7943" max="7947" width="13.6328125" style="31" customWidth="1"/>
    <col min="7948" max="7948" width="13.453125" style="31" customWidth="1"/>
    <col min="7949" max="8191" width="9.08984375" style="31"/>
    <col min="8192" max="8192" width="0" style="31" hidden="1" customWidth="1"/>
    <col min="8193" max="8193" width="3" style="31" customWidth="1"/>
    <col min="8194" max="8194" width="25.54296875" style="31" customWidth="1"/>
    <col min="8195" max="8195" width="17" style="31" customWidth="1"/>
    <col min="8196" max="8196" width="11.453125" style="31" customWidth="1"/>
    <col min="8197" max="8197" width="14.453125" style="31" customWidth="1"/>
    <col min="8198" max="8198" width="12.54296875" style="31" customWidth="1"/>
    <col min="8199" max="8203" width="13.6328125" style="31" customWidth="1"/>
    <col min="8204" max="8204" width="13.453125" style="31" customWidth="1"/>
    <col min="8205" max="8447" width="9.08984375" style="31"/>
    <col min="8448" max="8448" width="0" style="31" hidden="1" customWidth="1"/>
    <col min="8449" max="8449" width="3" style="31" customWidth="1"/>
    <col min="8450" max="8450" width="25.54296875" style="31" customWidth="1"/>
    <col min="8451" max="8451" width="17" style="31" customWidth="1"/>
    <col min="8452" max="8452" width="11.453125" style="31" customWidth="1"/>
    <col min="8453" max="8453" width="14.453125" style="31" customWidth="1"/>
    <col min="8454" max="8454" width="12.54296875" style="31" customWidth="1"/>
    <col min="8455" max="8459" width="13.6328125" style="31" customWidth="1"/>
    <col min="8460" max="8460" width="13.453125" style="31" customWidth="1"/>
    <col min="8461" max="8703" width="9.08984375" style="31"/>
    <col min="8704" max="8704" width="0" style="31" hidden="1" customWidth="1"/>
    <col min="8705" max="8705" width="3" style="31" customWidth="1"/>
    <col min="8706" max="8706" width="25.54296875" style="31" customWidth="1"/>
    <col min="8707" max="8707" width="17" style="31" customWidth="1"/>
    <col min="8708" max="8708" width="11.453125" style="31" customWidth="1"/>
    <col min="8709" max="8709" width="14.453125" style="31" customWidth="1"/>
    <col min="8710" max="8710" width="12.54296875" style="31" customWidth="1"/>
    <col min="8711" max="8715" width="13.6328125" style="31" customWidth="1"/>
    <col min="8716" max="8716" width="13.453125" style="31" customWidth="1"/>
    <col min="8717" max="8959" width="9.08984375" style="31"/>
    <col min="8960" max="8960" width="0" style="31" hidden="1" customWidth="1"/>
    <col min="8961" max="8961" width="3" style="31" customWidth="1"/>
    <col min="8962" max="8962" width="25.54296875" style="31" customWidth="1"/>
    <col min="8963" max="8963" width="17" style="31" customWidth="1"/>
    <col min="8964" max="8964" width="11.453125" style="31" customWidth="1"/>
    <col min="8965" max="8965" width="14.453125" style="31" customWidth="1"/>
    <col min="8966" max="8966" width="12.54296875" style="31" customWidth="1"/>
    <col min="8967" max="8971" width="13.6328125" style="31" customWidth="1"/>
    <col min="8972" max="8972" width="13.453125" style="31" customWidth="1"/>
    <col min="8973" max="9215" width="9.08984375" style="31"/>
    <col min="9216" max="9216" width="0" style="31" hidden="1" customWidth="1"/>
    <col min="9217" max="9217" width="3" style="31" customWidth="1"/>
    <col min="9218" max="9218" width="25.54296875" style="31" customWidth="1"/>
    <col min="9219" max="9219" width="17" style="31" customWidth="1"/>
    <col min="9220" max="9220" width="11.453125" style="31" customWidth="1"/>
    <col min="9221" max="9221" width="14.453125" style="31" customWidth="1"/>
    <col min="9222" max="9222" width="12.54296875" style="31" customWidth="1"/>
    <col min="9223" max="9227" width="13.6328125" style="31" customWidth="1"/>
    <col min="9228" max="9228" width="13.453125" style="31" customWidth="1"/>
    <col min="9229" max="9471" width="9.08984375" style="31"/>
    <col min="9472" max="9472" width="0" style="31" hidden="1" customWidth="1"/>
    <col min="9473" max="9473" width="3" style="31" customWidth="1"/>
    <col min="9474" max="9474" width="25.54296875" style="31" customWidth="1"/>
    <col min="9475" max="9475" width="17" style="31" customWidth="1"/>
    <col min="9476" max="9476" width="11.453125" style="31" customWidth="1"/>
    <col min="9477" max="9477" width="14.453125" style="31" customWidth="1"/>
    <col min="9478" max="9478" width="12.54296875" style="31" customWidth="1"/>
    <col min="9479" max="9483" width="13.6328125" style="31" customWidth="1"/>
    <col min="9484" max="9484" width="13.453125" style="31" customWidth="1"/>
    <col min="9485" max="9727" width="9.08984375" style="31"/>
    <col min="9728" max="9728" width="0" style="31" hidden="1" customWidth="1"/>
    <col min="9729" max="9729" width="3" style="31" customWidth="1"/>
    <col min="9730" max="9730" width="25.54296875" style="31" customWidth="1"/>
    <col min="9731" max="9731" width="17" style="31" customWidth="1"/>
    <col min="9732" max="9732" width="11.453125" style="31" customWidth="1"/>
    <col min="9733" max="9733" width="14.453125" style="31" customWidth="1"/>
    <col min="9734" max="9734" width="12.54296875" style="31" customWidth="1"/>
    <col min="9735" max="9739" width="13.6328125" style="31" customWidth="1"/>
    <col min="9740" max="9740" width="13.453125" style="31" customWidth="1"/>
    <col min="9741" max="9983" width="9.08984375" style="31"/>
    <col min="9984" max="9984" width="0" style="31" hidden="1" customWidth="1"/>
    <col min="9985" max="9985" width="3" style="31" customWidth="1"/>
    <col min="9986" max="9986" width="25.54296875" style="31" customWidth="1"/>
    <col min="9987" max="9987" width="17" style="31" customWidth="1"/>
    <col min="9988" max="9988" width="11.453125" style="31" customWidth="1"/>
    <col min="9989" max="9989" width="14.453125" style="31" customWidth="1"/>
    <col min="9990" max="9990" width="12.54296875" style="31" customWidth="1"/>
    <col min="9991" max="9995" width="13.6328125" style="31" customWidth="1"/>
    <col min="9996" max="9996" width="13.453125" style="31" customWidth="1"/>
    <col min="9997" max="10239" width="9.08984375" style="31"/>
    <col min="10240" max="10240" width="0" style="31" hidden="1" customWidth="1"/>
    <col min="10241" max="10241" width="3" style="31" customWidth="1"/>
    <col min="10242" max="10242" width="25.54296875" style="31" customWidth="1"/>
    <col min="10243" max="10243" width="17" style="31" customWidth="1"/>
    <col min="10244" max="10244" width="11.453125" style="31" customWidth="1"/>
    <col min="10245" max="10245" width="14.453125" style="31" customWidth="1"/>
    <col min="10246" max="10246" width="12.54296875" style="31" customWidth="1"/>
    <col min="10247" max="10251" width="13.6328125" style="31" customWidth="1"/>
    <col min="10252" max="10252" width="13.453125" style="31" customWidth="1"/>
    <col min="10253" max="10495" width="9.08984375" style="31"/>
    <col min="10496" max="10496" width="0" style="31" hidden="1" customWidth="1"/>
    <col min="10497" max="10497" width="3" style="31" customWidth="1"/>
    <col min="10498" max="10498" width="25.54296875" style="31" customWidth="1"/>
    <col min="10499" max="10499" width="17" style="31" customWidth="1"/>
    <col min="10500" max="10500" width="11.453125" style="31" customWidth="1"/>
    <col min="10501" max="10501" width="14.453125" style="31" customWidth="1"/>
    <col min="10502" max="10502" width="12.54296875" style="31" customWidth="1"/>
    <col min="10503" max="10507" width="13.6328125" style="31" customWidth="1"/>
    <col min="10508" max="10508" width="13.453125" style="31" customWidth="1"/>
    <col min="10509" max="10751" width="9.08984375" style="31"/>
    <col min="10752" max="10752" width="0" style="31" hidden="1" customWidth="1"/>
    <col min="10753" max="10753" width="3" style="31" customWidth="1"/>
    <col min="10754" max="10754" width="25.54296875" style="31" customWidth="1"/>
    <col min="10755" max="10755" width="17" style="31" customWidth="1"/>
    <col min="10756" max="10756" width="11.453125" style="31" customWidth="1"/>
    <col min="10757" max="10757" width="14.453125" style="31" customWidth="1"/>
    <col min="10758" max="10758" width="12.54296875" style="31" customWidth="1"/>
    <col min="10759" max="10763" width="13.6328125" style="31" customWidth="1"/>
    <col min="10764" max="10764" width="13.453125" style="31" customWidth="1"/>
    <col min="10765" max="11007" width="9.08984375" style="31"/>
    <col min="11008" max="11008" width="0" style="31" hidden="1" customWidth="1"/>
    <col min="11009" max="11009" width="3" style="31" customWidth="1"/>
    <col min="11010" max="11010" width="25.54296875" style="31" customWidth="1"/>
    <col min="11011" max="11011" width="17" style="31" customWidth="1"/>
    <col min="11012" max="11012" width="11.453125" style="31" customWidth="1"/>
    <col min="11013" max="11013" width="14.453125" style="31" customWidth="1"/>
    <col min="11014" max="11014" width="12.54296875" style="31" customWidth="1"/>
    <col min="11015" max="11019" width="13.6328125" style="31" customWidth="1"/>
    <col min="11020" max="11020" width="13.453125" style="31" customWidth="1"/>
    <col min="11021" max="11263" width="9.08984375" style="31"/>
    <col min="11264" max="11264" width="0" style="31" hidden="1" customWidth="1"/>
    <col min="11265" max="11265" width="3" style="31" customWidth="1"/>
    <col min="11266" max="11266" width="25.54296875" style="31" customWidth="1"/>
    <col min="11267" max="11267" width="17" style="31" customWidth="1"/>
    <col min="11268" max="11268" width="11.453125" style="31" customWidth="1"/>
    <col min="11269" max="11269" width="14.453125" style="31" customWidth="1"/>
    <col min="11270" max="11270" width="12.54296875" style="31" customWidth="1"/>
    <col min="11271" max="11275" width="13.6328125" style="31" customWidth="1"/>
    <col min="11276" max="11276" width="13.453125" style="31" customWidth="1"/>
    <col min="11277" max="11519" width="9.08984375" style="31"/>
    <col min="11520" max="11520" width="0" style="31" hidden="1" customWidth="1"/>
    <col min="11521" max="11521" width="3" style="31" customWidth="1"/>
    <col min="11522" max="11522" width="25.54296875" style="31" customWidth="1"/>
    <col min="11523" max="11523" width="17" style="31" customWidth="1"/>
    <col min="11524" max="11524" width="11.453125" style="31" customWidth="1"/>
    <col min="11525" max="11525" width="14.453125" style="31" customWidth="1"/>
    <col min="11526" max="11526" width="12.54296875" style="31" customWidth="1"/>
    <col min="11527" max="11531" width="13.6328125" style="31" customWidth="1"/>
    <col min="11532" max="11532" width="13.453125" style="31" customWidth="1"/>
    <col min="11533" max="11775" width="9.08984375" style="31"/>
    <col min="11776" max="11776" width="0" style="31" hidden="1" customWidth="1"/>
    <col min="11777" max="11777" width="3" style="31" customWidth="1"/>
    <col min="11778" max="11778" width="25.54296875" style="31" customWidth="1"/>
    <col min="11779" max="11779" width="17" style="31" customWidth="1"/>
    <col min="11780" max="11780" width="11.453125" style="31" customWidth="1"/>
    <col min="11781" max="11781" width="14.453125" style="31" customWidth="1"/>
    <col min="11782" max="11782" width="12.54296875" style="31" customWidth="1"/>
    <col min="11783" max="11787" width="13.6328125" style="31" customWidth="1"/>
    <col min="11788" max="11788" width="13.453125" style="31" customWidth="1"/>
    <col min="11789" max="12031" width="9.08984375" style="31"/>
    <col min="12032" max="12032" width="0" style="31" hidden="1" customWidth="1"/>
    <col min="12033" max="12033" width="3" style="31" customWidth="1"/>
    <col min="12034" max="12034" width="25.54296875" style="31" customWidth="1"/>
    <col min="12035" max="12035" width="17" style="31" customWidth="1"/>
    <col min="12036" max="12036" width="11.453125" style="31" customWidth="1"/>
    <col min="12037" max="12037" width="14.453125" style="31" customWidth="1"/>
    <col min="12038" max="12038" width="12.54296875" style="31" customWidth="1"/>
    <col min="12039" max="12043" width="13.6328125" style="31" customWidth="1"/>
    <col min="12044" max="12044" width="13.453125" style="31" customWidth="1"/>
    <col min="12045" max="12287" width="9.08984375" style="31"/>
    <col min="12288" max="12288" width="0" style="31" hidden="1" customWidth="1"/>
    <col min="12289" max="12289" width="3" style="31" customWidth="1"/>
    <col min="12290" max="12290" width="25.54296875" style="31" customWidth="1"/>
    <col min="12291" max="12291" width="17" style="31" customWidth="1"/>
    <col min="12292" max="12292" width="11.453125" style="31" customWidth="1"/>
    <col min="12293" max="12293" width="14.453125" style="31" customWidth="1"/>
    <col min="12294" max="12294" width="12.54296875" style="31" customWidth="1"/>
    <col min="12295" max="12299" width="13.6328125" style="31" customWidth="1"/>
    <col min="12300" max="12300" width="13.453125" style="31" customWidth="1"/>
    <col min="12301" max="12543" width="9.08984375" style="31"/>
    <col min="12544" max="12544" width="0" style="31" hidden="1" customWidth="1"/>
    <col min="12545" max="12545" width="3" style="31" customWidth="1"/>
    <col min="12546" max="12546" width="25.54296875" style="31" customWidth="1"/>
    <col min="12547" max="12547" width="17" style="31" customWidth="1"/>
    <col min="12548" max="12548" width="11.453125" style="31" customWidth="1"/>
    <col min="12549" max="12549" width="14.453125" style="31" customWidth="1"/>
    <col min="12550" max="12550" width="12.54296875" style="31" customWidth="1"/>
    <col min="12551" max="12555" width="13.6328125" style="31" customWidth="1"/>
    <col min="12556" max="12556" width="13.453125" style="31" customWidth="1"/>
    <col min="12557" max="12799" width="9.08984375" style="31"/>
    <col min="12800" max="12800" width="0" style="31" hidden="1" customWidth="1"/>
    <col min="12801" max="12801" width="3" style="31" customWidth="1"/>
    <col min="12802" max="12802" width="25.54296875" style="31" customWidth="1"/>
    <col min="12803" max="12803" width="17" style="31" customWidth="1"/>
    <col min="12804" max="12804" width="11.453125" style="31" customWidth="1"/>
    <col min="12805" max="12805" width="14.453125" style="31" customWidth="1"/>
    <col min="12806" max="12806" width="12.54296875" style="31" customWidth="1"/>
    <col min="12807" max="12811" width="13.6328125" style="31" customWidth="1"/>
    <col min="12812" max="12812" width="13.453125" style="31" customWidth="1"/>
    <col min="12813" max="13055" width="9.08984375" style="31"/>
    <col min="13056" max="13056" width="0" style="31" hidden="1" customWidth="1"/>
    <col min="13057" max="13057" width="3" style="31" customWidth="1"/>
    <col min="13058" max="13058" width="25.54296875" style="31" customWidth="1"/>
    <col min="13059" max="13059" width="17" style="31" customWidth="1"/>
    <col min="13060" max="13060" width="11.453125" style="31" customWidth="1"/>
    <col min="13061" max="13061" width="14.453125" style="31" customWidth="1"/>
    <col min="13062" max="13062" width="12.54296875" style="31" customWidth="1"/>
    <col min="13063" max="13067" width="13.6328125" style="31" customWidth="1"/>
    <col min="13068" max="13068" width="13.453125" style="31" customWidth="1"/>
    <col min="13069" max="13311" width="9.08984375" style="31"/>
    <col min="13312" max="13312" width="0" style="31" hidden="1" customWidth="1"/>
    <col min="13313" max="13313" width="3" style="31" customWidth="1"/>
    <col min="13314" max="13314" width="25.54296875" style="31" customWidth="1"/>
    <col min="13315" max="13315" width="17" style="31" customWidth="1"/>
    <col min="13316" max="13316" width="11.453125" style="31" customWidth="1"/>
    <col min="13317" max="13317" width="14.453125" style="31" customWidth="1"/>
    <col min="13318" max="13318" width="12.54296875" style="31" customWidth="1"/>
    <col min="13319" max="13323" width="13.6328125" style="31" customWidth="1"/>
    <col min="13324" max="13324" width="13.453125" style="31" customWidth="1"/>
    <col min="13325" max="13567" width="9.08984375" style="31"/>
    <col min="13568" max="13568" width="0" style="31" hidden="1" customWidth="1"/>
    <col min="13569" max="13569" width="3" style="31" customWidth="1"/>
    <col min="13570" max="13570" width="25.54296875" style="31" customWidth="1"/>
    <col min="13571" max="13571" width="17" style="31" customWidth="1"/>
    <col min="13572" max="13572" width="11.453125" style="31" customWidth="1"/>
    <col min="13573" max="13573" width="14.453125" style="31" customWidth="1"/>
    <col min="13574" max="13574" width="12.54296875" style="31" customWidth="1"/>
    <col min="13575" max="13579" width="13.6328125" style="31" customWidth="1"/>
    <col min="13580" max="13580" width="13.453125" style="31" customWidth="1"/>
    <col min="13581" max="13823" width="9.08984375" style="31"/>
    <col min="13824" max="13824" width="0" style="31" hidden="1" customWidth="1"/>
    <col min="13825" max="13825" width="3" style="31" customWidth="1"/>
    <col min="13826" max="13826" width="25.54296875" style="31" customWidth="1"/>
    <col min="13827" max="13827" width="17" style="31" customWidth="1"/>
    <col min="13828" max="13828" width="11.453125" style="31" customWidth="1"/>
    <col min="13829" max="13829" width="14.453125" style="31" customWidth="1"/>
    <col min="13830" max="13830" width="12.54296875" style="31" customWidth="1"/>
    <col min="13831" max="13835" width="13.6328125" style="31" customWidth="1"/>
    <col min="13836" max="13836" width="13.453125" style="31" customWidth="1"/>
    <col min="13837" max="14079" width="9.08984375" style="31"/>
    <col min="14080" max="14080" width="0" style="31" hidden="1" customWidth="1"/>
    <col min="14081" max="14081" width="3" style="31" customWidth="1"/>
    <col min="14082" max="14082" width="25.54296875" style="31" customWidth="1"/>
    <col min="14083" max="14083" width="17" style="31" customWidth="1"/>
    <col min="14084" max="14084" width="11.453125" style="31" customWidth="1"/>
    <col min="14085" max="14085" width="14.453125" style="31" customWidth="1"/>
    <col min="14086" max="14086" width="12.54296875" style="31" customWidth="1"/>
    <col min="14087" max="14091" width="13.6328125" style="31" customWidth="1"/>
    <col min="14092" max="14092" width="13.453125" style="31" customWidth="1"/>
    <col min="14093" max="14335" width="9.08984375" style="31"/>
    <col min="14336" max="14336" width="0" style="31" hidden="1" customWidth="1"/>
    <col min="14337" max="14337" width="3" style="31" customWidth="1"/>
    <col min="14338" max="14338" width="25.54296875" style="31" customWidth="1"/>
    <col min="14339" max="14339" width="17" style="31" customWidth="1"/>
    <col min="14340" max="14340" width="11.453125" style="31" customWidth="1"/>
    <col min="14341" max="14341" width="14.453125" style="31" customWidth="1"/>
    <col min="14342" max="14342" width="12.54296875" style="31" customWidth="1"/>
    <col min="14343" max="14347" width="13.6328125" style="31" customWidth="1"/>
    <col min="14348" max="14348" width="13.453125" style="31" customWidth="1"/>
    <col min="14349" max="14591" width="9.08984375" style="31"/>
    <col min="14592" max="14592" width="0" style="31" hidden="1" customWidth="1"/>
    <col min="14593" max="14593" width="3" style="31" customWidth="1"/>
    <col min="14594" max="14594" width="25.54296875" style="31" customWidth="1"/>
    <col min="14595" max="14595" width="17" style="31" customWidth="1"/>
    <col min="14596" max="14596" width="11.453125" style="31" customWidth="1"/>
    <col min="14597" max="14597" width="14.453125" style="31" customWidth="1"/>
    <col min="14598" max="14598" width="12.54296875" style="31" customWidth="1"/>
    <col min="14599" max="14603" width="13.6328125" style="31" customWidth="1"/>
    <col min="14604" max="14604" width="13.453125" style="31" customWidth="1"/>
    <col min="14605" max="14847" width="9.08984375" style="31"/>
    <col min="14848" max="14848" width="0" style="31" hidden="1" customWidth="1"/>
    <col min="14849" max="14849" width="3" style="31" customWidth="1"/>
    <col min="14850" max="14850" width="25.54296875" style="31" customWidth="1"/>
    <col min="14851" max="14851" width="17" style="31" customWidth="1"/>
    <col min="14852" max="14852" width="11.453125" style="31" customWidth="1"/>
    <col min="14853" max="14853" width="14.453125" style="31" customWidth="1"/>
    <col min="14854" max="14854" width="12.54296875" style="31" customWidth="1"/>
    <col min="14855" max="14859" width="13.6328125" style="31" customWidth="1"/>
    <col min="14860" max="14860" width="13.453125" style="31" customWidth="1"/>
    <col min="14861" max="15103" width="9.08984375" style="31"/>
    <col min="15104" max="15104" width="0" style="31" hidden="1" customWidth="1"/>
    <col min="15105" max="15105" width="3" style="31" customWidth="1"/>
    <col min="15106" max="15106" width="25.54296875" style="31" customWidth="1"/>
    <col min="15107" max="15107" width="17" style="31" customWidth="1"/>
    <col min="15108" max="15108" width="11.453125" style="31" customWidth="1"/>
    <col min="15109" max="15109" width="14.453125" style="31" customWidth="1"/>
    <col min="15110" max="15110" width="12.54296875" style="31" customWidth="1"/>
    <col min="15111" max="15115" width="13.6328125" style="31" customWidth="1"/>
    <col min="15116" max="15116" width="13.453125" style="31" customWidth="1"/>
    <col min="15117" max="15359" width="9.08984375" style="31"/>
    <col min="15360" max="15360" width="0" style="31" hidden="1" customWidth="1"/>
    <col min="15361" max="15361" width="3" style="31" customWidth="1"/>
    <col min="15362" max="15362" width="25.54296875" style="31" customWidth="1"/>
    <col min="15363" max="15363" width="17" style="31" customWidth="1"/>
    <col min="15364" max="15364" width="11.453125" style="31" customWidth="1"/>
    <col min="15365" max="15365" width="14.453125" style="31" customWidth="1"/>
    <col min="15366" max="15366" width="12.54296875" style="31" customWidth="1"/>
    <col min="15367" max="15371" width="13.6328125" style="31" customWidth="1"/>
    <col min="15372" max="15372" width="13.453125" style="31" customWidth="1"/>
    <col min="15373" max="15615" width="9.08984375" style="31"/>
    <col min="15616" max="15616" width="0" style="31" hidden="1" customWidth="1"/>
    <col min="15617" max="15617" width="3" style="31" customWidth="1"/>
    <col min="15618" max="15618" width="25.54296875" style="31" customWidth="1"/>
    <col min="15619" max="15619" width="17" style="31" customWidth="1"/>
    <col min="15620" max="15620" width="11.453125" style="31" customWidth="1"/>
    <col min="15621" max="15621" width="14.453125" style="31" customWidth="1"/>
    <col min="15622" max="15622" width="12.54296875" style="31" customWidth="1"/>
    <col min="15623" max="15627" width="13.6328125" style="31" customWidth="1"/>
    <col min="15628" max="15628" width="13.453125" style="31" customWidth="1"/>
    <col min="15629" max="15871" width="9.08984375" style="31"/>
    <col min="15872" max="15872" width="0" style="31" hidden="1" customWidth="1"/>
    <col min="15873" max="15873" width="3" style="31" customWidth="1"/>
    <col min="15874" max="15874" width="25.54296875" style="31" customWidth="1"/>
    <col min="15875" max="15875" width="17" style="31" customWidth="1"/>
    <col min="15876" max="15876" width="11.453125" style="31" customWidth="1"/>
    <col min="15877" max="15877" width="14.453125" style="31" customWidth="1"/>
    <col min="15878" max="15878" width="12.54296875" style="31" customWidth="1"/>
    <col min="15879" max="15883" width="13.6328125" style="31" customWidth="1"/>
    <col min="15884" max="15884" width="13.453125" style="31" customWidth="1"/>
    <col min="15885" max="16127" width="9.08984375" style="31"/>
    <col min="16128" max="16128" width="0" style="31" hidden="1" customWidth="1"/>
    <col min="16129" max="16129" width="3" style="31" customWidth="1"/>
    <col min="16130" max="16130" width="25.54296875" style="31" customWidth="1"/>
    <col min="16131" max="16131" width="17" style="31" customWidth="1"/>
    <col min="16132" max="16132" width="11.453125" style="31" customWidth="1"/>
    <col min="16133" max="16133" width="14.453125" style="31" customWidth="1"/>
    <col min="16134" max="16134" width="12.54296875" style="31" customWidth="1"/>
    <col min="16135" max="16139" width="13.6328125" style="31" customWidth="1"/>
    <col min="16140" max="16140" width="13.453125" style="31" customWidth="1"/>
    <col min="16141" max="16384" width="9.08984375" style="31"/>
  </cols>
  <sheetData>
    <row r="2" spans="1:13" ht="40.5" customHeight="1" x14ac:dyDescent="0.3">
      <c r="B2" s="113" t="s">
        <v>98</v>
      </c>
      <c r="C2" s="113"/>
      <c r="D2" s="114"/>
      <c r="E2" s="114"/>
      <c r="F2" s="114"/>
      <c r="G2" s="114"/>
      <c r="H2" s="114"/>
      <c r="I2" s="114"/>
      <c r="J2" s="114"/>
      <c r="K2" s="114"/>
      <c r="L2" s="114"/>
    </row>
    <row r="3" spans="1:13" s="65" customFormat="1" ht="43.5" customHeight="1" x14ac:dyDescent="0.35">
      <c r="B3" s="118"/>
      <c r="C3" s="117" t="s">
        <v>67</v>
      </c>
      <c r="D3" s="117"/>
      <c r="E3" s="117"/>
      <c r="F3" s="111" t="s">
        <v>68</v>
      </c>
      <c r="G3" s="111" t="s">
        <v>69</v>
      </c>
      <c r="H3" s="111" t="s">
        <v>70</v>
      </c>
      <c r="I3" s="111" t="s">
        <v>71</v>
      </c>
      <c r="J3" s="111" t="s">
        <v>72</v>
      </c>
      <c r="K3" s="111" t="s">
        <v>73</v>
      </c>
      <c r="L3" s="111" t="s">
        <v>99</v>
      </c>
      <c r="M3" s="111"/>
    </row>
    <row r="4" spans="1:13" s="65" customFormat="1" ht="47.25" customHeight="1" x14ac:dyDescent="0.35">
      <c r="B4" s="119"/>
      <c r="C4" s="33" t="s">
        <v>75</v>
      </c>
      <c r="D4" s="33" t="s">
        <v>76</v>
      </c>
      <c r="E4" s="33" t="s">
        <v>77</v>
      </c>
      <c r="F4" s="112"/>
      <c r="G4" s="112"/>
      <c r="H4" s="112"/>
      <c r="I4" s="112"/>
      <c r="J4" s="112"/>
      <c r="K4" s="112"/>
      <c r="L4" s="112"/>
      <c r="M4" s="112"/>
    </row>
    <row r="5" spans="1:13" s="65" customFormat="1" ht="18" hidden="1" customHeight="1" x14ac:dyDescent="0.35">
      <c r="D5" s="66" t="s">
        <v>78</v>
      </c>
      <c r="E5" s="66" t="s">
        <v>79</v>
      </c>
      <c r="F5" s="67" t="s">
        <v>80</v>
      </c>
      <c r="G5" s="67" t="s">
        <v>81</v>
      </c>
      <c r="H5" s="66" t="s">
        <v>82</v>
      </c>
      <c r="I5" s="66" t="s">
        <v>83</v>
      </c>
      <c r="J5" s="68" t="s">
        <v>84</v>
      </c>
      <c r="K5" s="65" t="s">
        <v>85</v>
      </c>
      <c r="L5" s="65" t="s">
        <v>86</v>
      </c>
    </row>
    <row r="6" spans="1:13" s="65" customFormat="1" ht="25.5" customHeight="1" x14ac:dyDescent="0.35">
      <c r="B6" s="69" t="s">
        <v>0</v>
      </c>
      <c r="C6" s="70">
        <v>81998</v>
      </c>
      <c r="D6" s="70">
        <v>48637</v>
      </c>
      <c r="E6" s="70">
        <v>33361</v>
      </c>
      <c r="F6" s="70">
        <v>25188</v>
      </c>
      <c r="G6" s="70">
        <v>3292</v>
      </c>
      <c r="H6" s="70">
        <v>603</v>
      </c>
      <c r="I6" s="70">
        <v>68</v>
      </c>
      <c r="J6" s="70">
        <v>95</v>
      </c>
      <c r="K6" s="70">
        <v>8694</v>
      </c>
      <c r="L6" s="70">
        <v>1366775</v>
      </c>
      <c r="M6" s="88"/>
    </row>
    <row r="7" spans="1:13" s="69" customFormat="1" ht="26.25" customHeight="1" x14ac:dyDescent="0.35">
      <c r="A7" s="27"/>
      <c r="B7" s="69" t="s">
        <v>52</v>
      </c>
      <c r="C7" s="72">
        <v>49564</v>
      </c>
      <c r="D7" s="72">
        <v>29755</v>
      </c>
      <c r="E7" s="72">
        <v>19809</v>
      </c>
      <c r="F7" s="72">
        <v>16391</v>
      </c>
      <c r="G7" s="72">
        <v>1441</v>
      </c>
      <c r="H7" s="72">
        <v>406</v>
      </c>
      <c r="I7" s="72">
        <v>33</v>
      </c>
      <c r="J7" s="72">
        <v>77</v>
      </c>
      <c r="K7" s="72">
        <v>6020</v>
      </c>
      <c r="L7" s="72">
        <v>929449</v>
      </c>
    </row>
    <row r="8" spans="1:13" s="65" customFormat="1" ht="12.5" x14ac:dyDescent="0.35">
      <c r="A8" s="28">
        <v>51</v>
      </c>
      <c r="B8" s="65" t="s">
        <v>5</v>
      </c>
      <c r="C8" s="71">
        <v>964</v>
      </c>
      <c r="D8" s="73">
        <v>317</v>
      </c>
      <c r="E8" s="73">
        <v>647</v>
      </c>
      <c r="F8" s="73">
        <v>469</v>
      </c>
      <c r="G8" s="73">
        <v>33</v>
      </c>
      <c r="H8" s="73">
        <v>18</v>
      </c>
      <c r="I8" s="73">
        <v>0</v>
      </c>
      <c r="J8" s="73">
        <v>1</v>
      </c>
      <c r="K8" s="73">
        <v>430</v>
      </c>
      <c r="L8" s="73">
        <v>11825</v>
      </c>
    </row>
    <row r="9" spans="1:13" s="65" customFormat="1" ht="12.5" x14ac:dyDescent="0.35">
      <c r="A9" s="28">
        <v>52</v>
      </c>
      <c r="B9" s="65" t="s">
        <v>6</v>
      </c>
      <c r="C9" s="71">
        <v>1447</v>
      </c>
      <c r="D9" s="73">
        <v>1244</v>
      </c>
      <c r="E9" s="73">
        <v>203</v>
      </c>
      <c r="F9" s="73">
        <v>203</v>
      </c>
      <c r="G9" s="73">
        <v>14</v>
      </c>
      <c r="H9" s="73">
        <v>3</v>
      </c>
      <c r="I9" s="73">
        <v>0</v>
      </c>
      <c r="J9" s="73">
        <v>0</v>
      </c>
      <c r="K9" s="73">
        <v>6</v>
      </c>
      <c r="L9" s="73">
        <v>20543</v>
      </c>
    </row>
    <row r="10" spans="1:13" s="65" customFormat="1" ht="12.5" x14ac:dyDescent="0.35">
      <c r="A10" s="28">
        <v>86</v>
      </c>
      <c r="B10" s="65" t="s">
        <v>7</v>
      </c>
      <c r="C10" s="71">
        <v>1745</v>
      </c>
      <c r="D10" s="73">
        <v>1256</v>
      </c>
      <c r="E10" s="73">
        <v>489</v>
      </c>
      <c r="F10" s="73">
        <v>339</v>
      </c>
      <c r="G10" s="73">
        <v>13</v>
      </c>
      <c r="H10" s="73">
        <v>0</v>
      </c>
      <c r="I10" s="73">
        <v>0</v>
      </c>
      <c r="J10" s="73">
        <v>0</v>
      </c>
      <c r="K10" s="73">
        <v>0</v>
      </c>
      <c r="L10" s="73">
        <v>35307</v>
      </c>
    </row>
    <row r="11" spans="1:13" s="65" customFormat="1" ht="12.5" x14ac:dyDescent="0.35">
      <c r="A11" s="28">
        <v>53</v>
      </c>
      <c r="B11" s="65" t="s">
        <v>8</v>
      </c>
      <c r="C11" s="71">
        <v>811</v>
      </c>
      <c r="D11" s="73">
        <v>623</v>
      </c>
      <c r="E11" s="73">
        <v>188</v>
      </c>
      <c r="F11" s="73">
        <v>354</v>
      </c>
      <c r="G11" s="73">
        <v>17</v>
      </c>
      <c r="H11" s="73">
        <v>3</v>
      </c>
      <c r="I11" s="73">
        <v>1</v>
      </c>
      <c r="J11" s="73">
        <v>2</v>
      </c>
      <c r="K11" s="73">
        <v>101</v>
      </c>
      <c r="L11" s="73">
        <v>9933</v>
      </c>
    </row>
    <row r="12" spans="1:13" s="65" customFormat="1" ht="12.5" x14ac:dyDescent="0.35">
      <c r="A12" s="28">
        <v>54</v>
      </c>
      <c r="B12" s="65" t="s">
        <v>9</v>
      </c>
      <c r="C12" s="71">
        <v>525</v>
      </c>
      <c r="D12" s="73">
        <v>293</v>
      </c>
      <c r="E12" s="73">
        <v>232</v>
      </c>
      <c r="F12" s="73">
        <v>164</v>
      </c>
      <c r="G12" s="73">
        <v>10</v>
      </c>
      <c r="H12" s="73">
        <v>11</v>
      </c>
      <c r="I12" s="73">
        <v>1</v>
      </c>
      <c r="J12" s="73">
        <v>0</v>
      </c>
      <c r="K12" s="73">
        <v>163</v>
      </c>
      <c r="L12" s="73">
        <v>21555</v>
      </c>
    </row>
    <row r="13" spans="1:13" s="65" customFormat="1" ht="12.5" x14ac:dyDescent="0.35">
      <c r="A13" s="28">
        <v>55</v>
      </c>
      <c r="B13" s="65" t="s">
        <v>10</v>
      </c>
      <c r="C13" s="71">
        <v>2088</v>
      </c>
      <c r="D13" s="73">
        <v>1324</v>
      </c>
      <c r="E13" s="73">
        <v>764</v>
      </c>
      <c r="F13" s="73">
        <v>644</v>
      </c>
      <c r="G13" s="73">
        <v>97</v>
      </c>
      <c r="H13" s="73">
        <v>23</v>
      </c>
      <c r="I13" s="73">
        <v>3</v>
      </c>
      <c r="J13" s="73">
        <v>1</v>
      </c>
      <c r="K13" s="73">
        <v>198</v>
      </c>
      <c r="L13" s="73">
        <v>24963</v>
      </c>
    </row>
    <row r="14" spans="1:13" s="65" customFormat="1" ht="12.5" x14ac:dyDescent="0.35">
      <c r="A14" s="28">
        <v>56</v>
      </c>
      <c r="B14" s="65" t="s">
        <v>11</v>
      </c>
      <c r="C14" s="71">
        <v>983</v>
      </c>
      <c r="D14" s="73">
        <v>868</v>
      </c>
      <c r="E14" s="73">
        <v>115</v>
      </c>
      <c r="F14" s="73">
        <v>91</v>
      </c>
      <c r="G14" s="73">
        <v>10</v>
      </c>
      <c r="H14" s="73">
        <v>2</v>
      </c>
      <c r="I14" s="73">
        <v>0</v>
      </c>
      <c r="J14" s="73">
        <v>0</v>
      </c>
      <c r="K14" s="73">
        <v>51</v>
      </c>
      <c r="L14" s="73">
        <v>13802</v>
      </c>
    </row>
    <row r="15" spans="1:13" s="65" customFormat="1" ht="12.5" x14ac:dyDescent="0.35">
      <c r="A15" s="28">
        <v>57</v>
      </c>
      <c r="B15" s="65" t="s">
        <v>12</v>
      </c>
      <c r="C15" s="71">
        <v>1028</v>
      </c>
      <c r="D15" s="73">
        <v>677</v>
      </c>
      <c r="E15" s="73">
        <v>351</v>
      </c>
      <c r="F15" s="73">
        <v>294</v>
      </c>
      <c r="G15" s="73">
        <v>7</v>
      </c>
      <c r="H15" s="73">
        <v>2</v>
      </c>
      <c r="I15" s="73">
        <v>1</v>
      </c>
      <c r="J15" s="73">
        <v>0</v>
      </c>
      <c r="K15" s="73">
        <v>93</v>
      </c>
      <c r="L15" s="73">
        <v>16054</v>
      </c>
    </row>
    <row r="16" spans="1:13" s="65" customFormat="1" ht="12.5" x14ac:dyDescent="0.35">
      <c r="A16" s="28">
        <v>59</v>
      </c>
      <c r="B16" s="65" t="s">
        <v>13</v>
      </c>
      <c r="C16" s="71">
        <v>391</v>
      </c>
      <c r="D16" s="73">
        <v>201</v>
      </c>
      <c r="E16" s="73">
        <v>190</v>
      </c>
      <c r="F16" s="73">
        <v>138</v>
      </c>
      <c r="G16" s="73">
        <v>48</v>
      </c>
      <c r="H16" s="73">
        <v>11</v>
      </c>
      <c r="I16" s="73">
        <v>1</v>
      </c>
      <c r="J16" s="73">
        <v>0</v>
      </c>
      <c r="K16" s="73">
        <v>23</v>
      </c>
      <c r="L16" s="73">
        <v>5049</v>
      </c>
    </row>
    <row r="17" spans="1:12" s="65" customFormat="1" ht="12.5" x14ac:dyDescent="0.35">
      <c r="A17" s="28">
        <v>60</v>
      </c>
      <c r="B17" s="65" t="s">
        <v>14</v>
      </c>
      <c r="C17" s="71">
        <v>1121</v>
      </c>
      <c r="D17" s="73">
        <v>538</v>
      </c>
      <c r="E17" s="73">
        <v>583</v>
      </c>
      <c r="F17" s="73">
        <v>470</v>
      </c>
      <c r="G17" s="73">
        <v>52</v>
      </c>
      <c r="H17" s="73">
        <v>19</v>
      </c>
      <c r="I17" s="73">
        <v>2</v>
      </c>
      <c r="J17" s="73">
        <v>0</v>
      </c>
      <c r="K17" s="73">
        <v>557</v>
      </c>
      <c r="L17" s="73">
        <v>46404</v>
      </c>
    </row>
    <row r="18" spans="1:12" s="65" customFormat="1" ht="12.5" x14ac:dyDescent="0.35">
      <c r="A18" s="28">
        <v>61</v>
      </c>
      <c r="B18" s="74" t="s">
        <v>53</v>
      </c>
      <c r="C18" s="75">
        <v>820</v>
      </c>
      <c r="D18" s="73">
        <v>328</v>
      </c>
      <c r="E18" s="73">
        <v>492</v>
      </c>
      <c r="F18" s="73">
        <v>355</v>
      </c>
      <c r="G18" s="73">
        <v>100</v>
      </c>
      <c r="H18" s="73">
        <v>26</v>
      </c>
      <c r="I18" s="73">
        <v>1</v>
      </c>
      <c r="J18" s="73">
        <v>13</v>
      </c>
      <c r="K18" s="73">
        <v>162</v>
      </c>
      <c r="L18" s="73">
        <v>50534</v>
      </c>
    </row>
    <row r="19" spans="1:12" s="97" customFormat="1" ht="12.5" x14ac:dyDescent="0.35">
      <c r="A19" s="28"/>
      <c r="B19" s="74" t="s">
        <v>113</v>
      </c>
      <c r="C19" s="75" t="s">
        <v>114</v>
      </c>
      <c r="D19" s="75" t="s">
        <v>114</v>
      </c>
      <c r="E19" s="75" t="s">
        <v>114</v>
      </c>
      <c r="F19" s="75" t="s">
        <v>114</v>
      </c>
      <c r="G19" s="75" t="s">
        <v>114</v>
      </c>
      <c r="H19" s="75" t="s">
        <v>114</v>
      </c>
      <c r="I19" s="75" t="s">
        <v>114</v>
      </c>
      <c r="J19" s="75" t="s">
        <v>114</v>
      </c>
      <c r="K19" s="75" t="s">
        <v>114</v>
      </c>
      <c r="L19" s="75" t="s">
        <v>114</v>
      </c>
    </row>
    <row r="20" spans="1:12" s="65" customFormat="1" ht="12.5" x14ac:dyDescent="0.35">
      <c r="A20" s="28">
        <v>62</v>
      </c>
      <c r="B20" s="65" t="s">
        <v>16</v>
      </c>
      <c r="C20" s="71">
        <v>1481</v>
      </c>
      <c r="D20" s="73">
        <v>1175</v>
      </c>
      <c r="E20" s="73">
        <v>306</v>
      </c>
      <c r="F20" s="73">
        <v>275</v>
      </c>
      <c r="G20" s="73">
        <v>36</v>
      </c>
      <c r="H20" s="73">
        <v>6</v>
      </c>
      <c r="I20" s="73">
        <v>2</v>
      </c>
      <c r="J20" s="73">
        <v>0</v>
      </c>
      <c r="K20" s="73">
        <v>25</v>
      </c>
      <c r="L20" s="73">
        <v>48113</v>
      </c>
    </row>
    <row r="21" spans="1:12" s="65" customFormat="1" ht="12.5" x14ac:dyDescent="0.35">
      <c r="A21" s="28">
        <v>58</v>
      </c>
      <c r="B21" s="65" t="s">
        <v>17</v>
      </c>
      <c r="C21" s="71">
        <v>846</v>
      </c>
      <c r="D21" s="73">
        <v>362</v>
      </c>
      <c r="E21" s="73">
        <v>484</v>
      </c>
      <c r="F21" s="73">
        <v>473</v>
      </c>
      <c r="G21" s="73">
        <v>4</v>
      </c>
      <c r="H21" s="73">
        <v>6</v>
      </c>
      <c r="I21" s="73">
        <v>0</v>
      </c>
      <c r="J21" s="73">
        <v>0</v>
      </c>
      <c r="K21" s="73">
        <v>50</v>
      </c>
      <c r="L21" s="73">
        <v>15606</v>
      </c>
    </row>
    <row r="22" spans="1:12" s="65" customFormat="1" ht="12.5" x14ac:dyDescent="0.35">
      <c r="A22" s="28">
        <v>63</v>
      </c>
      <c r="B22" s="65" t="s">
        <v>18</v>
      </c>
      <c r="C22" s="71">
        <v>777</v>
      </c>
      <c r="D22" s="73">
        <v>181</v>
      </c>
      <c r="E22" s="73">
        <v>596</v>
      </c>
      <c r="F22" s="73">
        <v>661</v>
      </c>
      <c r="G22" s="73">
        <v>13</v>
      </c>
      <c r="H22" s="73">
        <v>12</v>
      </c>
      <c r="I22" s="73">
        <v>0</v>
      </c>
      <c r="J22" s="73">
        <v>0</v>
      </c>
      <c r="K22" s="73">
        <v>576</v>
      </c>
      <c r="L22" s="73">
        <v>34244</v>
      </c>
    </row>
    <row r="23" spans="1:12" s="65" customFormat="1" ht="14.5" x14ac:dyDescent="0.35">
      <c r="A23" s="28">
        <v>64</v>
      </c>
      <c r="B23" s="65" t="s">
        <v>100</v>
      </c>
      <c r="C23" s="71">
        <v>2433</v>
      </c>
      <c r="D23" s="73">
        <v>1658</v>
      </c>
      <c r="E23" s="73">
        <v>775</v>
      </c>
      <c r="F23" s="73">
        <v>744</v>
      </c>
      <c r="G23" s="73">
        <v>31</v>
      </c>
      <c r="H23" s="73">
        <v>3</v>
      </c>
      <c r="I23" s="73">
        <v>0</v>
      </c>
      <c r="J23" s="73">
        <v>0</v>
      </c>
      <c r="K23" s="73">
        <v>66</v>
      </c>
      <c r="L23" s="73">
        <v>20180</v>
      </c>
    </row>
    <row r="24" spans="1:12" s="65" customFormat="1" ht="12.5" x14ac:dyDescent="0.35">
      <c r="A24" s="28">
        <v>65</v>
      </c>
      <c r="B24" s="65" t="s">
        <v>20</v>
      </c>
      <c r="C24" s="71">
        <v>1129</v>
      </c>
      <c r="D24" s="73">
        <v>645</v>
      </c>
      <c r="E24" s="73">
        <v>484</v>
      </c>
      <c r="F24" s="73">
        <v>338</v>
      </c>
      <c r="G24" s="73">
        <v>43</v>
      </c>
      <c r="H24" s="73">
        <v>5</v>
      </c>
      <c r="I24" s="73">
        <v>2</v>
      </c>
      <c r="J24" s="73">
        <v>9</v>
      </c>
      <c r="K24" s="73">
        <v>55</v>
      </c>
      <c r="L24" s="73">
        <v>21910</v>
      </c>
    </row>
    <row r="25" spans="1:12" s="65" customFormat="1" ht="12.5" x14ac:dyDescent="0.35">
      <c r="A25" s="28">
        <v>67</v>
      </c>
      <c r="B25" s="65" t="s">
        <v>23</v>
      </c>
      <c r="C25" s="71">
        <v>1390</v>
      </c>
      <c r="D25" s="73">
        <v>418</v>
      </c>
      <c r="E25" s="73">
        <v>972</v>
      </c>
      <c r="F25" s="73">
        <v>620</v>
      </c>
      <c r="G25" s="73">
        <v>86</v>
      </c>
      <c r="H25" s="73">
        <v>52</v>
      </c>
      <c r="I25" s="73">
        <v>3</v>
      </c>
      <c r="J25" s="73">
        <v>6</v>
      </c>
      <c r="K25" s="73">
        <v>231</v>
      </c>
      <c r="L25" s="73">
        <v>100322</v>
      </c>
    </row>
    <row r="26" spans="1:12" s="65" customFormat="1" ht="12.5" x14ac:dyDescent="0.35">
      <c r="A26" s="28">
        <v>68</v>
      </c>
      <c r="B26" s="65" t="s">
        <v>54</v>
      </c>
      <c r="C26" s="71">
        <v>862</v>
      </c>
      <c r="D26" s="73">
        <v>495</v>
      </c>
      <c r="E26" s="73">
        <v>367</v>
      </c>
      <c r="F26" s="73">
        <v>222</v>
      </c>
      <c r="G26" s="73">
        <v>20</v>
      </c>
      <c r="H26" s="73">
        <v>12</v>
      </c>
      <c r="I26" s="73">
        <v>1</v>
      </c>
      <c r="J26" s="73">
        <v>0</v>
      </c>
      <c r="K26" s="73">
        <v>103</v>
      </c>
      <c r="L26" s="73">
        <v>15371</v>
      </c>
    </row>
    <row r="27" spans="1:12" s="65" customFormat="1" ht="14.5" x14ac:dyDescent="0.35">
      <c r="A27" s="28">
        <v>69</v>
      </c>
      <c r="B27" s="65" t="s">
        <v>97</v>
      </c>
      <c r="C27" s="71">
        <v>642</v>
      </c>
      <c r="D27" s="73">
        <v>601</v>
      </c>
      <c r="E27" s="73">
        <v>41</v>
      </c>
      <c r="F27" s="73">
        <v>47</v>
      </c>
      <c r="G27" s="73">
        <v>30</v>
      </c>
      <c r="H27" s="73">
        <v>10</v>
      </c>
      <c r="I27" s="73">
        <v>2</v>
      </c>
      <c r="J27" s="73">
        <v>0</v>
      </c>
      <c r="K27" s="73">
        <v>30</v>
      </c>
      <c r="L27" s="73">
        <v>16724</v>
      </c>
    </row>
    <row r="28" spans="1:12" s="65" customFormat="1" ht="12.5" x14ac:dyDescent="0.35">
      <c r="A28" s="28">
        <v>70</v>
      </c>
      <c r="B28" s="65" t="s">
        <v>26</v>
      </c>
      <c r="C28" s="71">
        <v>1936</v>
      </c>
      <c r="D28" s="73">
        <v>1630</v>
      </c>
      <c r="E28" s="73">
        <v>306</v>
      </c>
      <c r="F28" s="73">
        <v>442</v>
      </c>
      <c r="G28" s="73">
        <v>25</v>
      </c>
      <c r="H28" s="73">
        <v>5</v>
      </c>
      <c r="I28" s="73">
        <v>0</v>
      </c>
      <c r="J28" s="73">
        <v>7</v>
      </c>
      <c r="K28" s="73">
        <v>306</v>
      </c>
      <c r="L28" s="73">
        <v>25857</v>
      </c>
    </row>
    <row r="29" spans="1:12" s="65" customFormat="1" ht="12.5" x14ac:dyDescent="0.35">
      <c r="A29" s="28">
        <v>71</v>
      </c>
      <c r="B29" s="65" t="s">
        <v>55</v>
      </c>
      <c r="C29" s="71">
        <v>193</v>
      </c>
      <c r="D29" s="73">
        <v>103</v>
      </c>
      <c r="E29" s="73">
        <v>90</v>
      </c>
      <c r="F29" s="73">
        <v>89</v>
      </c>
      <c r="G29" s="73">
        <v>2</v>
      </c>
      <c r="H29" s="73">
        <v>1</v>
      </c>
      <c r="I29" s="73">
        <v>0</v>
      </c>
      <c r="J29" s="73">
        <v>0</v>
      </c>
      <c r="K29" s="73">
        <v>19</v>
      </c>
      <c r="L29" s="73">
        <v>6433</v>
      </c>
    </row>
    <row r="30" spans="1:12" s="65" customFormat="1" ht="12.5" x14ac:dyDescent="0.35">
      <c r="A30" s="28">
        <v>73</v>
      </c>
      <c r="B30" s="65" t="s">
        <v>29</v>
      </c>
      <c r="C30" s="71">
        <v>1961</v>
      </c>
      <c r="D30" s="73">
        <v>1237</v>
      </c>
      <c r="E30" s="73">
        <v>724</v>
      </c>
      <c r="F30" s="73">
        <v>559</v>
      </c>
      <c r="G30" s="73">
        <v>36</v>
      </c>
      <c r="H30" s="73">
        <v>9</v>
      </c>
      <c r="I30" s="73">
        <v>0</v>
      </c>
      <c r="J30" s="73">
        <v>1</v>
      </c>
      <c r="K30" s="73">
        <v>482</v>
      </c>
      <c r="L30" s="73">
        <v>39037</v>
      </c>
    </row>
    <row r="31" spans="1:12" s="65" customFormat="1" ht="12.5" x14ac:dyDescent="0.35">
      <c r="A31" s="28">
        <v>74</v>
      </c>
      <c r="B31" s="65" t="s">
        <v>30</v>
      </c>
      <c r="C31" s="71">
        <v>3636</v>
      </c>
      <c r="D31" s="73">
        <v>1089</v>
      </c>
      <c r="E31" s="73">
        <v>2547</v>
      </c>
      <c r="F31" s="73">
        <v>1933</v>
      </c>
      <c r="G31" s="73">
        <v>376</v>
      </c>
      <c r="H31" s="73">
        <v>18</v>
      </c>
      <c r="I31" s="73">
        <v>2</v>
      </c>
      <c r="J31" s="73">
        <v>33</v>
      </c>
      <c r="K31" s="73">
        <v>403</v>
      </c>
      <c r="L31" s="73">
        <v>26665</v>
      </c>
    </row>
    <row r="32" spans="1:12" s="65" customFormat="1" ht="12.5" x14ac:dyDescent="0.35">
      <c r="A32" s="28">
        <v>75</v>
      </c>
      <c r="B32" s="65" t="s">
        <v>31</v>
      </c>
      <c r="C32" s="71">
        <v>1015</v>
      </c>
      <c r="D32" s="73">
        <v>849</v>
      </c>
      <c r="E32" s="73">
        <v>166</v>
      </c>
      <c r="F32" s="73">
        <v>360</v>
      </c>
      <c r="G32" s="73">
        <v>57</v>
      </c>
      <c r="H32" s="73">
        <v>33</v>
      </c>
      <c r="I32" s="73">
        <v>2</v>
      </c>
      <c r="J32" s="73">
        <v>0</v>
      </c>
      <c r="K32" s="73">
        <v>149</v>
      </c>
      <c r="L32" s="73">
        <v>14813</v>
      </c>
    </row>
    <row r="33" spans="1:12" s="65" customFormat="1" ht="14.5" x14ac:dyDescent="0.35">
      <c r="A33" s="28">
        <v>76</v>
      </c>
      <c r="B33" s="65" t="s">
        <v>87</v>
      </c>
      <c r="C33" s="71">
        <v>1239</v>
      </c>
      <c r="D33" s="73">
        <v>750</v>
      </c>
      <c r="E33" s="73">
        <v>489</v>
      </c>
      <c r="F33" s="73">
        <v>610</v>
      </c>
      <c r="G33" s="73">
        <v>6</v>
      </c>
      <c r="H33" s="73">
        <v>11</v>
      </c>
      <c r="I33" s="73">
        <v>1</v>
      </c>
      <c r="J33" s="73">
        <v>0</v>
      </c>
      <c r="K33" s="73">
        <v>19</v>
      </c>
      <c r="L33" s="73">
        <v>19269</v>
      </c>
    </row>
    <row r="34" spans="1:12" s="65" customFormat="1" ht="12.5" x14ac:dyDescent="0.35">
      <c r="A34" s="28">
        <v>79</v>
      </c>
      <c r="B34" s="65" t="s">
        <v>34</v>
      </c>
      <c r="C34" s="71">
        <v>1265</v>
      </c>
      <c r="D34" s="73">
        <v>877</v>
      </c>
      <c r="E34" s="73">
        <v>388</v>
      </c>
      <c r="F34" s="73">
        <v>350</v>
      </c>
      <c r="G34" s="73">
        <v>24</v>
      </c>
      <c r="H34" s="73">
        <v>4</v>
      </c>
      <c r="I34" s="73">
        <v>0</v>
      </c>
      <c r="J34" s="73">
        <v>0</v>
      </c>
      <c r="K34" s="73">
        <v>430</v>
      </c>
      <c r="L34" s="73">
        <v>20241</v>
      </c>
    </row>
    <row r="35" spans="1:12" s="65" customFormat="1" ht="12.5" x14ac:dyDescent="0.35">
      <c r="A35" s="28">
        <v>80</v>
      </c>
      <c r="B35" s="65" t="s">
        <v>35</v>
      </c>
      <c r="C35" s="71">
        <v>2969</v>
      </c>
      <c r="D35" s="73">
        <v>1553</v>
      </c>
      <c r="E35" s="73">
        <v>1416</v>
      </c>
      <c r="F35" s="73">
        <v>1359</v>
      </c>
      <c r="G35" s="73">
        <v>38</v>
      </c>
      <c r="H35" s="73">
        <v>22</v>
      </c>
      <c r="I35" s="73">
        <v>1</v>
      </c>
      <c r="J35" s="73">
        <v>0</v>
      </c>
      <c r="K35" s="73">
        <v>159</v>
      </c>
      <c r="L35" s="73">
        <v>41837</v>
      </c>
    </row>
    <row r="36" spans="1:12" s="65" customFormat="1" ht="12.5" x14ac:dyDescent="0.35">
      <c r="A36" s="28">
        <v>81</v>
      </c>
      <c r="B36" s="65" t="s">
        <v>36</v>
      </c>
      <c r="C36" s="71">
        <v>1078</v>
      </c>
      <c r="D36" s="73">
        <v>539</v>
      </c>
      <c r="E36" s="73">
        <v>539</v>
      </c>
      <c r="F36" s="73">
        <v>493</v>
      </c>
      <c r="G36" s="73">
        <v>39</v>
      </c>
      <c r="H36" s="73">
        <v>19</v>
      </c>
      <c r="I36" s="73">
        <v>0</v>
      </c>
      <c r="J36" s="73">
        <v>2</v>
      </c>
      <c r="K36" s="73">
        <v>34</v>
      </c>
      <c r="L36" s="73">
        <v>18442</v>
      </c>
    </row>
    <row r="37" spans="1:12" s="65" customFormat="1" ht="12.5" x14ac:dyDescent="0.35">
      <c r="A37" s="28">
        <v>83</v>
      </c>
      <c r="B37" s="65" t="s">
        <v>37</v>
      </c>
      <c r="C37" s="71">
        <v>860</v>
      </c>
      <c r="D37" s="73">
        <v>453</v>
      </c>
      <c r="E37" s="73">
        <v>407</v>
      </c>
      <c r="F37" s="73">
        <v>454</v>
      </c>
      <c r="G37" s="73">
        <v>4</v>
      </c>
      <c r="H37" s="73">
        <v>3</v>
      </c>
      <c r="I37" s="73">
        <v>0</v>
      </c>
      <c r="J37" s="73">
        <v>0</v>
      </c>
      <c r="K37" s="73">
        <v>79</v>
      </c>
      <c r="L37" s="73">
        <v>8436</v>
      </c>
    </row>
    <row r="38" spans="1:12" s="65" customFormat="1" ht="12.5" x14ac:dyDescent="0.35">
      <c r="A38" s="28">
        <v>84</v>
      </c>
      <c r="B38" s="65" t="s">
        <v>38</v>
      </c>
      <c r="C38" s="71">
        <v>619</v>
      </c>
      <c r="D38" s="73">
        <v>237</v>
      </c>
      <c r="E38" s="73">
        <v>382</v>
      </c>
      <c r="F38" s="73">
        <v>338</v>
      </c>
      <c r="G38" s="73">
        <v>36</v>
      </c>
      <c r="H38" s="73">
        <v>15</v>
      </c>
      <c r="I38" s="73">
        <v>3</v>
      </c>
      <c r="J38" s="73">
        <v>0</v>
      </c>
      <c r="K38" s="73">
        <v>97</v>
      </c>
      <c r="L38" s="73">
        <v>27898</v>
      </c>
    </row>
    <row r="39" spans="1:12" s="65" customFormat="1" ht="12.5" x14ac:dyDescent="0.35">
      <c r="A39" s="28">
        <v>85</v>
      </c>
      <c r="B39" s="65" t="s">
        <v>39</v>
      </c>
      <c r="C39" s="71">
        <v>716</v>
      </c>
      <c r="D39" s="73">
        <v>276</v>
      </c>
      <c r="E39" s="73">
        <v>440</v>
      </c>
      <c r="F39" s="73">
        <v>325</v>
      </c>
      <c r="G39" s="73">
        <v>7</v>
      </c>
      <c r="H39" s="73">
        <v>6</v>
      </c>
      <c r="I39" s="73">
        <v>0</v>
      </c>
      <c r="J39" s="73">
        <v>0</v>
      </c>
      <c r="K39" s="73">
        <v>429</v>
      </c>
      <c r="L39" s="73">
        <v>11494</v>
      </c>
    </row>
    <row r="40" spans="1:12" s="65" customFormat="1" ht="12.5" x14ac:dyDescent="0.35">
      <c r="A40" s="28">
        <v>87</v>
      </c>
      <c r="B40" s="65" t="s">
        <v>40</v>
      </c>
      <c r="C40" s="71">
        <v>732</v>
      </c>
      <c r="D40" s="73">
        <v>577</v>
      </c>
      <c r="E40" s="73">
        <v>155</v>
      </c>
      <c r="F40" s="73">
        <v>113</v>
      </c>
      <c r="G40" s="73">
        <v>11</v>
      </c>
      <c r="H40" s="73">
        <v>14</v>
      </c>
      <c r="I40" s="73">
        <v>0</v>
      </c>
      <c r="J40" s="73">
        <v>0</v>
      </c>
      <c r="K40" s="73">
        <v>7</v>
      </c>
      <c r="L40" s="73">
        <v>9927</v>
      </c>
    </row>
    <row r="41" spans="1:12" s="65" customFormat="1" ht="12.5" x14ac:dyDescent="0.35">
      <c r="A41" s="28">
        <v>90</v>
      </c>
      <c r="B41" s="65" t="s">
        <v>42</v>
      </c>
      <c r="C41" s="71">
        <v>5031</v>
      </c>
      <c r="D41" s="73">
        <v>3913</v>
      </c>
      <c r="E41" s="73">
        <v>1118</v>
      </c>
      <c r="F41" s="73">
        <v>94</v>
      </c>
      <c r="G41" s="73">
        <v>3</v>
      </c>
      <c r="H41" s="73">
        <v>5</v>
      </c>
      <c r="I41" s="73">
        <v>0</v>
      </c>
      <c r="J41" s="73">
        <v>2</v>
      </c>
      <c r="K41" s="73">
        <v>34</v>
      </c>
      <c r="L41" s="73">
        <v>18886</v>
      </c>
    </row>
    <row r="42" spans="1:12" s="65" customFormat="1" ht="12.5" x14ac:dyDescent="0.35">
      <c r="A42" s="28">
        <v>91</v>
      </c>
      <c r="B42" s="65" t="s">
        <v>43</v>
      </c>
      <c r="C42" s="71">
        <v>565</v>
      </c>
      <c r="D42" s="73">
        <v>386</v>
      </c>
      <c r="E42" s="73">
        <v>179</v>
      </c>
      <c r="F42" s="73">
        <v>163</v>
      </c>
      <c r="G42" s="73">
        <v>16</v>
      </c>
      <c r="H42" s="73">
        <v>1</v>
      </c>
      <c r="I42" s="73">
        <v>2</v>
      </c>
      <c r="J42" s="73">
        <v>0</v>
      </c>
      <c r="K42" s="73">
        <v>54</v>
      </c>
      <c r="L42" s="73">
        <v>37194</v>
      </c>
    </row>
    <row r="43" spans="1:12" s="65" customFormat="1" ht="14.5" x14ac:dyDescent="0.35">
      <c r="A43" s="28">
        <v>92</v>
      </c>
      <c r="B43" s="65" t="s">
        <v>101</v>
      </c>
      <c r="C43" s="71">
        <v>1498</v>
      </c>
      <c r="D43" s="73">
        <v>621</v>
      </c>
      <c r="E43" s="73">
        <v>877</v>
      </c>
      <c r="F43" s="73">
        <v>546</v>
      </c>
      <c r="G43" s="73">
        <v>52</v>
      </c>
      <c r="H43" s="73">
        <v>4</v>
      </c>
      <c r="I43" s="73">
        <v>0</v>
      </c>
      <c r="J43" s="73">
        <v>0</v>
      </c>
      <c r="K43" s="73">
        <v>45</v>
      </c>
      <c r="L43" s="73">
        <v>25389</v>
      </c>
    </row>
    <row r="44" spans="1:12" s="65" customFormat="1" ht="12.5" x14ac:dyDescent="0.35">
      <c r="A44" s="28">
        <v>94</v>
      </c>
      <c r="B44" s="65" t="s">
        <v>46</v>
      </c>
      <c r="C44" s="71">
        <v>496</v>
      </c>
      <c r="D44" s="73">
        <v>349</v>
      </c>
      <c r="E44" s="73">
        <v>147</v>
      </c>
      <c r="F44" s="73">
        <v>147</v>
      </c>
      <c r="G44" s="73">
        <v>6</v>
      </c>
      <c r="H44" s="73">
        <v>5</v>
      </c>
      <c r="I44" s="73">
        <v>0</v>
      </c>
      <c r="J44" s="73">
        <v>0</v>
      </c>
      <c r="K44" s="73">
        <v>8</v>
      </c>
      <c r="L44" s="73">
        <v>12010</v>
      </c>
    </row>
    <row r="45" spans="1:12" s="65" customFormat="1" ht="12.5" x14ac:dyDescent="0.35">
      <c r="A45" s="28">
        <v>96</v>
      </c>
      <c r="B45" s="65" t="s">
        <v>48</v>
      </c>
      <c r="C45" s="71">
        <v>1974</v>
      </c>
      <c r="D45" s="73">
        <v>948</v>
      </c>
      <c r="E45" s="73">
        <v>1026</v>
      </c>
      <c r="F45" s="73">
        <v>989</v>
      </c>
      <c r="G45" s="73">
        <v>34</v>
      </c>
      <c r="H45" s="73">
        <v>0</v>
      </c>
      <c r="I45" s="73">
        <v>0</v>
      </c>
      <c r="J45" s="73">
        <v>0</v>
      </c>
      <c r="K45" s="73">
        <v>332</v>
      </c>
      <c r="L45" s="73">
        <v>19435</v>
      </c>
    </row>
    <row r="46" spans="1:12" s="65" customFormat="1" ht="12.5" x14ac:dyDescent="0.35">
      <c r="A46" s="28">
        <v>98</v>
      </c>
      <c r="B46" s="65" t="s">
        <v>50</v>
      </c>
      <c r="C46" s="71">
        <v>256</v>
      </c>
      <c r="D46" s="73">
        <v>128</v>
      </c>
      <c r="E46" s="73">
        <v>128</v>
      </c>
      <c r="F46" s="73">
        <v>120</v>
      </c>
      <c r="G46" s="73">
        <v>4</v>
      </c>
      <c r="H46" s="73">
        <v>7</v>
      </c>
      <c r="I46" s="73">
        <v>2</v>
      </c>
      <c r="J46" s="73">
        <v>0</v>
      </c>
      <c r="K46" s="73">
        <v>13</v>
      </c>
      <c r="L46" s="73">
        <v>17434</v>
      </c>
    </row>
    <row r="47" spans="1:12" s="65" customFormat="1" ht="12.5" x14ac:dyDescent="0.35">
      <c r="A47" s="28">
        <v>72</v>
      </c>
      <c r="B47" s="65" t="s">
        <v>28</v>
      </c>
      <c r="C47" s="71">
        <v>42</v>
      </c>
      <c r="D47" s="73">
        <v>36</v>
      </c>
      <c r="E47" s="73">
        <v>6</v>
      </c>
      <c r="F47" s="73">
        <v>6</v>
      </c>
      <c r="G47" s="73">
        <v>1</v>
      </c>
      <c r="H47" s="73">
        <v>0</v>
      </c>
      <c r="I47" s="73">
        <v>0</v>
      </c>
      <c r="J47" s="73">
        <v>0</v>
      </c>
      <c r="K47" s="73">
        <v>1</v>
      </c>
      <c r="L47" s="73">
        <v>313</v>
      </c>
    </row>
    <row r="48" spans="1:12" s="69" customFormat="1" ht="26.25" customHeight="1" x14ac:dyDescent="0.35">
      <c r="B48" s="69" t="s">
        <v>56</v>
      </c>
      <c r="C48" s="72">
        <v>32434</v>
      </c>
      <c r="D48" s="72">
        <v>18882</v>
      </c>
      <c r="E48" s="72">
        <v>13552</v>
      </c>
      <c r="F48" s="72">
        <v>8797</v>
      </c>
      <c r="G48" s="72">
        <v>1851</v>
      </c>
      <c r="H48" s="72">
        <v>197</v>
      </c>
      <c r="I48" s="72">
        <v>35</v>
      </c>
      <c r="J48" s="72">
        <v>18</v>
      </c>
      <c r="K48" s="72">
        <v>2674</v>
      </c>
      <c r="L48" s="72">
        <v>437326</v>
      </c>
    </row>
    <row r="49" spans="1:12" s="65" customFormat="1" ht="12.5" x14ac:dyDescent="0.35">
      <c r="A49" s="28">
        <v>66</v>
      </c>
      <c r="B49" s="65" t="s">
        <v>22</v>
      </c>
      <c r="C49" s="71">
        <v>4904</v>
      </c>
      <c r="D49" s="73">
        <v>2557</v>
      </c>
      <c r="E49" s="73">
        <v>2347</v>
      </c>
      <c r="F49" s="73">
        <v>1710</v>
      </c>
      <c r="G49" s="73">
        <v>601</v>
      </c>
      <c r="H49" s="73">
        <v>61</v>
      </c>
      <c r="I49" s="73">
        <v>19</v>
      </c>
      <c r="J49" s="73">
        <v>0</v>
      </c>
      <c r="K49" s="73">
        <v>569</v>
      </c>
      <c r="L49" s="73">
        <v>57240</v>
      </c>
    </row>
    <row r="50" spans="1:12" s="65" customFormat="1" ht="12.5" x14ac:dyDescent="0.35">
      <c r="A50" s="28">
        <v>78</v>
      </c>
      <c r="B50" s="65" t="s">
        <v>33</v>
      </c>
      <c r="C50" s="71">
        <v>1586</v>
      </c>
      <c r="D50" s="73">
        <v>1199</v>
      </c>
      <c r="E50" s="73">
        <v>387</v>
      </c>
      <c r="F50" s="73">
        <v>332</v>
      </c>
      <c r="G50" s="73">
        <v>55</v>
      </c>
      <c r="H50" s="73">
        <v>19</v>
      </c>
      <c r="I50" s="73">
        <v>1</v>
      </c>
      <c r="J50" s="73">
        <v>0</v>
      </c>
      <c r="K50" s="73">
        <v>48</v>
      </c>
      <c r="L50" s="73">
        <v>25152</v>
      </c>
    </row>
    <row r="51" spans="1:12" s="65" customFormat="1" ht="12.5" x14ac:dyDescent="0.35">
      <c r="A51" s="28">
        <v>89</v>
      </c>
      <c r="B51" s="65" t="s">
        <v>41</v>
      </c>
      <c r="C51" s="71">
        <v>3963</v>
      </c>
      <c r="D51" s="73">
        <v>1608</v>
      </c>
      <c r="E51" s="73">
        <v>2355</v>
      </c>
      <c r="F51" s="73">
        <v>2103</v>
      </c>
      <c r="G51" s="73">
        <v>74</v>
      </c>
      <c r="H51" s="73">
        <v>7</v>
      </c>
      <c r="I51" s="73">
        <v>1</v>
      </c>
      <c r="J51" s="73">
        <v>0</v>
      </c>
      <c r="K51" s="73">
        <v>390</v>
      </c>
      <c r="L51" s="73">
        <v>40807</v>
      </c>
    </row>
    <row r="52" spans="1:12" s="65" customFormat="1" ht="12.5" x14ac:dyDescent="0.35">
      <c r="A52" s="28">
        <v>93</v>
      </c>
      <c r="B52" s="65" t="s">
        <v>57</v>
      </c>
      <c r="C52" s="71">
        <v>4247</v>
      </c>
      <c r="D52" s="73">
        <v>2219</v>
      </c>
      <c r="E52" s="73">
        <v>2028</v>
      </c>
      <c r="F52" s="73">
        <v>1568</v>
      </c>
      <c r="G52" s="73">
        <v>25</v>
      </c>
      <c r="H52" s="73">
        <v>17</v>
      </c>
      <c r="I52" s="73">
        <v>1</v>
      </c>
      <c r="J52" s="73">
        <v>6</v>
      </c>
      <c r="K52" s="73">
        <v>119</v>
      </c>
      <c r="L52" s="73">
        <v>33345</v>
      </c>
    </row>
    <row r="53" spans="1:12" s="65" customFormat="1" ht="12.5" x14ac:dyDescent="0.35">
      <c r="A53" s="28">
        <v>95</v>
      </c>
      <c r="B53" s="65" t="s">
        <v>47</v>
      </c>
      <c r="C53" s="71">
        <v>1314</v>
      </c>
      <c r="D53" s="73">
        <v>426</v>
      </c>
      <c r="E53" s="73">
        <v>888</v>
      </c>
      <c r="F53" s="73">
        <v>530</v>
      </c>
      <c r="G53" s="73">
        <v>59</v>
      </c>
      <c r="H53" s="73">
        <v>33</v>
      </c>
      <c r="I53" s="73">
        <v>6</v>
      </c>
      <c r="J53" s="73">
        <v>11</v>
      </c>
      <c r="K53" s="73">
        <v>231</v>
      </c>
      <c r="L53" s="73">
        <v>86415</v>
      </c>
    </row>
    <row r="54" spans="1:12" s="65" customFormat="1" ht="12.5" x14ac:dyDescent="0.35">
      <c r="A54" s="28">
        <v>97</v>
      </c>
      <c r="B54" s="65" t="s">
        <v>49</v>
      </c>
      <c r="C54" s="71">
        <v>3046</v>
      </c>
      <c r="D54" s="73">
        <v>354</v>
      </c>
      <c r="E54" s="73">
        <v>2692</v>
      </c>
      <c r="F54" s="73">
        <v>285</v>
      </c>
      <c r="G54" s="73">
        <v>344</v>
      </c>
      <c r="H54" s="73">
        <v>8</v>
      </c>
      <c r="I54" s="73">
        <v>2</v>
      </c>
      <c r="J54" s="73">
        <v>1</v>
      </c>
      <c r="K54" s="73">
        <v>710</v>
      </c>
      <c r="L54" s="73">
        <v>74825</v>
      </c>
    </row>
    <row r="55" spans="1:12" s="65" customFormat="1" ht="12.5" x14ac:dyDescent="0.35">
      <c r="A55" s="28">
        <v>77</v>
      </c>
      <c r="B55" s="76" t="s">
        <v>21</v>
      </c>
      <c r="C55" s="77">
        <v>13374</v>
      </c>
      <c r="D55" s="78">
        <v>10519</v>
      </c>
      <c r="E55" s="78">
        <v>2855</v>
      </c>
      <c r="F55" s="78">
        <v>2269</v>
      </c>
      <c r="G55" s="78">
        <v>693</v>
      </c>
      <c r="H55" s="78">
        <v>52</v>
      </c>
      <c r="I55" s="78">
        <v>5</v>
      </c>
      <c r="J55" s="78">
        <v>0</v>
      </c>
      <c r="K55" s="78">
        <v>607</v>
      </c>
      <c r="L55" s="78">
        <v>119542</v>
      </c>
    </row>
    <row r="56" spans="1:12" s="65" customFormat="1" ht="6" customHeight="1" x14ac:dyDescent="0.35">
      <c r="B56" s="79"/>
      <c r="C56" s="79"/>
      <c r="I56" s="80"/>
    </row>
    <row r="57" spans="1:12" s="65" customFormat="1" ht="14.25" customHeight="1" x14ac:dyDescent="0.35">
      <c r="B57" s="81" t="s">
        <v>102</v>
      </c>
      <c r="C57" s="79"/>
      <c r="I57" s="80"/>
    </row>
    <row r="58" spans="1:12" s="65" customFormat="1" ht="14.25" customHeight="1" x14ac:dyDescent="0.35">
      <c r="B58" s="81" t="s">
        <v>103</v>
      </c>
      <c r="C58" s="79"/>
      <c r="I58" s="80"/>
    </row>
    <row r="59" spans="1:12" s="65" customFormat="1" ht="14.25" customHeight="1" x14ac:dyDescent="0.35">
      <c r="B59" s="79"/>
      <c r="C59" s="79"/>
      <c r="I59" s="80"/>
    </row>
    <row r="60" spans="1:12" s="65" customFormat="1" x14ac:dyDescent="0.35">
      <c r="B60" s="82" t="s">
        <v>91</v>
      </c>
      <c r="C60" s="82"/>
      <c r="I60" s="83"/>
    </row>
    <row r="61" spans="1:12" s="65" customFormat="1" ht="9.75" customHeight="1" x14ac:dyDescent="0.35">
      <c r="I61" s="80"/>
    </row>
  </sheetData>
  <mergeCells count="11">
    <mergeCell ref="M3:M4"/>
    <mergeCell ref="B2:L2"/>
    <mergeCell ref="B3:B4"/>
    <mergeCell ref="C3:E3"/>
    <mergeCell ref="F3:F4"/>
    <mergeCell ref="G3:G4"/>
    <mergeCell ref="H3:H4"/>
    <mergeCell ref="I3:I4"/>
    <mergeCell ref="J3:J4"/>
    <mergeCell ref="K3:K4"/>
    <mergeCell ref="L3:L4"/>
  </mergeCells>
  <pageMargins left="0.48" right="0.31" top="0.24" bottom="0.16" header="0.5" footer="0.16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22"/>
  </sheetPr>
  <dimension ref="A2:W63"/>
  <sheetViews>
    <sheetView showGridLines="0" zoomScale="85" zoomScaleNormal="85" workbookViewId="0">
      <pane xSplit="2" ySplit="4" topLeftCell="C5" activePane="bottomRight" state="frozen"/>
      <selection sqref="A1:IV65536"/>
      <selection pane="topRight" sqref="A1:IV65536"/>
      <selection pane="bottomLeft" sqref="A1:IV65536"/>
      <selection pane="bottomRight" activeCell="C20" sqref="C20"/>
    </sheetView>
  </sheetViews>
  <sheetFormatPr defaultColWidth="0" defaultRowHeight="13" x14ac:dyDescent="0.3"/>
  <cols>
    <col min="1" max="1" width="3" style="31" hidden="1" customWidth="1"/>
    <col min="2" max="2" width="25.54296875" style="31" customWidth="1"/>
    <col min="3" max="3" width="17" style="31" customWidth="1"/>
    <col min="4" max="4" width="11.453125" style="31" customWidth="1"/>
    <col min="5" max="5" width="14.453125" style="55" customWidth="1"/>
    <col min="6" max="6" width="12.54296875" style="55" customWidth="1"/>
    <col min="7" max="9" width="13.6328125" style="55" customWidth="1"/>
    <col min="10" max="11" width="13.6328125" style="31" customWidth="1"/>
    <col min="12" max="12" width="13.453125" style="31" customWidth="1"/>
    <col min="13" max="13" width="9.08984375" style="31" customWidth="1"/>
    <col min="14" max="256" width="0" style="31" hidden="1"/>
    <col min="257" max="257" width="0" style="31" hidden="1" customWidth="1"/>
    <col min="258" max="258" width="25.54296875" style="31" customWidth="1"/>
    <col min="259" max="259" width="17" style="31" customWidth="1"/>
    <col min="260" max="260" width="11.453125" style="31" customWidth="1"/>
    <col min="261" max="261" width="14.453125" style="31" customWidth="1"/>
    <col min="262" max="262" width="12.54296875" style="31" customWidth="1"/>
    <col min="263" max="267" width="13.6328125" style="31" customWidth="1"/>
    <col min="268" max="268" width="13.453125" style="31" customWidth="1"/>
    <col min="269" max="269" width="9.08984375" style="31" customWidth="1"/>
    <col min="270" max="512" width="0" style="31" hidden="1"/>
    <col min="513" max="513" width="0" style="31" hidden="1" customWidth="1"/>
    <col min="514" max="514" width="25.54296875" style="31" customWidth="1"/>
    <col min="515" max="515" width="17" style="31" customWidth="1"/>
    <col min="516" max="516" width="11.453125" style="31" customWidth="1"/>
    <col min="517" max="517" width="14.453125" style="31" customWidth="1"/>
    <col min="518" max="518" width="12.54296875" style="31" customWidth="1"/>
    <col min="519" max="523" width="13.6328125" style="31" customWidth="1"/>
    <col min="524" max="524" width="13.453125" style="31" customWidth="1"/>
    <col min="525" max="525" width="9.08984375" style="31" customWidth="1"/>
    <col min="526" max="768" width="0" style="31" hidden="1"/>
    <col min="769" max="769" width="0" style="31" hidden="1" customWidth="1"/>
    <col min="770" max="770" width="25.54296875" style="31" customWidth="1"/>
    <col min="771" max="771" width="17" style="31" customWidth="1"/>
    <col min="772" max="772" width="11.453125" style="31" customWidth="1"/>
    <col min="773" max="773" width="14.453125" style="31" customWidth="1"/>
    <col min="774" max="774" width="12.54296875" style="31" customWidth="1"/>
    <col min="775" max="779" width="13.6328125" style="31" customWidth="1"/>
    <col min="780" max="780" width="13.453125" style="31" customWidth="1"/>
    <col min="781" max="781" width="9.08984375" style="31" customWidth="1"/>
    <col min="782" max="1024" width="0" style="31" hidden="1"/>
    <col min="1025" max="1025" width="0" style="31" hidden="1" customWidth="1"/>
    <col min="1026" max="1026" width="25.54296875" style="31" customWidth="1"/>
    <col min="1027" max="1027" width="17" style="31" customWidth="1"/>
    <col min="1028" max="1028" width="11.453125" style="31" customWidth="1"/>
    <col min="1029" max="1029" width="14.453125" style="31" customWidth="1"/>
    <col min="1030" max="1030" width="12.54296875" style="31" customWidth="1"/>
    <col min="1031" max="1035" width="13.6328125" style="31" customWidth="1"/>
    <col min="1036" max="1036" width="13.453125" style="31" customWidth="1"/>
    <col min="1037" max="1037" width="9.08984375" style="31" customWidth="1"/>
    <col min="1038" max="1280" width="0" style="31" hidden="1"/>
    <col min="1281" max="1281" width="0" style="31" hidden="1" customWidth="1"/>
    <col min="1282" max="1282" width="25.54296875" style="31" customWidth="1"/>
    <col min="1283" max="1283" width="17" style="31" customWidth="1"/>
    <col min="1284" max="1284" width="11.453125" style="31" customWidth="1"/>
    <col min="1285" max="1285" width="14.453125" style="31" customWidth="1"/>
    <col min="1286" max="1286" width="12.54296875" style="31" customWidth="1"/>
    <col min="1287" max="1291" width="13.6328125" style="31" customWidth="1"/>
    <col min="1292" max="1292" width="13.453125" style="31" customWidth="1"/>
    <col min="1293" max="1293" width="9.08984375" style="31" customWidth="1"/>
    <col min="1294" max="1536" width="0" style="31" hidden="1"/>
    <col min="1537" max="1537" width="0" style="31" hidden="1" customWidth="1"/>
    <col min="1538" max="1538" width="25.54296875" style="31" customWidth="1"/>
    <col min="1539" max="1539" width="17" style="31" customWidth="1"/>
    <col min="1540" max="1540" width="11.453125" style="31" customWidth="1"/>
    <col min="1541" max="1541" width="14.453125" style="31" customWidth="1"/>
    <col min="1542" max="1542" width="12.54296875" style="31" customWidth="1"/>
    <col min="1543" max="1547" width="13.6328125" style="31" customWidth="1"/>
    <col min="1548" max="1548" width="13.453125" style="31" customWidth="1"/>
    <col min="1549" max="1549" width="9.08984375" style="31" customWidth="1"/>
    <col min="1550" max="1792" width="0" style="31" hidden="1"/>
    <col min="1793" max="1793" width="0" style="31" hidden="1" customWidth="1"/>
    <col min="1794" max="1794" width="25.54296875" style="31" customWidth="1"/>
    <col min="1795" max="1795" width="17" style="31" customWidth="1"/>
    <col min="1796" max="1796" width="11.453125" style="31" customWidth="1"/>
    <col min="1797" max="1797" width="14.453125" style="31" customWidth="1"/>
    <col min="1798" max="1798" width="12.54296875" style="31" customWidth="1"/>
    <col min="1799" max="1803" width="13.6328125" style="31" customWidth="1"/>
    <col min="1804" max="1804" width="13.453125" style="31" customWidth="1"/>
    <col min="1805" max="1805" width="9.08984375" style="31" customWidth="1"/>
    <col min="1806" max="2048" width="0" style="31" hidden="1"/>
    <col min="2049" max="2049" width="0" style="31" hidden="1" customWidth="1"/>
    <col min="2050" max="2050" width="25.54296875" style="31" customWidth="1"/>
    <col min="2051" max="2051" width="17" style="31" customWidth="1"/>
    <col min="2052" max="2052" width="11.453125" style="31" customWidth="1"/>
    <col min="2053" max="2053" width="14.453125" style="31" customWidth="1"/>
    <col min="2054" max="2054" width="12.54296875" style="31" customWidth="1"/>
    <col min="2055" max="2059" width="13.6328125" style="31" customWidth="1"/>
    <col min="2060" max="2060" width="13.453125" style="31" customWidth="1"/>
    <col min="2061" max="2061" width="9.08984375" style="31" customWidth="1"/>
    <col min="2062" max="2304" width="0" style="31" hidden="1"/>
    <col min="2305" max="2305" width="0" style="31" hidden="1" customWidth="1"/>
    <col min="2306" max="2306" width="25.54296875" style="31" customWidth="1"/>
    <col min="2307" max="2307" width="17" style="31" customWidth="1"/>
    <col min="2308" max="2308" width="11.453125" style="31" customWidth="1"/>
    <col min="2309" max="2309" width="14.453125" style="31" customWidth="1"/>
    <col min="2310" max="2310" width="12.54296875" style="31" customWidth="1"/>
    <col min="2311" max="2315" width="13.6328125" style="31" customWidth="1"/>
    <col min="2316" max="2316" width="13.453125" style="31" customWidth="1"/>
    <col min="2317" max="2317" width="9.08984375" style="31" customWidth="1"/>
    <col min="2318" max="2560" width="0" style="31" hidden="1"/>
    <col min="2561" max="2561" width="0" style="31" hidden="1" customWidth="1"/>
    <col min="2562" max="2562" width="25.54296875" style="31" customWidth="1"/>
    <col min="2563" max="2563" width="17" style="31" customWidth="1"/>
    <col min="2564" max="2564" width="11.453125" style="31" customWidth="1"/>
    <col min="2565" max="2565" width="14.453125" style="31" customWidth="1"/>
    <col min="2566" max="2566" width="12.54296875" style="31" customWidth="1"/>
    <col min="2567" max="2571" width="13.6328125" style="31" customWidth="1"/>
    <col min="2572" max="2572" width="13.453125" style="31" customWidth="1"/>
    <col min="2573" max="2573" width="9.08984375" style="31" customWidth="1"/>
    <col min="2574" max="2816" width="0" style="31" hidden="1"/>
    <col min="2817" max="2817" width="0" style="31" hidden="1" customWidth="1"/>
    <col min="2818" max="2818" width="25.54296875" style="31" customWidth="1"/>
    <col min="2819" max="2819" width="17" style="31" customWidth="1"/>
    <col min="2820" max="2820" width="11.453125" style="31" customWidth="1"/>
    <col min="2821" max="2821" width="14.453125" style="31" customWidth="1"/>
    <col min="2822" max="2822" width="12.54296875" style="31" customWidth="1"/>
    <col min="2823" max="2827" width="13.6328125" style="31" customWidth="1"/>
    <col min="2828" max="2828" width="13.453125" style="31" customWidth="1"/>
    <col min="2829" max="2829" width="9.08984375" style="31" customWidth="1"/>
    <col min="2830" max="3072" width="0" style="31" hidden="1"/>
    <col min="3073" max="3073" width="0" style="31" hidden="1" customWidth="1"/>
    <col min="3074" max="3074" width="25.54296875" style="31" customWidth="1"/>
    <col min="3075" max="3075" width="17" style="31" customWidth="1"/>
    <col min="3076" max="3076" width="11.453125" style="31" customWidth="1"/>
    <col min="3077" max="3077" width="14.453125" style="31" customWidth="1"/>
    <col min="3078" max="3078" width="12.54296875" style="31" customWidth="1"/>
    <col min="3079" max="3083" width="13.6328125" style="31" customWidth="1"/>
    <col min="3084" max="3084" width="13.453125" style="31" customWidth="1"/>
    <col min="3085" max="3085" width="9.08984375" style="31" customWidth="1"/>
    <col min="3086" max="3328" width="0" style="31" hidden="1"/>
    <col min="3329" max="3329" width="0" style="31" hidden="1" customWidth="1"/>
    <col min="3330" max="3330" width="25.54296875" style="31" customWidth="1"/>
    <col min="3331" max="3331" width="17" style="31" customWidth="1"/>
    <col min="3332" max="3332" width="11.453125" style="31" customWidth="1"/>
    <col min="3333" max="3333" width="14.453125" style="31" customWidth="1"/>
    <col min="3334" max="3334" width="12.54296875" style="31" customWidth="1"/>
    <col min="3335" max="3339" width="13.6328125" style="31" customWidth="1"/>
    <col min="3340" max="3340" width="13.453125" style="31" customWidth="1"/>
    <col min="3341" max="3341" width="9.08984375" style="31" customWidth="1"/>
    <col min="3342" max="3584" width="0" style="31" hidden="1"/>
    <col min="3585" max="3585" width="0" style="31" hidden="1" customWidth="1"/>
    <col min="3586" max="3586" width="25.54296875" style="31" customWidth="1"/>
    <col min="3587" max="3587" width="17" style="31" customWidth="1"/>
    <col min="3588" max="3588" width="11.453125" style="31" customWidth="1"/>
    <col min="3589" max="3589" width="14.453125" style="31" customWidth="1"/>
    <col min="3590" max="3590" width="12.54296875" style="31" customWidth="1"/>
    <col min="3591" max="3595" width="13.6328125" style="31" customWidth="1"/>
    <col min="3596" max="3596" width="13.453125" style="31" customWidth="1"/>
    <col min="3597" max="3597" width="9.08984375" style="31" customWidth="1"/>
    <col min="3598" max="3840" width="0" style="31" hidden="1"/>
    <col min="3841" max="3841" width="0" style="31" hidden="1" customWidth="1"/>
    <col min="3842" max="3842" width="25.54296875" style="31" customWidth="1"/>
    <col min="3843" max="3843" width="17" style="31" customWidth="1"/>
    <col min="3844" max="3844" width="11.453125" style="31" customWidth="1"/>
    <col min="3845" max="3845" width="14.453125" style="31" customWidth="1"/>
    <col min="3846" max="3846" width="12.54296875" style="31" customWidth="1"/>
    <col min="3847" max="3851" width="13.6328125" style="31" customWidth="1"/>
    <col min="3852" max="3852" width="13.453125" style="31" customWidth="1"/>
    <col min="3853" max="3853" width="9.08984375" style="31" customWidth="1"/>
    <col min="3854" max="4096" width="0" style="31" hidden="1"/>
    <col min="4097" max="4097" width="0" style="31" hidden="1" customWidth="1"/>
    <col min="4098" max="4098" width="25.54296875" style="31" customWidth="1"/>
    <col min="4099" max="4099" width="17" style="31" customWidth="1"/>
    <col min="4100" max="4100" width="11.453125" style="31" customWidth="1"/>
    <col min="4101" max="4101" width="14.453125" style="31" customWidth="1"/>
    <col min="4102" max="4102" width="12.54296875" style="31" customWidth="1"/>
    <col min="4103" max="4107" width="13.6328125" style="31" customWidth="1"/>
    <col min="4108" max="4108" width="13.453125" style="31" customWidth="1"/>
    <col min="4109" max="4109" width="9.08984375" style="31" customWidth="1"/>
    <col min="4110" max="4352" width="0" style="31" hidden="1"/>
    <col min="4353" max="4353" width="0" style="31" hidden="1" customWidth="1"/>
    <col min="4354" max="4354" width="25.54296875" style="31" customWidth="1"/>
    <col min="4355" max="4355" width="17" style="31" customWidth="1"/>
    <col min="4356" max="4356" width="11.453125" style="31" customWidth="1"/>
    <col min="4357" max="4357" width="14.453125" style="31" customWidth="1"/>
    <col min="4358" max="4358" width="12.54296875" style="31" customWidth="1"/>
    <col min="4359" max="4363" width="13.6328125" style="31" customWidth="1"/>
    <col min="4364" max="4364" width="13.453125" style="31" customWidth="1"/>
    <col min="4365" max="4365" width="9.08984375" style="31" customWidth="1"/>
    <col min="4366" max="4608" width="0" style="31" hidden="1"/>
    <col min="4609" max="4609" width="0" style="31" hidden="1" customWidth="1"/>
    <col min="4610" max="4610" width="25.54296875" style="31" customWidth="1"/>
    <col min="4611" max="4611" width="17" style="31" customWidth="1"/>
    <col min="4612" max="4612" width="11.453125" style="31" customWidth="1"/>
    <col min="4613" max="4613" width="14.453125" style="31" customWidth="1"/>
    <col min="4614" max="4614" width="12.54296875" style="31" customWidth="1"/>
    <col min="4615" max="4619" width="13.6328125" style="31" customWidth="1"/>
    <col min="4620" max="4620" width="13.453125" style="31" customWidth="1"/>
    <col min="4621" max="4621" width="9.08984375" style="31" customWidth="1"/>
    <col min="4622" max="4864" width="0" style="31" hidden="1"/>
    <col min="4865" max="4865" width="0" style="31" hidden="1" customWidth="1"/>
    <col min="4866" max="4866" width="25.54296875" style="31" customWidth="1"/>
    <col min="4867" max="4867" width="17" style="31" customWidth="1"/>
    <col min="4868" max="4868" width="11.453125" style="31" customWidth="1"/>
    <col min="4869" max="4869" width="14.453125" style="31" customWidth="1"/>
    <col min="4870" max="4870" width="12.54296875" style="31" customWidth="1"/>
    <col min="4871" max="4875" width="13.6328125" style="31" customWidth="1"/>
    <col min="4876" max="4876" width="13.453125" style="31" customWidth="1"/>
    <col min="4877" max="4877" width="9.08984375" style="31" customWidth="1"/>
    <col min="4878" max="5120" width="0" style="31" hidden="1"/>
    <col min="5121" max="5121" width="0" style="31" hidden="1" customWidth="1"/>
    <col min="5122" max="5122" width="25.54296875" style="31" customWidth="1"/>
    <col min="5123" max="5123" width="17" style="31" customWidth="1"/>
    <col min="5124" max="5124" width="11.453125" style="31" customWidth="1"/>
    <col min="5125" max="5125" width="14.453125" style="31" customWidth="1"/>
    <col min="5126" max="5126" width="12.54296875" style="31" customWidth="1"/>
    <col min="5127" max="5131" width="13.6328125" style="31" customWidth="1"/>
    <col min="5132" max="5132" width="13.453125" style="31" customWidth="1"/>
    <col min="5133" max="5133" width="9.08984375" style="31" customWidth="1"/>
    <col min="5134" max="5376" width="0" style="31" hidden="1"/>
    <col min="5377" max="5377" width="0" style="31" hidden="1" customWidth="1"/>
    <col min="5378" max="5378" width="25.54296875" style="31" customWidth="1"/>
    <col min="5379" max="5379" width="17" style="31" customWidth="1"/>
    <col min="5380" max="5380" width="11.453125" style="31" customWidth="1"/>
    <col min="5381" max="5381" width="14.453125" style="31" customWidth="1"/>
    <col min="5382" max="5382" width="12.54296875" style="31" customWidth="1"/>
    <col min="5383" max="5387" width="13.6328125" style="31" customWidth="1"/>
    <col min="5388" max="5388" width="13.453125" style="31" customWidth="1"/>
    <col min="5389" max="5389" width="9.08984375" style="31" customWidth="1"/>
    <col min="5390" max="5632" width="0" style="31" hidden="1"/>
    <col min="5633" max="5633" width="0" style="31" hidden="1" customWidth="1"/>
    <col min="5634" max="5634" width="25.54296875" style="31" customWidth="1"/>
    <col min="5635" max="5635" width="17" style="31" customWidth="1"/>
    <col min="5636" max="5636" width="11.453125" style="31" customWidth="1"/>
    <col min="5637" max="5637" width="14.453125" style="31" customWidth="1"/>
    <col min="5638" max="5638" width="12.54296875" style="31" customWidth="1"/>
    <col min="5639" max="5643" width="13.6328125" style="31" customWidth="1"/>
    <col min="5644" max="5644" width="13.453125" style="31" customWidth="1"/>
    <col min="5645" max="5645" width="9.08984375" style="31" customWidth="1"/>
    <col min="5646" max="5888" width="0" style="31" hidden="1"/>
    <col min="5889" max="5889" width="0" style="31" hidden="1" customWidth="1"/>
    <col min="5890" max="5890" width="25.54296875" style="31" customWidth="1"/>
    <col min="5891" max="5891" width="17" style="31" customWidth="1"/>
    <col min="5892" max="5892" width="11.453125" style="31" customWidth="1"/>
    <col min="5893" max="5893" width="14.453125" style="31" customWidth="1"/>
    <col min="5894" max="5894" width="12.54296875" style="31" customWidth="1"/>
    <col min="5895" max="5899" width="13.6328125" style="31" customWidth="1"/>
    <col min="5900" max="5900" width="13.453125" style="31" customWidth="1"/>
    <col min="5901" max="5901" width="9.08984375" style="31" customWidth="1"/>
    <col min="5902" max="6144" width="0" style="31" hidden="1"/>
    <col min="6145" max="6145" width="0" style="31" hidden="1" customWidth="1"/>
    <col min="6146" max="6146" width="25.54296875" style="31" customWidth="1"/>
    <col min="6147" max="6147" width="17" style="31" customWidth="1"/>
    <col min="6148" max="6148" width="11.453125" style="31" customWidth="1"/>
    <col min="6149" max="6149" width="14.453125" style="31" customWidth="1"/>
    <col min="6150" max="6150" width="12.54296875" style="31" customWidth="1"/>
    <col min="6151" max="6155" width="13.6328125" style="31" customWidth="1"/>
    <col min="6156" max="6156" width="13.453125" style="31" customWidth="1"/>
    <col min="6157" max="6157" width="9.08984375" style="31" customWidth="1"/>
    <col min="6158" max="6400" width="0" style="31" hidden="1"/>
    <col min="6401" max="6401" width="0" style="31" hidden="1" customWidth="1"/>
    <col min="6402" max="6402" width="25.54296875" style="31" customWidth="1"/>
    <col min="6403" max="6403" width="17" style="31" customWidth="1"/>
    <col min="6404" max="6404" width="11.453125" style="31" customWidth="1"/>
    <col min="6405" max="6405" width="14.453125" style="31" customWidth="1"/>
    <col min="6406" max="6406" width="12.54296875" style="31" customWidth="1"/>
    <col min="6407" max="6411" width="13.6328125" style="31" customWidth="1"/>
    <col min="6412" max="6412" width="13.453125" style="31" customWidth="1"/>
    <col min="6413" max="6413" width="9.08984375" style="31" customWidth="1"/>
    <col min="6414" max="6656" width="0" style="31" hidden="1"/>
    <col min="6657" max="6657" width="0" style="31" hidden="1" customWidth="1"/>
    <col min="6658" max="6658" width="25.54296875" style="31" customWidth="1"/>
    <col min="6659" max="6659" width="17" style="31" customWidth="1"/>
    <col min="6660" max="6660" width="11.453125" style="31" customWidth="1"/>
    <col min="6661" max="6661" width="14.453125" style="31" customWidth="1"/>
    <col min="6662" max="6662" width="12.54296875" style="31" customWidth="1"/>
    <col min="6663" max="6667" width="13.6328125" style="31" customWidth="1"/>
    <col min="6668" max="6668" width="13.453125" style="31" customWidth="1"/>
    <col min="6669" max="6669" width="9.08984375" style="31" customWidth="1"/>
    <col min="6670" max="6912" width="0" style="31" hidden="1"/>
    <col min="6913" max="6913" width="0" style="31" hidden="1" customWidth="1"/>
    <col min="6914" max="6914" width="25.54296875" style="31" customWidth="1"/>
    <col min="6915" max="6915" width="17" style="31" customWidth="1"/>
    <col min="6916" max="6916" width="11.453125" style="31" customWidth="1"/>
    <col min="6917" max="6917" width="14.453125" style="31" customWidth="1"/>
    <col min="6918" max="6918" width="12.54296875" style="31" customWidth="1"/>
    <col min="6919" max="6923" width="13.6328125" style="31" customWidth="1"/>
    <col min="6924" max="6924" width="13.453125" style="31" customWidth="1"/>
    <col min="6925" max="6925" width="9.08984375" style="31" customWidth="1"/>
    <col min="6926" max="7168" width="0" style="31" hidden="1"/>
    <col min="7169" max="7169" width="0" style="31" hidden="1" customWidth="1"/>
    <col min="7170" max="7170" width="25.54296875" style="31" customWidth="1"/>
    <col min="7171" max="7171" width="17" style="31" customWidth="1"/>
    <col min="7172" max="7172" width="11.453125" style="31" customWidth="1"/>
    <col min="7173" max="7173" width="14.453125" style="31" customWidth="1"/>
    <col min="7174" max="7174" width="12.54296875" style="31" customWidth="1"/>
    <col min="7175" max="7179" width="13.6328125" style="31" customWidth="1"/>
    <col min="7180" max="7180" width="13.453125" style="31" customWidth="1"/>
    <col min="7181" max="7181" width="9.08984375" style="31" customWidth="1"/>
    <col min="7182" max="7424" width="0" style="31" hidden="1"/>
    <col min="7425" max="7425" width="0" style="31" hidden="1" customWidth="1"/>
    <col min="7426" max="7426" width="25.54296875" style="31" customWidth="1"/>
    <col min="7427" max="7427" width="17" style="31" customWidth="1"/>
    <col min="7428" max="7428" width="11.453125" style="31" customWidth="1"/>
    <col min="7429" max="7429" width="14.453125" style="31" customWidth="1"/>
    <col min="7430" max="7430" width="12.54296875" style="31" customWidth="1"/>
    <col min="7431" max="7435" width="13.6328125" style="31" customWidth="1"/>
    <col min="7436" max="7436" width="13.453125" style="31" customWidth="1"/>
    <col min="7437" max="7437" width="9.08984375" style="31" customWidth="1"/>
    <col min="7438" max="7680" width="0" style="31" hidden="1"/>
    <col min="7681" max="7681" width="0" style="31" hidden="1" customWidth="1"/>
    <col min="7682" max="7682" width="25.54296875" style="31" customWidth="1"/>
    <col min="7683" max="7683" width="17" style="31" customWidth="1"/>
    <col min="7684" max="7684" width="11.453125" style="31" customWidth="1"/>
    <col min="7685" max="7685" width="14.453125" style="31" customWidth="1"/>
    <col min="7686" max="7686" width="12.54296875" style="31" customWidth="1"/>
    <col min="7687" max="7691" width="13.6328125" style="31" customWidth="1"/>
    <col min="7692" max="7692" width="13.453125" style="31" customWidth="1"/>
    <col min="7693" max="7693" width="9.08984375" style="31" customWidth="1"/>
    <col min="7694" max="7936" width="0" style="31" hidden="1"/>
    <col min="7937" max="7937" width="0" style="31" hidden="1" customWidth="1"/>
    <col min="7938" max="7938" width="25.54296875" style="31" customWidth="1"/>
    <col min="7939" max="7939" width="17" style="31" customWidth="1"/>
    <col min="7940" max="7940" width="11.453125" style="31" customWidth="1"/>
    <col min="7941" max="7941" width="14.453125" style="31" customWidth="1"/>
    <col min="7942" max="7942" width="12.54296875" style="31" customWidth="1"/>
    <col min="7943" max="7947" width="13.6328125" style="31" customWidth="1"/>
    <col min="7948" max="7948" width="13.453125" style="31" customWidth="1"/>
    <col min="7949" max="7949" width="9.08984375" style="31" customWidth="1"/>
    <col min="7950" max="8192" width="0" style="31" hidden="1"/>
    <col min="8193" max="8193" width="0" style="31" hidden="1" customWidth="1"/>
    <col min="8194" max="8194" width="25.54296875" style="31" customWidth="1"/>
    <col min="8195" max="8195" width="17" style="31" customWidth="1"/>
    <col min="8196" max="8196" width="11.453125" style="31" customWidth="1"/>
    <col min="8197" max="8197" width="14.453125" style="31" customWidth="1"/>
    <col min="8198" max="8198" width="12.54296875" style="31" customWidth="1"/>
    <col min="8199" max="8203" width="13.6328125" style="31" customWidth="1"/>
    <col min="8204" max="8204" width="13.453125" style="31" customWidth="1"/>
    <col min="8205" max="8205" width="9.08984375" style="31" customWidth="1"/>
    <col min="8206" max="8448" width="0" style="31" hidden="1"/>
    <col min="8449" max="8449" width="0" style="31" hidden="1" customWidth="1"/>
    <col min="8450" max="8450" width="25.54296875" style="31" customWidth="1"/>
    <col min="8451" max="8451" width="17" style="31" customWidth="1"/>
    <col min="8452" max="8452" width="11.453125" style="31" customWidth="1"/>
    <col min="8453" max="8453" width="14.453125" style="31" customWidth="1"/>
    <col min="8454" max="8454" width="12.54296875" style="31" customWidth="1"/>
    <col min="8455" max="8459" width="13.6328125" style="31" customWidth="1"/>
    <col min="8460" max="8460" width="13.453125" style="31" customWidth="1"/>
    <col min="8461" max="8461" width="9.08984375" style="31" customWidth="1"/>
    <col min="8462" max="8704" width="0" style="31" hidden="1"/>
    <col min="8705" max="8705" width="0" style="31" hidden="1" customWidth="1"/>
    <col min="8706" max="8706" width="25.54296875" style="31" customWidth="1"/>
    <col min="8707" max="8707" width="17" style="31" customWidth="1"/>
    <col min="8708" max="8708" width="11.453125" style="31" customWidth="1"/>
    <col min="8709" max="8709" width="14.453125" style="31" customWidth="1"/>
    <col min="8710" max="8710" width="12.54296875" style="31" customWidth="1"/>
    <col min="8711" max="8715" width="13.6328125" style="31" customWidth="1"/>
    <col min="8716" max="8716" width="13.453125" style="31" customWidth="1"/>
    <col min="8717" max="8717" width="9.08984375" style="31" customWidth="1"/>
    <col min="8718" max="8960" width="0" style="31" hidden="1"/>
    <col min="8961" max="8961" width="0" style="31" hidden="1" customWidth="1"/>
    <col min="8962" max="8962" width="25.54296875" style="31" customWidth="1"/>
    <col min="8963" max="8963" width="17" style="31" customWidth="1"/>
    <col min="8964" max="8964" width="11.453125" style="31" customWidth="1"/>
    <col min="8965" max="8965" width="14.453125" style="31" customWidth="1"/>
    <col min="8966" max="8966" width="12.54296875" style="31" customWidth="1"/>
    <col min="8967" max="8971" width="13.6328125" style="31" customWidth="1"/>
    <col min="8972" max="8972" width="13.453125" style="31" customWidth="1"/>
    <col min="8973" max="8973" width="9.08984375" style="31" customWidth="1"/>
    <col min="8974" max="9216" width="0" style="31" hidden="1"/>
    <col min="9217" max="9217" width="0" style="31" hidden="1" customWidth="1"/>
    <col min="9218" max="9218" width="25.54296875" style="31" customWidth="1"/>
    <col min="9219" max="9219" width="17" style="31" customWidth="1"/>
    <col min="9220" max="9220" width="11.453125" style="31" customWidth="1"/>
    <col min="9221" max="9221" width="14.453125" style="31" customWidth="1"/>
    <col min="9222" max="9222" width="12.54296875" style="31" customWidth="1"/>
    <col min="9223" max="9227" width="13.6328125" style="31" customWidth="1"/>
    <col min="9228" max="9228" width="13.453125" style="31" customWidth="1"/>
    <col min="9229" max="9229" width="9.08984375" style="31" customWidth="1"/>
    <col min="9230" max="9472" width="0" style="31" hidden="1"/>
    <col min="9473" max="9473" width="0" style="31" hidden="1" customWidth="1"/>
    <col min="9474" max="9474" width="25.54296875" style="31" customWidth="1"/>
    <col min="9475" max="9475" width="17" style="31" customWidth="1"/>
    <col min="9476" max="9476" width="11.453125" style="31" customWidth="1"/>
    <col min="9477" max="9477" width="14.453125" style="31" customWidth="1"/>
    <col min="9478" max="9478" width="12.54296875" style="31" customWidth="1"/>
    <col min="9479" max="9483" width="13.6328125" style="31" customWidth="1"/>
    <col min="9484" max="9484" width="13.453125" style="31" customWidth="1"/>
    <col min="9485" max="9485" width="9.08984375" style="31" customWidth="1"/>
    <col min="9486" max="9728" width="0" style="31" hidden="1"/>
    <col min="9729" max="9729" width="0" style="31" hidden="1" customWidth="1"/>
    <col min="9730" max="9730" width="25.54296875" style="31" customWidth="1"/>
    <col min="9731" max="9731" width="17" style="31" customWidth="1"/>
    <col min="9732" max="9732" width="11.453125" style="31" customWidth="1"/>
    <col min="9733" max="9733" width="14.453125" style="31" customWidth="1"/>
    <col min="9734" max="9734" width="12.54296875" style="31" customWidth="1"/>
    <col min="9735" max="9739" width="13.6328125" style="31" customWidth="1"/>
    <col min="9740" max="9740" width="13.453125" style="31" customWidth="1"/>
    <col min="9741" max="9741" width="9.08984375" style="31" customWidth="1"/>
    <col min="9742" max="9984" width="0" style="31" hidden="1"/>
    <col min="9985" max="9985" width="0" style="31" hidden="1" customWidth="1"/>
    <col min="9986" max="9986" width="25.54296875" style="31" customWidth="1"/>
    <col min="9987" max="9987" width="17" style="31" customWidth="1"/>
    <col min="9988" max="9988" width="11.453125" style="31" customWidth="1"/>
    <col min="9989" max="9989" width="14.453125" style="31" customWidth="1"/>
    <col min="9990" max="9990" width="12.54296875" style="31" customWidth="1"/>
    <col min="9991" max="9995" width="13.6328125" style="31" customWidth="1"/>
    <col min="9996" max="9996" width="13.453125" style="31" customWidth="1"/>
    <col min="9997" max="9997" width="9.08984375" style="31" customWidth="1"/>
    <col min="9998" max="10240" width="0" style="31" hidden="1"/>
    <col min="10241" max="10241" width="0" style="31" hidden="1" customWidth="1"/>
    <col min="10242" max="10242" width="25.54296875" style="31" customWidth="1"/>
    <col min="10243" max="10243" width="17" style="31" customWidth="1"/>
    <col min="10244" max="10244" width="11.453125" style="31" customWidth="1"/>
    <col min="10245" max="10245" width="14.453125" style="31" customWidth="1"/>
    <col min="10246" max="10246" width="12.54296875" style="31" customWidth="1"/>
    <col min="10247" max="10251" width="13.6328125" style="31" customWidth="1"/>
    <col min="10252" max="10252" width="13.453125" style="31" customWidth="1"/>
    <col min="10253" max="10253" width="9.08984375" style="31" customWidth="1"/>
    <col min="10254" max="10496" width="0" style="31" hidden="1"/>
    <col min="10497" max="10497" width="0" style="31" hidden="1" customWidth="1"/>
    <col min="10498" max="10498" width="25.54296875" style="31" customWidth="1"/>
    <col min="10499" max="10499" width="17" style="31" customWidth="1"/>
    <col min="10500" max="10500" width="11.453125" style="31" customWidth="1"/>
    <col min="10501" max="10501" width="14.453125" style="31" customWidth="1"/>
    <col min="10502" max="10502" width="12.54296875" style="31" customWidth="1"/>
    <col min="10503" max="10507" width="13.6328125" style="31" customWidth="1"/>
    <col min="10508" max="10508" width="13.453125" style="31" customWidth="1"/>
    <col min="10509" max="10509" width="9.08984375" style="31" customWidth="1"/>
    <col min="10510" max="10752" width="0" style="31" hidden="1"/>
    <col min="10753" max="10753" width="0" style="31" hidden="1" customWidth="1"/>
    <col min="10754" max="10754" width="25.54296875" style="31" customWidth="1"/>
    <col min="10755" max="10755" width="17" style="31" customWidth="1"/>
    <col min="10756" max="10756" width="11.453125" style="31" customWidth="1"/>
    <col min="10757" max="10757" width="14.453125" style="31" customWidth="1"/>
    <col min="10758" max="10758" width="12.54296875" style="31" customWidth="1"/>
    <col min="10759" max="10763" width="13.6328125" style="31" customWidth="1"/>
    <col min="10764" max="10764" width="13.453125" style="31" customWidth="1"/>
    <col min="10765" max="10765" width="9.08984375" style="31" customWidth="1"/>
    <col min="10766" max="11008" width="0" style="31" hidden="1"/>
    <col min="11009" max="11009" width="0" style="31" hidden="1" customWidth="1"/>
    <col min="11010" max="11010" width="25.54296875" style="31" customWidth="1"/>
    <col min="11011" max="11011" width="17" style="31" customWidth="1"/>
    <col min="11012" max="11012" width="11.453125" style="31" customWidth="1"/>
    <col min="11013" max="11013" width="14.453125" style="31" customWidth="1"/>
    <col min="11014" max="11014" width="12.54296875" style="31" customWidth="1"/>
    <col min="11015" max="11019" width="13.6328125" style="31" customWidth="1"/>
    <col min="11020" max="11020" width="13.453125" style="31" customWidth="1"/>
    <col min="11021" max="11021" width="9.08984375" style="31" customWidth="1"/>
    <col min="11022" max="11264" width="0" style="31" hidden="1"/>
    <col min="11265" max="11265" width="0" style="31" hidden="1" customWidth="1"/>
    <col min="11266" max="11266" width="25.54296875" style="31" customWidth="1"/>
    <col min="11267" max="11267" width="17" style="31" customWidth="1"/>
    <col min="11268" max="11268" width="11.453125" style="31" customWidth="1"/>
    <col min="11269" max="11269" width="14.453125" style="31" customWidth="1"/>
    <col min="11270" max="11270" width="12.54296875" style="31" customWidth="1"/>
    <col min="11271" max="11275" width="13.6328125" style="31" customWidth="1"/>
    <col min="11276" max="11276" width="13.453125" style="31" customWidth="1"/>
    <col min="11277" max="11277" width="9.08984375" style="31" customWidth="1"/>
    <col min="11278" max="11520" width="0" style="31" hidden="1"/>
    <col min="11521" max="11521" width="0" style="31" hidden="1" customWidth="1"/>
    <col min="11522" max="11522" width="25.54296875" style="31" customWidth="1"/>
    <col min="11523" max="11523" width="17" style="31" customWidth="1"/>
    <col min="11524" max="11524" width="11.453125" style="31" customWidth="1"/>
    <col min="11525" max="11525" width="14.453125" style="31" customWidth="1"/>
    <col min="11526" max="11526" width="12.54296875" style="31" customWidth="1"/>
    <col min="11527" max="11531" width="13.6328125" style="31" customWidth="1"/>
    <col min="11532" max="11532" width="13.453125" style="31" customWidth="1"/>
    <col min="11533" max="11533" width="9.08984375" style="31" customWidth="1"/>
    <col min="11534" max="11776" width="0" style="31" hidden="1"/>
    <col min="11777" max="11777" width="0" style="31" hidden="1" customWidth="1"/>
    <col min="11778" max="11778" width="25.54296875" style="31" customWidth="1"/>
    <col min="11779" max="11779" width="17" style="31" customWidth="1"/>
    <col min="11780" max="11780" width="11.453125" style="31" customWidth="1"/>
    <col min="11781" max="11781" width="14.453125" style="31" customWidth="1"/>
    <col min="11782" max="11782" width="12.54296875" style="31" customWidth="1"/>
    <col min="11783" max="11787" width="13.6328125" style="31" customWidth="1"/>
    <col min="11788" max="11788" width="13.453125" style="31" customWidth="1"/>
    <col min="11789" max="11789" width="9.08984375" style="31" customWidth="1"/>
    <col min="11790" max="12032" width="0" style="31" hidden="1"/>
    <col min="12033" max="12033" width="0" style="31" hidden="1" customWidth="1"/>
    <col min="12034" max="12034" width="25.54296875" style="31" customWidth="1"/>
    <col min="12035" max="12035" width="17" style="31" customWidth="1"/>
    <col min="12036" max="12036" width="11.453125" style="31" customWidth="1"/>
    <col min="12037" max="12037" width="14.453125" style="31" customWidth="1"/>
    <col min="12038" max="12038" width="12.54296875" style="31" customWidth="1"/>
    <col min="12039" max="12043" width="13.6328125" style="31" customWidth="1"/>
    <col min="12044" max="12044" width="13.453125" style="31" customWidth="1"/>
    <col min="12045" max="12045" width="9.08984375" style="31" customWidth="1"/>
    <col min="12046" max="12288" width="0" style="31" hidden="1"/>
    <col min="12289" max="12289" width="0" style="31" hidden="1" customWidth="1"/>
    <col min="12290" max="12290" width="25.54296875" style="31" customWidth="1"/>
    <col min="12291" max="12291" width="17" style="31" customWidth="1"/>
    <col min="12292" max="12292" width="11.453125" style="31" customWidth="1"/>
    <col min="12293" max="12293" width="14.453125" style="31" customWidth="1"/>
    <col min="12294" max="12294" width="12.54296875" style="31" customWidth="1"/>
    <col min="12295" max="12299" width="13.6328125" style="31" customWidth="1"/>
    <col min="12300" max="12300" width="13.453125" style="31" customWidth="1"/>
    <col min="12301" max="12301" width="9.08984375" style="31" customWidth="1"/>
    <col min="12302" max="12544" width="0" style="31" hidden="1"/>
    <col min="12545" max="12545" width="0" style="31" hidden="1" customWidth="1"/>
    <col min="12546" max="12546" width="25.54296875" style="31" customWidth="1"/>
    <col min="12547" max="12547" width="17" style="31" customWidth="1"/>
    <col min="12548" max="12548" width="11.453125" style="31" customWidth="1"/>
    <col min="12549" max="12549" width="14.453125" style="31" customWidth="1"/>
    <col min="12550" max="12550" width="12.54296875" style="31" customWidth="1"/>
    <col min="12551" max="12555" width="13.6328125" style="31" customWidth="1"/>
    <col min="12556" max="12556" width="13.453125" style="31" customWidth="1"/>
    <col min="12557" max="12557" width="9.08984375" style="31" customWidth="1"/>
    <col min="12558" max="12800" width="0" style="31" hidden="1"/>
    <col min="12801" max="12801" width="0" style="31" hidden="1" customWidth="1"/>
    <col min="12802" max="12802" width="25.54296875" style="31" customWidth="1"/>
    <col min="12803" max="12803" width="17" style="31" customWidth="1"/>
    <col min="12804" max="12804" width="11.453125" style="31" customWidth="1"/>
    <col min="12805" max="12805" width="14.453125" style="31" customWidth="1"/>
    <col min="12806" max="12806" width="12.54296875" style="31" customWidth="1"/>
    <col min="12807" max="12811" width="13.6328125" style="31" customWidth="1"/>
    <col min="12812" max="12812" width="13.453125" style="31" customWidth="1"/>
    <col min="12813" max="12813" width="9.08984375" style="31" customWidth="1"/>
    <col min="12814" max="13056" width="0" style="31" hidden="1"/>
    <col min="13057" max="13057" width="0" style="31" hidden="1" customWidth="1"/>
    <col min="13058" max="13058" width="25.54296875" style="31" customWidth="1"/>
    <col min="13059" max="13059" width="17" style="31" customWidth="1"/>
    <col min="13060" max="13060" width="11.453125" style="31" customWidth="1"/>
    <col min="13061" max="13061" width="14.453125" style="31" customWidth="1"/>
    <col min="13062" max="13062" width="12.54296875" style="31" customWidth="1"/>
    <col min="13063" max="13067" width="13.6328125" style="31" customWidth="1"/>
    <col min="13068" max="13068" width="13.453125" style="31" customWidth="1"/>
    <col min="13069" max="13069" width="9.08984375" style="31" customWidth="1"/>
    <col min="13070" max="13312" width="0" style="31" hidden="1"/>
    <col min="13313" max="13313" width="0" style="31" hidden="1" customWidth="1"/>
    <col min="13314" max="13314" width="25.54296875" style="31" customWidth="1"/>
    <col min="13315" max="13315" width="17" style="31" customWidth="1"/>
    <col min="13316" max="13316" width="11.453125" style="31" customWidth="1"/>
    <col min="13317" max="13317" width="14.453125" style="31" customWidth="1"/>
    <col min="13318" max="13318" width="12.54296875" style="31" customWidth="1"/>
    <col min="13319" max="13323" width="13.6328125" style="31" customWidth="1"/>
    <col min="13324" max="13324" width="13.453125" style="31" customWidth="1"/>
    <col min="13325" max="13325" width="9.08984375" style="31" customWidth="1"/>
    <col min="13326" max="13568" width="0" style="31" hidden="1"/>
    <col min="13569" max="13569" width="0" style="31" hidden="1" customWidth="1"/>
    <col min="13570" max="13570" width="25.54296875" style="31" customWidth="1"/>
    <col min="13571" max="13571" width="17" style="31" customWidth="1"/>
    <col min="13572" max="13572" width="11.453125" style="31" customWidth="1"/>
    <col min="13573" max="13573" width="14.453125" style="31" customWidth="1"/>
    <col min="13574" max="13574" width="12.54296875" style="31" customWidth="1"/>
    <col min="13575" max="13579" width="13.6328125" style="31" customWidth="1"/>
    <col min="13580" max="13580" width="13.453125" style="31" customWidth="1"/>
    <col min="13581" max="13581" width="9.08984375" style="31" customWidth="1"/>
    <col min="13582" max="13824" width="0" style="31" hidden="1"/>
    <col min="13825" max="13825" width="0" style="31" hidden="1" customWidth="1"/>
    <col min="13826" max="13826" width="25.54296875" style="31" customWidth="1"/>
    <col min="13827" max="13827" width="17" style="31" customWidth="1"/>
    <col min="13828" max="13828" width="11.453125" style="31" customWidth="1"/>
    <col min="13829" max="13829" width="14.453125" style="31" customWidth="1"/>
    <col min="13830" max="13830" width="12.54296875" style="31" customWidth="1"/>
    <col min="13831" max="13835" width="13.6328125" style="31" customWidth="1"/>
    <col min="13836" max="13836" width="13.453125" style="31" customWidth="1"/>
    <col min="13837" max="13837" width="9.08984375" style="31" customWidth="1"/>
    <col min="13838" max="14080" width="0" style="31" hidden="1"/>
    <col min="14081" max="14081" width="0" style="31" hidden="1" customWidth="1"/>
    <col min="14082" max="14082" width="25.54296875" style="31" customWidth="1"/>
    <col min="14083" max="14083" width="17" style="31" customWidth="1"/>
    <col min="14084" max="14084" width="11.453125" style="31" customWidth="1"/>
    <col min="14085" max="14085" width="14.453125" style="31" customWidth="1"/>
    <col min="14086" max="14086" width="12.54296875" style="31" customWidth="1"/>
    <col min="14087" max="14091" width="13.6328125" style="31" customWidth="1"/>
    <col min="14092" max="14092" width="13.453125" style="31" customWidth="1"/>
    <col min="14093" max="14093" width="9.08984375" style="31" customWidth="1"/>
    <col min="14094" max="14336" width="0" style="31" hidden="1"/>
    <col min="14337" max="14337" width="0" style="31" hidden="1" customWidth="1"/>
    <col min="14338" max="14338" width="25.54296875" style="31" customWidth="1"/>
    <col min="14339" max="14339" width="17" style="31" customWidth="1"/>
    <col min="14340" max="14340" width="11.453125" style="31" customWidth="1"/>
    <col min="14341" max="14341" width="14.453125" style="31" customWidth="1"/>
    <col min="14342" max="14342" width="12.54296875" style="31" customWidth="1"/>
    <col min="14343" max="14347" width="13.6328125" style="31" customWidth="1"/>
    <col min="14348" max="14348" width="13.453125" style="31" customWidth="1"/>
    <col min="14349" max="14349" width="9.08984375" style="31" customWidth="1"/>
    <col min="14350" max="14592" width="0" style="31" hidden="1"/>
    <col min="14593" max="14593" width="0" style="31" hidden="1" customWidth="1"/>
    <col min="14594" max="14594" width="25.54296875" style="31" customWidth="1"/>
    <col min="14595" max="14595" width="17" style="31" customWidth="1"/>
    <col min="14596" max="14596" width="11.453125" style="31" customWidth="1"/>
    <col min="14597" max="14597" width="14.453125" style="31" customWidth="1"/>
    <col min="14598" max="14598" width="12.54296875" style="31" customWidth="1"/>
    <col min="14599" max="14603" width="13.6328125" style="31" customWidth="1"/>
    <col min="14604" max="14604" width="13.453125" style="31" customWidth="1"/>
    <col min="14605" max="14605" width="9.08984375" style="31" customWidth="1"/>
    <col min="14606" max="14848" width="0" style="31" hidden="1"/>
    <col min="14849" max="14849" width="0" style="31" hidden="1" customWidth="1"/>
    <col min="14850" max="14850" width="25.54296875" style="31" customWidth="1"/>
    <col min="14851" max="14851" width="17" style="31" customWidth="1"/>
    <col min="14852" max="14852" width="11.453125" style="31" customWidth="1"/>
    <col min="14853" max="14853" width="14.453125" style="31" customWidth="1"/>
    <col min="14854" max="14854" width="12.54296875" style="31" customWidth="1"/>
    <col min="14855" max="14859" width="13.6328125" style="31" customWidth="1"/>
    <col min="14860" max="14860" width="13.453125" style="31" customWidth="1"/>
    <col min="14861" max="14861" width="9.08984375" style="31" customWidth="1"/>
    <col min="14862" max="15104" width="0" style="31" hidden="1"/>
    <col min="15105" max="15105" width="0" style="31" hidden="1" customWidth="1"/>
    <col min="15106" max="15106" width="25.54296875" style="31" customWidth="1"/>
    <col min="15107" max="15107" width="17" style="31" customWidth="1"/>
    <col min="15108" max="15108" width="11.453125" style="31" customWidth="1"/>
    <col min="15109" max="15109" width="14.453125" style="31" customWidth="1"/>
    <col min="15110" max="15110" width="12.54296875" style="31" customWidth="1"/>
    <col min="15111" max="15115" width="13.6328125" style="31" customWidth="1"/>
    <col min="15116" max="15116" width="13.453125" style="31" customWidth="1"/>
    <col min="15117" max="15117" width="9.08984375" style="31" customWidth="1"/>
    <col min="15118" max="15360" width="0" style="31" hidden="1"/>
    <col min="15361" max="15361" width="0" style="31" hidden="1" customWidth="1"/>
    <col min="15362" max="15362" width="25.54296875" style="31" customWidth="1"/>
    <col min="15363" max="15363" width="17" style="31" customWidth="1"/>
    <col min="15364" max="15364" width="11.453125" style="31" customWidth="1"/>
    <col min="15365" max="15365" width="14.453125" style="31" customWidth="1"/>
    <col min="15366" max="15366" width="12.54296875" style="31" customWidth="1"/>
    <col min="15367" max="15371" width="13.6328125" style="31" customWidth="1"/>
    <col min="15372" max="15372" width="13.453125" style="31" customWidth="1"/>
    <col min="15373" max="15373" width="9.08984375" style="31" customWidth="1"/>
    <col min="15374" max="15616" width="0" style="31" hidden="1"/>
    <col min="15617" max="15617" width="0" style="31" hidden="1" customWidth="1"/>
    <col min="15618" max="15618" width="25.54296875" style="31" customWidth="1"/>
    <col min="15619" max="15619" width="17" style="31" customWidth="1"/>
    <col min="15620" max="15620" width="11.453125" style="31" customWidth="1"/>
    <col min="15621" max="15621" width="14.453125" style="31" customWidth="1"/>
    <col min="15622" max="15622" width="12.54296875" style="31" customWidth="1"/>
    <col min="15623" max="15627" width="13.6328125" style="31" customWidth="1"/>
    <col min="15628" max="15628" width="13.453125" style="31" customWidth="1"/>
    <col min="15629" max="15629" width="9.08984375" style="31" customWidth="1"/>
    <col min="15630" max="15872" width="0" style="31" hidden="1"/>
    <col min="15873" max="15873" width="0" style="31" hidden="1" customWidth="1"/>
    <col min="15874" max="15874" width="25.54296875" style="31" customWidth="1"/>
    <col min="15875" max="15875" width="17" style="31" customWidth="1"/>
    <col min="15876" max="15876" width="11.453125" style="31" customWidth="1"/>
    <col min="15877" max="15877" width="14.453125" style="31" customWidth="1"/>
    <col min="15878" max="15878" width="12.54296875" style="31" customWidth="1"/>
    <col min="15879" max="15883" width="13.6328125" style="31" customWidth="1"/>
    <col min="15884" max="15884" width="13.453125" style="31" customWidth="1"/>
    <col min="15885" max="15885" width="9.08984375" style="31" customWidth="1"/>
    <col min="15886" max="16128" width="0" style="31" hidden="1"/>
    <col min="16129" max="16129" width="0" style="31" hidden="1" customWidth="1"/>
    <col min="16130" max="16130" width="25.54296875" style="31" customWidth="1"/>
    <col min="16131" max="16131" width="17" style="31" customWidth="1"/>
    <col min="16132" max="16132" width="11.453125" style="31" customWidth="1"/>
    <col min="16133" max="16133" width="14.453125" style="31" customWidth="1"/>
    <col min="16134" max="16134" width="12.54296875" style="31" customWidth="1"/>
    <col min="16135" max="16139" width="13.6328125" style="31" customWidth="1"/>
    <col min="16140" max="16140" width="13.453125" style="31" customWidth="1"/>
    <col min="16141" max="16141" width="9.08984375" style="31" customWidth="1"/>
    <col min="16142" max="16384" width="0" style="31" hidden="1"/>
  </cols>
  <sheetData>
    <row r="2" spans="1:23" ht="40.5" customHeight="1" x14ac:dyDescent="0.3">
      <c r="B2" s="120" t="s">
        <v>96</v>
      </c>
      <c r="C2" s="121"/>
      <c r="D2" s="122"/>
      <c r="E2" s="122"/>
      <c r="F2" s="122"/>
      <c r="G2" s="122"/>
      <c r="H2" s="122"/>
      <c r="I2" s="122"/>
      <c r="J2" s="122"/>
      <c r="K2" s="122"/>
      <c r="L2" s="123"/>
    </row>
    <row r="3" spans="1:23" s="65" customFormat="1" ht="43.5" customHeight="1" x14ac:dyDescent="0.35">
      <c r="B3" s="124"/>
      <c r="C3" s="117" t="s">
        <v>67</v>
      </c>
      <c r="D3" s="117"/>
      <c r="E3" s="117"/>
      <c r="F3" s="111" t="s">
        <v>68</v>
      </c>
      <c r="G3" s="111" t="s">
        <v>69</v>
      </c>
      <c r="H3" s="111" t="s">
        <v>70</v>
      </c>
      <c r="I3" s="111" t="s">
        <v>71</v>
      </c>
      <c r="J3" s="111" t="s">
        <v>72</v>
      </c>
      <c r="K3" s="111" t="s">
        <v>73</v>
      </c>
      <c r="L3" s="111" t="s">
        <v>74</v>
      </c>
      <c r="M3" s="111"/>
      <c r="N3" s="117"/>
      <c r="O3" s="117"/>
      <c r="P3" s="117"/>
      <c r="Q3" s="111"/>
      <c r="R3" s="111"/>
      <c r="S3" s="111"/>
      <c r="T3" s="111"/>
      <c r="U3" s="111"/>
      <c r="V3" s="111"/>
      <c r="W3" s="111"/>
    </row>
    <row r="4" spans="1:23" s="65" customFormat="1" ht="47.25" customHeight="1" x14ac:dyDescent="0.35">
      <c r="B4" s="119"/>
      <c r="C4" s="33" t="s">
        <v>75</v>
      </c>
      <c r="D4" s="33" t="s">
        <v>76</v>
      </c>
      <c r="E4" s="33" t="s">
        <v>77</v>
      </c>
      <c r="F4" s="112"/>
      <c r="G4" s="112"/>
      <c r="H4" s="112"/>
      <c r="I4" s="112"/>
      <c r="J4" s="112"/>
      <c r="K4" s="112"/>
      <c r="L4" s="112"/>
      <c r="M4" s="112"/>
      <c r="N4" s="33"/>
      <c r="O4" s="33"/>
      <c r="P4" s="33"/>
      <c r="Q4" s="112"/>
      <c r="R4" s="112"/>
      <c r="S4" s="112"/>
      <c r="T4" s="112"/>
      <c r="U4" s="112"/>
      <c r="V4" s="112"/>
      <c r="W4" s="112"/>
    </row>
    <row r="5" spans="1:23" s="65" customFormat="1" ht="18" hidden="1" customHeight="1" x14ac:dyDescent="0.35">
      <c r="D5" s="66" t="s">
        <v>78</v>
      </c>
      <c r="E5" s="66" t="s">
        <v>79</v>
      </c>
      <c r="F5" s="67" t="s">
        <v>80</v>
      </c>
      <c r="G5" s="67" t="s">
        <v>81</v>
      </c>
      <c r="H5" s="66" t="s">
        <v>82</v>
      </c>
      <c r="I5" s="66" t="s">
        <v>83</v>
      </c>
      <c r="J5" s="68" t="s">
        <v>84</v>
      </c>
      <c r="K5" s="65" t="s">
        <v>85</v>
      </c>
      <c r="L5" s="65" t="s">
        <v>86</v>
      </c>
    </row>
    <row r="6" spans="1:23" s="65" customFormat="1" ht="25.5" customHeight="1" x14ac:dyDescent="0.35">
      <c r="B6" s="69" t="s">
        <v>0</v>
      </c>
      <c r="C6" s="70">
        <v>75543</v>
      </c>
      <c r="D6" s="70">
        <v>46364</v>
      </c>
      <c r="E6" s="70">
        <v>29179</v>
      </c>
      <c r="F6" s="70">
        <v>22762</v>
      </c>
      <c r="G6" s="70">
        <v>2637</v>
      </c>
      <c r="H6" s="70">
        <v>485</v>
      </c>
      <c r="I6" s="70">
        <v>58</v>
      </c>
      <c r="J6" s="70">
        <v>77</v>
      </c>
      <c r="K6" s="70">
        <v>7044</v>
      </c>
      <c r="L6" s="70">
        <v>1508745</v>
      </c>
      <c r="M6" s="71"/>
      <c r="N6" s="85"/>
      <c r="O6" s="85"/>
      <c r="P6" s="85"/>
      <c r="Q6" s="85"/>
      <c r="R6" s="85"/>
      <c r="S6" s="85"/>
      <c r="T6" s="85"/>
      <c r="U6" s="85"/>
      <c r="V6" s="85"/>
      <c r="W6" s="85"/>
    </row>
    <row r="7" spans="1:23" s="69" customFormat="1" ht="26.25" customHeight="1" x14ac:dyDescent="0.35">
      <c r="A7" s="27"/>
      <c r="B7" s="69" t="s">
        <v>52</v>
      </c>
      <c r="C7" s="72">
        <v>46788</v>
      </c>
      <c r="D7" s="72">
        <v>29139</v>
      </c>
      <c r="E7" s="72">
        <v>17649</v>
      </c>
      <c r="F7" s="72">
        <v>14057</v>
      </c>
      <c r="G7" s="72">
        <v>1204</v>
      </c>
      <c r="H7" s="72">
        <v>320</v>
      </c>
      <c r="I7" s="72">
        <v>28</v>
      </c>
      <c r="J7" s="72">
        <v>66</v>
      </c>
      <c r="K7" s="72">
        <v>5187</v>
      </c>
      <c r="L7" s="72">
        <v>1062081</v>
      </c>
      <c r="N7" s="85"/>
      <c r="O7" s="85"/>
      <c r="P7" s="85"/>
      <c r="Q7" s="85"/>
      <c r="R7" s="85"/>
      <c r="S7" s="85"/>
      <c r="T7" s="85"/>
      <c r="U7" s="85"/>
      <c r="V7" s="85"/>
      <c r="W7" s="85"/>
    </row>
    <row r="8" spans="1:23" s="65" customFormat="1" ht="12.5" x14ac:dyDescent="0.35">
      <c r="A8" s="28">
        <v>51</v>
      </c>
      <c r="B8" s="65" t="s">
        <v>5</v>
      </c>
      <c r="C8" s="71">
        <v>368</v>
      </c>
      <c r="D8" s="73">
        <v>97</v>
      </c>
      <c r="E8" s="73">
        <v>271</v>
      </c>
      <c r="F8" s="73">
        <v>231</v>
      </c>
      <c r="G8" s="73">
        <v>19</v>
      </c>
      <c r="H8" s="73">
        <v>19</v>
      </c>
      <c r="I8" s="73">
        <v>4</v>
      </c>
      <c r="J8" s="73">
        <v>2</v>
      </c>
      <c r="K8" s="73">
        <v>237</v>
      </c>
      <c r="L8" s="73">
        <v>12713</v>
      </c>
      <c r="N8" s="85"/>
      <c r="O8" s="85"/>
      <c r="P8" s="85"/>
      <c r="Q8" s="85"/>
      <c r="R8" s="85"/>
      <c r="S8" s="85"/>
      <c r="T8" s="85"/>
      <c r="U8" s="85"/>
      <c r="V8" s="85"/>
      <c r="W8" s="85"/>
    </row>
    <row r="9" spans="1:23" s="65" customFormat="1" ht="12.5" x14ac:dyDescent="0.35">
      <c r="A9" s="28">
        <v>52</v>
      </c>
      <c r="B9" s="65" t="s">
        <v>6</v>
      </c>
      <c r="C9" s="71">
        <v>1379</v>
      </c>
      <c r="D9" s="73">
        <v>1169</v>
      </c>
      <c r="E9" s="73">
        <v>210</v>
      </c>
      <c r="F9" s="73">
        <v>210</v>
      </c>
      <c r="G9" s="73">
        <v>2</v>
      </c>
      <c r="H9" s="73">
        <v>2</v>
      </c>
      <c r="I9" s="73">
        <v>0</v>
      </c>
      <c r="J9" s="73">
        <v>0</v>
      </c>
      <c r="K9" s="73">
        <v>8</v>
      </c>
      <c r="L9" s="73">
        <v>20555</v>
      </c>
      <c r="N9" s="85"/>
      <c r="O9" s="85"/>
      <c r="P9" s="85"/>
      <c r="Q9" s="85"/>
      <c r="R9" s="85"/>
      <c r="S9" s="85"/>
      <c r="T9" s="85"/>
      <c r="U9" s="85"/>
      <c r="V9" s="85"/>
      <c r="W9" s="85"/>
    </row>
    <row r="10" spans="1:23" s="65" customFormat="1" ht="12.5" x14ac:dyDescent="0.35">
      <c r="A10" s="28">
        <v>86</v>
      </c>
      <c r="B10" s="65" t="s">
        <v>7</v>
      </c>
      <c r="C10" s="71">
        <v>2055</v>
      </c>
      <c r="D10" s="73">
        <v>1568</v>
      </c>
      <c r="E10" s="73">
        <v>487</v>
      </c>
      <c r="F10" s="73">
        <v>389</v>
      </c>
      <c r="G10" s="73">
        <v>19</v>
      </c>
      <c r="H10" s="73">
        <v>0</v>
      </c>
      <c r="I10" s="73">
        <v>0</v>
      </c>
      <c r="J10" s="73">
        <v>0</v>
      </c>
      <c r="K10" s="73">
        <v>0</v>
      </c>
      <c r="L10" s="73">
        <v>50697</v>
      </c>
      <c r="N10" s="85"/>
      <c r="O10" s="85"/>
      <c r="P10" s="85"/>
      <c r="Q10" s="85"/>
      <c r="R10" s="85"/>
      <c r="S10" s="85"/>
      <c r="T10" s="85"/>
      <c r="U10" s="85"/>
      <c r="V10" s="85"/>
      <c r="W10" s="85"/>
    </row>
    <row r="11" spans="1:23" s="65" customFormat="1" ht="12.5" x14ac:dyDescent="0.35">
      <c r="A11" s="28">
        <v>53</v>
      </c>
      <c r="B11" s="65" t="s">
        <v>8</v>
      </c>
      <c r="C11" s="71">
        <v>1433</v>
      </c>
      <c r="D11" s="73">
        <v>1169</v>
      </c>
      <c r="E11" s="73">
        <v>264</v>
      </c>
      <c r="F11" s="73">
        <v>227</v>
      </c>
      <c r="G11" s="73">
        <v>24</v>
      </c>
      <c r="H11" s="73">
        <v>1</v>
      </c>
      <c r="I11" s="73">
        <v>0</v>
      </c>
      <c r="J11" s="73">
        <v>0</v>
      </c>
      <c r="K11" s="73">
        <v>25</v>
      </c>
      <c r="L11" s="73">
        <v>10413</v>
      </c>
      <c r="N11" s="85"/>
      <c r="O11" s="85"/>
      <c r="P11" s="85"/>
      <c r="Q11" s="85"/>
      <c r="R11" s="85"/>
      <c r="S11" s="85"/>
      <c r="T11" s="85"/>
      <c r="U11" s="85"/>
      <c r="V11" s="85"/>
      <c r="W11" s="85"/>
    </row>
    <row r="12" spans="1:23" s="65" customFormat="1" ht="12.5" x14ac:dyDescent="0.35">
      <c r="A12" s="28">
        <v>54</v>
      </c>
      <c r="B12" s="65" t="s">
        <v>9</v>
      </c>
      <c r="C12" s="71">
        <v>528</v>
      </c>
      <c r="D12" s="73">
        <v>363</v>
      </c>
      <c r="E12" s="73">
        <v>165</v>
      </c>
      <c r="F12" s="73">
        <v>100</v>
      </c>
      <c r="G12" s="73">
        <v>4</v>
      </c>
      <c r="H12" s="73">
        <v>4</v>
      </c>
      <c r="I12" s="73">
        <v>0</v>
      </c>
      <c r="J12" s="73">
        <v>0</v>
      </c>
      <c r="K12" s="73">
        <v>109</v>
      </c>
      <c r="L12" s="73">
        <v>21562</v>
      </c>
      <c r="N12" s="85"/>
      <c r="O12" s="85"/>
      <c r="P12" s="85"/>
      <c r="Q12" s="85"/>
      <c r="R12" s="85"/>
      <c r="S12" s="85"/>
      <c r="T12" s="85"/>
      <c r="U12" s="85"/>
      <c r="V12" s="85"/>
      <c r="W12" s="85"/>
    </row>
    <row r="13" spans="1:23" s="65" customFormat="1" ht="12.5" x14ac:dyDescent="0.35">
      <c r="A13" s="28">
        <v>55</v>
      </c>
      <c r="B13" s="65" t="s">
        <v>10</v>
      </c>
      <c r="C13" s="71">
        <v>2055</v>
      </c>
      <c r="D13" s="73">
        <v>1420</v>
      </c>
      <c r="E13" s="73">
        <v>635</v>
      </c>
      <c r="F13" s="73">
        <v>570</v>
      </c>
      <c r="G13" s="73">
        <v>76</v>
      </c>
      <c r="H13" s="73">
        <v>24</v>
      </c>
      <c r="I13" s="73">
        <v>3</v>
      </c>
      <c r="J13" s="73">
        <v>2</v>
      </c>
      <c r="K13" s="73">
        <v>213</v>
      </c>
      <c r="L13" s="73">
        <v>25652</v>
      </c>
      <c r="N13" s="85"/>
      <c r="O13" s="85"/>
      <c r="P13" s="85"/>
      <c r="Q13" s="85"/>
      <c r="R13" s="85"/>
      <c r="S13" s="85"/>
      <c r="T13" s="85"/>
      <c r="U13" s="85"/>
      <c r="V13" s="85"/>
      <c r="W13" s="85"/>
    </row>
    <row r="14" spans="1:23" s="65" customFormat="1" ht="12.5" x14ac:dyDescent="0.35">
      <c r="A14" s="28">
        <v>56</v>
      </c>
      <c r="B14" s="65" t="s">
        <v>11</v>
      </c>
      <c r="C14" s="71">
        <v>702</v>
      </c>
      <c r="D14" s="73">
        <v>619</v>
      </c>
      <c r="E14" s="73">
        <v>83</v>
      </c>
      <c r="F14" s="73">
        <v>67</v>
      </c>
      <c r="G14" s="73">
        <v>8</v>
      </c>
      <c r="H14" s="73">
        <v>4</v>
      </c>
      <c r="I14" s="73">
        <v>0</v>
      </c>
      <c r="J14" s="73">
        <v>1</v>
      </c>
      <c r="K14" s="73">
        <v>24</v>
      </c>
      <c r="L14" s="73">
        <v>13789</v>
      </c>
      <c r="N14" s="85"/>
      <c r="O14" s="85"/>
      <c r="P14" s="85"/>
      <c r="Q14" s="85"/>
      <c r="R14" s="85"/>
      <c r="S14" s="85"/>
      <c r="T14" s="85"/>
      <c r="U14" s="85"/>
      <c r="V14" s="85"/>
      <c r="W14" s="85"/>
    </row>
    <row r="15" spans="1:23" s="65" customFormat="1" ht="12.5" x14ac:dyDescent="0.35">
      <c r="A15" s="28">
        <v>57</v>
      </c>
      <c r="B15" s="65" t="s">
        <v>12</v>
      </c>
      <c r="C15" s="71">
        <v>1180</v>
      </c>
      <c r="D15" s="73">
        <v>861</v>
      </c>
      <c r="E15" s="73">
        <v>319</v>
      </c>
      <c r="F15" s="73">
        <v>280</v>
      </c>
      <c r="G15" s="73">
        <v>3</v>
      </c>
      <c r="H15" s="73">
        <v>1</v>
      </c>
      <c r="I15" s="73">
        <v>0</v>
      </c>
      <c r="J15" s="73">
        <v>0</v>
      </c>
      <c r="K15" s="73">
        <v>30</v>
      </c>
      <c r="L15" s="73">
        <v>15708</v>
      </c>
      <c r="N15" s="85"/>
      <c r="O15" s="85"/>
      <c r="P15" s="85"/>
      <c r="Q15" s="85"/>
      <c r="R15" s="85"/>
      <c r="S15" s="85"/>
      <c r="T15" s="85"/>
      <c r="U15" s="85"/>
      <c r="V15" s="85"/>
      <c r="W15" s="85"/>
    </row>
    <row r="16" spans="1:23" s="65" customFormat="1" ht="12.5" x14ac:dyDescent="0.35">
      <c r="A16" s="28">
        <v>59</v>
      </c>
      <c r="B16" s="65" t="s">
        <v>13</v>
      </c>
      <c r="C16" s="71">
        <v>422</v>
      </c>
      <c r="D16" s="73">
        <v>214</v>
      </c>
      <c r="E16" s="73">
        <v>208</v>
      </c>
      <c r="F16" s="73">
        <v>168</v>
      </c>
      <c r="G16" s="73">
        <v>35</v>
      </c>
      <c r="H16" s="73">
        <v>5</v>
      </c>
      <c r="I16" s="73">
        <v>0</v>
      </c>
      <c r="J16" s="73">
        <v>0</v>
      </c>
      <c r="K16" s="73">
        <v>36</v>
      </c>
      <c r="L16" s="73">
        <v>5908</v>
      </c>
      <c r="N16" s="85"/>
      <c r="O16" s="85"/>
      <c r="P16" s="85"/>
      <c r="Q16" s="85"/>
      <c r="R16" s="85"/>
      <c r="S16" s="85"/>
      <c r="T16" s="85"/>
      <c r="U16" s="85"/>
      <c r="V16" s="85"/>
      <c r="W16" s="85"/>
    </row>
    <row r="17" spans="1:23" s="65" customFormat="1" ht="12.5" x14ac:dyDescent="0.35">
      <c r="A17" s="28">
        <v>60</v>
      </c>
      <c r="B17" s="65" t="s">
        <v>14</v>
      </c>
      <c r="C17" s="71">
        <v>1078</v>
      </c>
      <c r="D17" s="73">
        <v>558</v>
      </c>
      <c r="E17" s="73">
        <v>520</v>
      </c>
      <c r="F17" s="73">
        <v>430</v>
      </c>
      <c r="G17" s="73">
        <v>41</v>
      </c>
      <c r="H17" s="73">
        <v>16</v>
      </c>
      <c r="I17" s="73">
        <v>0</v>
      </c>
      <c r="J17" s="73">
        <v>1</v>
      </c>
      <c r="K17" s="73">
        <v>524</v>
      </c>
      <c r="L17" s="73">
        <v>45218</v>
      </c>
      <c r="N17" s="85"/>
      <c r="O17" s="85"/>
      <c r="P17" s="85"/>
      <c r="Q17" s="85"/>
      <c r="R17" s="85"/>
      <c r="S17" s="85"/>
      <c r="T17" s="85"/>
      <c r="U17" s="85"/>
      <c r="V17" s="85"/>
      <c r="W17" s="85"/>
    </row>
    <row r="18" spans="1:23" s="65" customFormat="1" ht="12.5" x14ac:dyDescent="0.35">
      <c r="A18" s="28">
        <v>61</v>
      </c>
      <c r="B18" s="74" t="s">
        <v>53</v>
      </c>
      <c r="C18" s="75">
        <v>557</v>
      </c>
      <c r="D18" s="73">
        <v>197</v>
      </c>
      <c r="E18" s="73">
        <v>360</v>
      </c>
      <c r="F18" s="73">
        <v>288</v>
      </c>
      <c r="G18" s="73">
        <v>71</v>
      </c>
      <c r="H18" s="73">
        <v>22</v>
      </c>
      <c r="I18" s="73">
        <v>1</v>
      </c>
      <c r="J18" s="73">
        <v>8</v>
      </c>
      <c r="K18" s="73">
        <v>162</v>
      </c>
      <c r="L18" s="73">
        <v>52285</v>
      </c>
      <c r="N18" s="85"/>
      <c r="O18" s="85"/>
      <c r="P18" s="85"/>
      <c r="Q18" s="85"/>
      <c r="R18" s="85"/>
      <c r="S18" s="85"/>
      <c r="T18" s="85"/>
      <c r="U18" s="85"/>
      <c r="V18" s="85"/>
      <c r="W18" s="85"/>
    </row>
    <row r="19" spans="1:23" s="97" customFormat="1" ht="12.5" x14ac:dyDescent="0.35">
      <c r="A19" s="28"/>
      <c r="B19" s="74" t="s">
        <v>113</v>
      </c>
      <c r="C19" s="75" t="s">
        <v>114</v>
      </c>
      <c r="D19" s="75" t="s">
        <v>114</v>
      </c>
      <c r="E19" s="75" t="s">
        <v>114</v>
      </c>
      <c r="F19" s="75" t="s">
        <v>114</v>
      </c>
      <c r="G19" s="75" t="s">
        <v>114</v>
      </c>
      <c r="H19" s="75" t="s">
        <v>114</v>
      </c>
      <c r="I19" s="75" t="s">
        <v>114</v>
      </c>
      <c r="J19" s="75" t="s">
        <v>114</v>
      </c>
      <c r="K19" s="75" t="s">
        <v>114</v>
      </c>
      <c r="L19" s="75" t="s">
        <v>114</v>
      </c>
      <c r="N19" s="85"/>
      <c r="O19" s="85"/>
      <c r="P19" s="85"/>
      <c r="Q19" s="85"/>
      <c r="R19" s="85"/>
      <c r="S19" s="85"/>
      <c r="T19" s="85"/>
      <c r="U19" s="85"/>
      <c r="V19" s="85"/>
      <c r="W19" s="85"/>
    </row>
    <row r="20" spans="1:23" s="65" customFormat="1" ht="12.5" x14ac:dyDescent="0.35">
      <c r="A20" s="28">
        <v>62</v>
      </c>
      <c r="B20" s="65" t="s">
        <v>16</v>
      </c>
      <c r="C20" s="71">
        <v>1664</v>
      </c>
      <c r="D20" s="73">
        <v>1400</v>
      </c>
      <c r="E20" s="73">
        <v>264</v>
      </c>
      <c r="F20" s="73">
        <v>227</v>
      </c>
      <c r="G20" s="73">
        <v>24</v>
      </c>
      <c r="H20" s="73">
        <v>1</v>
      </c>
      <c r="I20" s="73">
        <v>0</v>
      </c>
      <c r="J20" s="73">
        <v>0</v>
      </c>
      <c r="K20" s="73">
        <v>25</v>
      </c>
      <c r="L20" s="73">
        <v>47913</v>
      </c>
      <c r="N20" s="85"/>
      <c r="O20" s="85"/>
      <c r="P20" s="85"/>
      <c r="Q20" s="85"/>
      <c r="R20" s="85"/>
      <c r="S20" s="85"/>
      <c r="T20" s="85"/>
      <c r="U20" s="85"/>
      <c r="V20" s="85"/>
      <c r="W20" s="85"/>
    </row>
    <row r="21" spans="1:23" s="65" customFormat="1" ht="12.5" x14ac:dyDescent="0.35">
      <c r="A21" s="28">
        <v>58</v>
      </c>
      <c r="B21" s="65" t="s">
        <v>17</v>
      </c>
      <c r="C21" s="71">
        <v>2346</v>
      </c>
      <c r="D21" s="73">
        <v>1449</v>
      </c>
      <c r="E21" s="73">
        <v>897</v>
      </c>
      <c r="F21" s="73">
        <v>935</v>
      </c>
      <c r="G21" s="73">
        <v>6</v>
      </c>
      <c r="H21" s="73">
        <v>12</v>
      </c>
      <c r="I21" s="73">
        <v>0</v>
      </c>
      <c r="J21" s="73">
        <v>0</v>
      </c>
      <c r="K21" s="73">
        <v>78</v>
      </c>
      <c r="L21" s="73">
        <v>16231</v>
      </c>
      <c r="N21" s="85"/>
      <c r="O21" s="85"/>
      <c r="P21" s="85"/>
      <c r="Q21" s="85"/>
      <c r="R21" s="85"/>
      <c r="S21" s="85"/>
      <c r="T21" s="85"/>
      <c r="U21" s="85"/>
      <c r="V21" s="85"/>
      <c r="W21" s="85"/>
    </row>
    <row r="22" spans="1:23" s="65" customFormat="1" ht="12.5" x14ac:dyDescent="0.35">
      <c r="A22" s="28">
        <v>63</v>
      </c>
      <c r="B22" s="65" t="s">
        <v>18</v>
      </c>
      <c r="C22" s="71">
        <v>671</v>
      </c>
      <c r="D22" s="73">
        <v>206</v>
      </c>
      <c r="E22" s="73">
        <v>465</v>
      </c>
      <c r="F22" s="73">
        <v>319</v>
      </c>
      <c r="G22" s="73">
        <v>19</v>
      </c>
      <c r="H22" s="73">
        <v>11</v>
      </c>
      <c r="I22" s="73">
        <v>4</v>
      </c>
      <c r="J22" s="73">
        <v>1</v>
      </c>
      <c r="K22" s="73">
        <v>438</v>
      </c>
      <c r="L22" s="73">
        <v>34693</v>
      </c>
      <c r="N22" s="85"/>
      <c r="O22" s="85"/>
      <c r="P22" s="85"/>
      <c r="Q22" s="85"/>
      <c r="R22" s="85"/>
      <c r="S22" s="85"/>
      <c r="T22" s="85"/>
      <c r="U22" s="85"/>
      <c r="V22" s="85"/>
      <c r="W22" s="85"/>
    </row>
    <row r="23" spans="1:23" s="65" customFormat="1" ht="12.5" x14ac:dyDescent="0.35">
      <c r="A23" s="28">
        <v>64</v>
      </c>
      <c r="B23" s="65" t="s">
        <v>19</v>
      </c>
      <c r="C23" s="71">
        <v>3098</v>
      </c>
      <c r="D23" s="73">
        <v>2171</v>
      </c>
      <c r="E23" s="73">
        <v>927</v>
      </c>
      <c r="F23" s="73">
        <v>0</v>
      </c>
      <c r="G23" s="73">
        <v>15</v>
      </c>
      <c r="H23" s="73">
        <v>3</v>
      </c>
      <c r="I23" s="73">
        <v>1</v>
      </c>
      <c r="J23" s="73">
        <v>0</v>
      </c>
      <c r="K23" s="73">
        <v>13</v>
      </c>
      <c r="L23" s="73">
        <v>30305</v>
      </c>
      <c r="N23" s="85"/>
      <c r="O23" s="85"/>
      <c r="P23" s="85"/>
      <c r="Q23" s="85"/>
      <c r="R23" s="85"/>
      <c r="S23" s="85"/>
      <c r="T23" s="85"/>
      <c r="U23" s="85"/>
      <c r="V23" s="85"/>
      <c r="W23" s="85"/>
    </row>
    <row r="24" spans="1:23" s="65" customFormat="1" ht="12.5" x14ac:dyDescent="0.35">
      <c r="A24" s="28">
        <v>65</v>
      </c>
      <c r="B24" s="65" t="s">
        <v>20</v>
      </c>
      <c r="C24" s="71">
        <v>887</v>
      </c>
      <c r="D24" s="73">
        <v>658</v>
      </c>
      <c r="E24" s="73">
        <v>229</v>
      </c>
      <c r="F24" s="73">
        <v>213</v>
      </c>
      <c r="G24" s="73">
        <v>22</v>
      </c>
      <c r="H24" s="73">
        <v>1</v>
      </c>
      <c r="I24" s="73">
        <v>0</v>
      </c>
      <c r="J24" s="73">
        <v>0</v>
      </c>
      <c r="K24" s="73">
        <v>18</v>
      </c>
      <c r="L24" s="73">
        <v>14338</v>
      </c>
      <c r="N24" s="85"/>
      <c r="O24" s="85"/>
      <c r="P24" s="85"/>
      <c r="Q24" s="85"/>
      <c r="R24" s="85"/>
      <c r="S24" s="85"/>
      <c r="T24" s="85"/>
      <c r="U24" s="85"/>
      <c r="V24" s="85"/>
      <c r="W24" s="85"/>
    </row>
    <row r="25" spans="1:23" s="65" customFormat="1" ht="12.5" x14ac:dyDescent="0.35">
      <c r="A25" s="28">
        <v>67</v>
      </c>
      <c r="B25" s="65" t="s">
        <v>23</v>
      </c>
      <c r="C25" s="71">
        <v>943</v>
      </c>
      <c r="D25" s="73">
        <v>161</v>
      </c>
      <c r="E25" s="73">
        <v>782</v>
      </c>
      <c r="F25" s="73">
        <v>547</v>
      </c>
      <c r="G25" s="73">
        <v>43</v>
      </c>
      <c r="H25" s="73">
        <v>26</v>
      </c>
      <c r="I25" s="73">
        <v>4</v>
      </c>
      <c r="J25" s="73">
        <v>10</v>
      </c>
      <c r="K25" s="73">
        <v>159</v>
      </c>
      <c r="L25" s="73">
        <v>101467</v>
      </c>
      <c r="N25" s="85"/>
      <c r="O25" s="85"/>
      <c r="P25" s="85"/>
      <c r="Q25" s="85"/>
      <c r="R25" s="85"/>
      <c r="S25" s="85"/>
      <c r="T25" s="85"/>
      <c r="U25" s="85"/>
      <c r="V25" s="85"/>
      <c r="W25" s="85"/>
    </row>
    <row r="26" spans="1:23" s="65" customFormat="1" ht="12.5" x14ac:dyDescent="0.35">
      <c r="A26" s="28">
        <v>68</v>
      </c>
      <c r="B26" s="65" t="s">
        <v>54</v>
      </c>
      <c r="C26" s="71">
        <v>721</v>
      </c>
      <c r="D26" s="73">
        <v>465</v>
      </c>
      <c r="E26" s="73">
        <v>256</v>
      </c>
      <c r="F26" s="73">
        <v>289</v>
      </c>
      <c r="G26" s="73">
        <v>26</v>
      </c>
      <c r="H26" s="73">
        <v>9</v>
      </c>
      <c r="I26" s="73">
        <v>0</v>
      </c>
      <c r="J26" s="73">
        <v>2</v>
      </c>
      <c r="K26" s="73">
        <v>60</v>
      </c>
      <c r="L26" s="73">
        <v>15600</v>
      </c>
      <c r="N26" s="85"/>
      <c r="O26" s="85"/>
      <c r="P26" s="85"/>
      <c r="Q26" s="85"/>
      <c r="R26" s="85"/>
      <c r="S26" s="85"/>
      <c r="T26" s="85"/>
      <c r="U26" s="85"/>
      <c r="V26" s="85"/>
      <c r="W26" s="85"/>
    </row>
    <row r="27" spans="1:23" s="65" customFormat="1" ht="14.5" x14ac:dyDescent="0.35">
      <c r="A27" s="28">
        <v>69</v>
      </c>
      <c r="B27" s="65" t="s">
        <v>97</v>
      </c>
      <c r="C27" s="71">
        <v>295</v>
      </c>
      <c r="D27" s="73">
        <v>279</v>
      </c>
      <c r="E27" s="73">
        <v>16</v>
      </c>
      <c r="F27" s="73">
        <v>27</v>
      </c>
      <c r="G27" s="73">
        <v>9</v>
      </c>
      <c r="H27" s="73">
        <v>9</v>
      </c>
      <c r="I27" s="73">
        <v>0</v>
      </c>
      <c r="J27" s="73">
        <v>0</v>
      </c>
      <c r="K27" s="73">
        <v>13</v>
      </c>
      <c r="L27" s="73">
        <v>16724</v>
      </c>
      <c r="N27" s="85"/>
      <c r="O27" s="85"/>
      <c r="P27" s="85"/>
      <c r="Q27" s="85"/>
      <c r="R27" s="85"/>
      <c r="S27" s="85"/>
      <c r="T27" s="85"/>
      <c r="U27" s="85"/>
      <c r="V27" s="85"/>
      <c r="W27" s="85"/>
    </row>
    <row r="28" spans="1:23" s="65" customFormat="1" ht="12.5" x14ac:dyDescent="0.35">
      <c r="A28" s="28">
        <v>70</v>
      </c>
      <c r="B28" s="65" t="s">
        <v>26</v>
      </c>
      <c r="C28" s="71">
        <v>1632</v>
      </c>
      <c r="D28" s="73">
        <v>1288</v>
      </c>
      <c r="E28" s="73">
        <v>344</v>
      </c>
      <c r="F28" s="73">
        <v>414</v>
      </c>
      <c r="G28" s="73">
        <v>33</v>
      </c>
      <c r="H28" s="73">
        <v>7</v>
      </c>
      <c r="I28" s="73">
        <v>0</v>
      </c>
      <c r="J28" s="73">
        <v>2</v>
      </c>
      <c r="K28" s="73">
        <v>239</v>
      </c>
      <c r="L28" s="73">
        <v>29657</v>
      </c>
      <c r="N28" s="85"/>
      <c r="O28" s="85"/>
      <c r="P28" s="85"/>
      <c r="Q28" s="85"/>
      <c r="R28" s="85"/>
      <c r="S28" s="85"/>
      <c r="T28" s="85"/>
      <c r="U28" s="85"/>
      <c r="V28" s="85"/>
      <c r="W28" s="85"/>
    </row>
    <row r="29" spans="1:23" s="65" customFormat="1" ht="12.5" x14ac:dyDescent="0.35">
      <c r="A29" s="28">
        <v>71</v>
      </c>
      <c r="B29" s="65" t="s">
        <v>55</v>
      </c>
      <c r="C29" s="71">
        <v>206</v>
      </c>
      <c r="D29" s="73">
        <v>111</v>
      </c>
      <c r="E29" s="73">
        <v>95</v>
      </c>
      <c r="F29" s="73">
        <v>92</v>
      </c>
      <c r="G29" s="73">
        <v>4</v>
      </c>
      <c r="H29" s="73">
        <v>0</v>
      </c>
      <c r="I29" s="73">
        <v>0</v>
      </c>
      <c r="J29" s="73">
        <v>0</v>
      </c>
      <c r="K29" s="73">
        <v>4</v>
      </c>
      <c r="L29" s="73">
        <v>5918</v>
      </c>
      <c r="N29" s="85"/>
      <c r="O29" s="85"/>
      <c r="P29" s="85"/>
      <c r="Q29" s="85"/>
      <c r="R29" s="85"/>
      <c r="S29" s="85"/>
      <c r="T29" s="85"/>
      <c r="U29" s="85"/>
      <c r="V29" s="85"/>
      <c r="W29" s="85"/>
    </row>
    <row r="30" spans="1:23" s="65" customFormat="1" ht="12.5" x14ac:dyDescent="0.35">
      <c r="A30" s="28">
        <v>73</v>
      </c>
      <c r="B30" s="65" t="s">
        <v>29</v>
      </c>
      <c r="C30" s="71">
        <v>2272</v>
      </c>
      <c r="D30" s="73">
        <v>599</v>
      </c>
      <c r="E30" s="73">
        <v>1673</v>
      </c>
      <c r="F30" s="73">
        <v>1279</v>
      </c>
      <c r="G30" s="73">
        <v>43</v>
      </c>
      <c r="H30" s="73">
        <v>7</v>
      </c>
      <c r="I30" s="73">
        <v>0</v>
      </c>
      <c r="J30" s="73">
        <v>2</v>
      </c>
      <c r="K30" s="73">
        <v>977</v>
      </c>
      <c r="L30" s="73">
        <v>39894</v>
      </c>
      <c r="N30" s="85"/>
      <c r="O30" s="85"/>
      <c r="P30" s="85"/>
      <c r="Q30" s="85"/>
      <c r="R30" s="85"/>
      <c r="S30" s="85"/>
      <c r="T30" s="85"/>
      <c r="U30" s="85"/>
      <c r="V30" s="85"/>
      <c r="W30" s="85"/>
    </row>
    <row r="31" spans="1:23" s="65" customFormat="1" ht="12.5" x14ac:dyDescent="0.35">
      <c r="A31" s="28">
        <v>74</v>
      </c>
      <c r="B31" s="65" t="s">
        <v>30</v>
      </c>
      <c r="C31" s="71">
        <v>3636</v>
      </c>
      <c r="D31" s="73">
        <v>1089</v>
      </c>
      <c r="E31" s="73">
        <v>2547</v>
      </c>
      <c r="F31" s="73">
        <v>1933</v>
      </c>
      <c r="G31" s="73">
        <v>376</v>
      </c>
      <c r="H31" s="73">
        <v>18</v>
      </c>
      <c r="I31" s="73">
        <v>2</v>
      </c>
      <c r="J31" s="73">
        <v>33</v>
      </c>
      <c r="K31" s="73">
        <v>403</v>
      </c>
      <c r="L31" s="73">
        <v>26665</v>
      </c>
      <c r="N31" s="85"/>
      <c r="O31" s="85"/>
      <c r="P31" s="85"/>
      <c r="Q31" s="85"/>
      <c r="R31" s="85"/>
      <c r="S31" s="85"/>
      <c r="T31" s="85"/>
      <c r="U31" s="85"/>
      <c r="V31" s="85"/>
      <c r="W31" s="85"/>
    </row>
    <row r="32" spans="1:23" s="65" customFormat="1" ht="12.5" x14ac:dyDescent="0.35">
      <c r="A32" s="28">
        <v>75</v>
      </c>
      <c r="B32" s="65" t="s">
        <v>31</v>
      </c>
      <c r="C32" s="71">
        <v>792</v>
      </c>
      <c r="D32" s="73">
        <v>552</v>
      </c>
      <c r="E32" s="73">
        <v>240</v>
      </c>
      <c r="F32" s="73">
        <v>385</v>
      </c>
      <c r="G32" s="73">
        <v>62</v>
      </c>
      <c r="H32" s="73">
        <v>22</v>
      </c>
      <c r="I32" s="73">
        <v>0</v>
      </c>
      <c r="J32" s="73">
        <v>0</v>
      </c>
      <c r="K32" s="73">
        <v>205</v>
      </c>
      <c r="L32" s="73">
        <v>17538</v>
      </c>
      <c r="N32" s="85"/>
      <c r="O32" s="85"/>
      <c r="P32" s="85"/>
      <c r="Q32" s="85"/>
      <c r="R32" s="85"/>
      <c r="S32" s="85"/>
      <c r="T32" s="85"/>
      <c r="U32" s="85"/>
      <c r="V32" s="85"/>
      <c r="W32" s="85"/>
    </row>
    <row r="33" spans="1:23" s="65" customFormat="1" ht="14.5" x14ac:dyDescent="0.35">
      <c r="A33" s="28">
        <v>76</v>
      </c>
      <c r="B33" s="65" t="s">
        <v>87</v>
      </c>
      <c r="C33" s="71">
        <v>949</v>
      </c>
      <c r="D33" s="73">
        <v>624</v>
      </c>
      <c r="E33" s="73">
        <v>325</v>
      </c>
      <c r="F33" s="73">
        <v>610</v>
      </c>
      <c r="G33" s="73">
        <v>5</v>
      </c>
      <c r="H33" s="73">
        <v>10</v>
      </c>
      <c r="I33" s="73">
        <v>3</v>
      </c>
      <c r="J33" s="73">
        <v>0</v>
      </c>
      <c r="K33" s="73">
        <v>0</v>
      </c>
      <c r="L33" s="73">
        <v>19269</v>
      </c>
      <c r="N33" s="85"/>
      <c r="O33" s="85"/>
      <c r="P33" s="85"/>
      <c r="Q33" s="85"/>
      <c r="R33" s="85"/>
      <c r="S33" s="85"/>
      <c r="T33" s="85"/>
      <c r="U33" s="85"/>
      <c r="V33" s="85"/>
      <c r="W33" s="85"/>
    </row>
    <row r="34" spans="1:23" s="65" customFormat="1" ht="12.5" x14ac:dyDescent="0.35">
      <c r="A34" s="28">
        <v>79</v>
      </c>
      <c r="B34" s="65" t="s">
        <v>34</v>
      </c>
      <c r="C34" s="71">
        <v>1197</v>
      </c>
      <c r="D34" s="73">
        <v>894</v>
      </c>
      <c r="E34" s="73">
        <v>303</v>
      </c>
      <c r="F34" s="73">
        <v>278</v>
      </c>
      <c r="G34" s="73">
        <v>5</v>
      </c>
      <c r="H34" s="73">
        <v>5</v>
      </c>
      <c r="I34" s="73">
        <v>0</v>
      </c>
      <c r="J34" s="73">
        <v>0</v>
      </c>
      <c r="K34" s="73">
        <v>406</v>
      </c>
      <c r="L34" s="73">
        <v>19990</v>
      </c>
      <c r="N34" s="85"/>
      <c r="O34" s="85"/>
      <c r="P34" s="85"/>
      <c r="Q34" s="85"/>
      <c r="R34" s="85"/>
      <c r="S34" s="85"/>
      <c r="T34" s="85"/>
      <c r="U34" s="85"/>
      <c r="V34" s="85"/>
      <c r="W34" s="85"/>
    </row>
    <row r="35" spans="1:23" s="65" customFormat="1" ht="12.5" x14ac:dyDescent="0.35">
      <c r="A35" s="28">
        <v>80</v>
      </c>
      <c r="B35" s="65" t="s">
        <v>35</v>
      </c>
      <c r="C35" s="71">
        <v>2700</v>
      </c>
      <c r="D35" s="73">
        <v>1325</v>
      </c>
      <c r="E35" s="73">
        <v>1375</v>
      </c>
      <c r="F35" s="73">
        <v>876</v>
      </c>
      <c r="G35" s="73">
        <v>40</v>
      </c>
      <c r="H35" s="73">
        <v>14</v>
      </c>
      <c r="I35" s="73">
        <v>2</v>
      </c>
      <c r="J35" s="73">
        <v>1</v>
      </c>
      <c r="K35" s="73">
        <v>203</v>
      </c>
      <c r="L35" s="73">
        <v>42687</v>
      </c>
      <c r="N35" s="85"/>
      <c r="O35" s="85"/>
      <c r="P35" s="85"/>
      <c r="Q35" s="85"/>
      <c r="R35" s="85"/>
      <c r="S35" s="85"/>
      <c r="T35" s="85"/>
      <c r="U35" s="85"/>
      <c r="V35" s="85"/>
      <c r="W35" s="85"/>
    </row>
    <row r="36" spans="1:23" s="65" customFormat="1" ht="12.5" x14ac:dyDescent="0.35">
      <c r="A36" s="28">
        <v>81</v>
      </c>
      <c r="B36" s="65" t="s">
        <v>36</v>
      </c>
      <c r="C36" s="71">
        <v>786</v>
      </c>
      <c r="D36" s="73">
        <v>412</v>
      </c>
      <c r="E36" s="73">
        <v>374</v>
      </c>
      <c r="F36" s="73">
        <v>258</v>
      </c>
      <c r="G36" s="73">
        <v>60</v>
      </c>
      <c r="H36" s="73">
        <v>11</v>
      </c>
      <c r="I36" s="73">
        <v>0</v>
      </c>
      <c r="J36" s="73">
        <v>0</v>
      </c>
      <c r="K36" s="73">
        <v>31</v>
      </c>
      <c r="L36" s="73">
        <v>18814</v>
      </c>
      <c r="N36" s="85"/>
      <c r="O36" s="85"/>
      <c r="P36" s="85"/>
      <c r="Q36" s="85"/>
      <c r="R36" s="85"/>
      <c r="S36" s="85"/>
      <c r="T36" s="85"/>
      <c r="U36" s="85"/>
      <c r="V36" s="85"/>
      <c r="W36" s="85"/>
    </row>
    <row r="37" spans="1:23" s="65" customFormat="1" ht="12.5" x14ac:dyDescent="0.35">
      <c r="A37" s="28">
        <v>83</v>
      </c>
      <c r="B37" s="65" t="s">
        <v>37</v>
      </c>
      <c r="C37" s="71">
        <v>677</v>
      </c>
      <c r="D37" s="73">
        <v>342</v>
      </c>
      <c r="E37" s="73">
        <v>335</v>
      </c>
      <c r="F37" s="73">
        <v>327</v>
      </c>
      <c r="G37" s="73">
        <v>1</v>
      </c>
      <c r="H37" s="73">
        <v>2</v>
      </c>
      <c r="I37" s="73">
        <v>0</v>
      </c>
      <c r="J37" s="73">
        <v>1</v>
      </c>
      <c r="K37" s="73">
        <v>58</v>
      </c>
      <c r="L37" s="73">
        <v>8439</v>
      </c>
      <c r="N37" s="85"/>
      <c r="O37" s="85"/>
      <c r="P37" s="85"/>
      <c r="Q37" s="85"/>
      <c r="R37" s="85"/>
      <c r="S37" s="85"/>
      <c r="T37" s="85"/>
      <c r="U37" s="85"/>
      <c r="V37" s="85"/>
      <c r="W37" s="85"/>
    </row>
    <row r="38" spans="1:23" s="65" customFormat="1" ht="12.5" x14ac:dyDescent="0.35">
      <c r="A38" s="28">
        <v>84</v>
      </c>
      <c r="B38" s="65" t="s">
        <v>38</v>
      </c>
      <c r="C38" s="71">
        <v>636</v>
      </c>
      <c r="D38" s="73">
        <v>327</v>
      </c>
      <c r="E38" s="73">
        <v>309</v>
      </c>
      <c r="F38" s="73">
        <v>251</v>
      </c>
      <c r="G38" s="73">
        <v>35</v>
      </c>
      <c r="H38" s="73">
        <v>19</v>
      </c>
      <c r="I38" s="73">
        <v>1</v>
      </c>
      <c r="J38" s="73">
        <v>0</v>
      </c>
      <c r="K38" s="73">
        <v>94</v>
      </c>
      <c r="L38" s="73">
        <v>26681</v>
      </c>
      <c r="N38" s="85"/>
      <c r="O38" s="85"/>
      <c r="P38" s="85"/>
      <c r="Q38" s="85"/>
      <c r="R38" s="85"/>
      <c r="S38" s="85"/>
      <c r="T38" s="85"/>
      <c r="U38" s="85"/>
      <c r="V38" s="85"/>
      <c r="W38" s="85"/>
    </row>
    <row r="39" spans="1:23" s="65" customFormat="1" ht="12.5" x14ac:dyDescent="0.35">
      <c r="A39" s="28">
        <v>85</v>
      </c>
      <c r="B39" s="65" t="s">
        <v>39</v>
      </c>
      <c r="C39" s="71">
        <v>411</v>
      </c>
      <c r="D39" s="73">
        <v>158</v>
      </c>
      <c r="E39" s="73">
        <v>253</v>
      </c>
      <c r="F39" s="73">
        <v>229</v>
      </c>
      <c r="G39" s="73">
        <v>14</v>
      </c>
      <c r="H39" s="73">
        <v>10</v>
      </c>
      <c r="I39" s="73">
        <v>2</v>
      </c>
      <c r="J39" s="73">
        <v>0</v>
      </c>
      <c r="K39" s="73">
        <v>104</v>
      </c>
      <c r="L39" s="73">
        <v>19793</v>
      </c>
      <c r="N39" s="85"/>
      <c r="O39" s="85"/>
      <c r="P39" s="85"/>
      <c r="Q39" s="85"/>
      <c r="R39" s="85"/>
      <c r="S39" s="85"/>
      <c r="T39" s="85"/>
      <c r="U39" s="85"/>
      <c r="V39" s="85"/>
      <c r="W39" s="85"/>
    </row>
    <row r="40" spans="1:23" s="65" customFormat="1" ht="12.5" x14ac:dyDescent="0.35">
      <c r="A40" s="28">
        <v>87</v>
      </c>
      <c r="B40" s="65" t="s">
        <v>40</v>
      </c>
      <c r="C40" s="71">
        <v>727</v>
      </c>
      <c r="D40" s="73">
        <v>590</v>
      </c>
      <c r="E40" s="73">
        <v>137</v>
      </c>
      <c r="F40" s="73">
        <v>133</v>
      </c>
      <c r="G40" s="73">
        <v>2</v>
      </c>
      <c r="H40" s="73">
        <v>4</v>
      </c>
      <c r="I40" s="73">
        <v>1</v>
      </c>
      <c r="J40" s="73">
        <v>0</v>
      </c>
      <c r="K40" s="73">
        <v>7</v>
      </c>
      <c r="L40" s="73">
        <v>10541</v>
      </c>
      <c r="N40" s="85"/>
      <c r="O40" s="85"/>
      <c r="P40" s="85"/>
      <c r="Q40" s="85"/>
      <c r="R40" s="85"/>
      <c r="S40" s="85"/>
      <c r="T40" s="85"/>
      <c r="U40" s="85"/>
      <c r="V40" s="85"/>
      <c r="W40" s="85"/>
    </row>
    <row r="41" spans="1:23" s="65" customFormat="1" ht="12.5" x14ac:dyDescent="0.35">
      <c r="A41" s="28">
        <v>90</v>
      </c>
      <c r="B41" s="65" t="s">
        <v>42</v>
      </c>
      <c r="C41" s="71">
        <v>3895</v>
      </c>
      <c r="D41" s="73">
        <v>3287</v>
      </c>
      <c r="E41" s="73">
        <v>608</v>
      </c>
      <c r="F41" s="73">
        <v>199</v>
      </c>
      <c r="G41" s="73">
        <v>8</v>
      </c>
      <c r="H41" s="73">
        <v>4</v>
      </c>
      <c r="I41" s="73">
        <v>0</v>
      </c>
      <c r="J41" s="73">
        <v>0</v>
      </c>
      <c r="K41" s="73">
        <v>17</v>
      </c>
      <c r="L41" s="73">
        <v>113083</v>
      </c>
      <c r="N41" s="85"/>
      <c r="O41" s="85"/>
      <c r="P41" s="85"/>
      <c r="Q41" s="85"/>
      <c r="R41" s="85"/>
      <c r="S41" s="85"/>
      <c r="T41" s="85"/>
      <c r="U41" s="85"/>
      <c r="V41" s="85"/>
      <c r="W41" s="85"/>
    </row>
    <row r="42" spans="1:23" s="65" customFormat="1" ht="12.5" x14ac:dyDescent="0.35">
      <c r="A42" s="28">
        <v>91</v>
      </c>
      <c r="B42" s="65" t="s">
        <v>43</v>
      </c>
      <c r="C42" s="71">
        <v>999</v>
      </c>
      <c r="D42" s="73">
        <v>819</v>
      </c>
      <c r="E42" s="73">
        <v>180</v>
      </c>
      <c r="F42" s="73">
        <v>169</v>
      </c>
      <c r="G42" s="73">
        <v>6</v>
      </c>
      <c r="H42" s="73">
        <v>0</v>
      </c>
      <c r="I42" s="73">
        <v>0</v>
      </c>
      <c r="J42" s="73">
        <v>0</v>
      </c>
      <c r="K42" s="73">
        <v>93</v>
      </c>
      <c r="L42" s="73">
        <v>36928</v>
      </c>
      <c r="N42" s="85"/>
      <c r="O42" s="85"/>
      <c r="P42" s="85"/>
      <c r="Q42" s="85"/>
      <c r="R42" s="85"/>
      <c r="S42" s="85"/>
      <c r="T42" s="85"/>
      <c r="U42" s="85"/>
      <c r="V42" s="85"/>
      <c r="W42" s="85"/>
    </row>
    <row r="43" spans="1:23" s="65" customFormat="1" ht="12.5" x14ac:dyDescent="0.35">
      <c r="A43" s="28">
        <v>92</v>
      </c>
      <c r="B43" s="65" t="s">
        <v>44</v>
      </c>
      <c r="C43" s="71">
        <v>828</v>
      </c>
      <c r="D43" s="73">
        <v>428</v>
      </c>
      <c r="E43" s="73">
        <v>400</v>
      </c>
      <c r="F43" s="73">
        <v>333</v>
      </c>
      <c r="G43" s="73">
        <v>24</v>
      </c>
      <c r="H43" s="73">
        <v>6</v>
      </c>
      <c r="I43" s="73">
        <v>0</v>
      </c>
      <c r="J43" s="73">
        <v>0</v>
      </c>
      <c r="K43" s="73">
        <v>14</v>
      </c>
      <c r="L43" s="73">
        <v>24429</v>
      </c>
      <c r="N43" s="85"/>
      <c r="O43" s="85"/>
      <c r="P43" s="85"/>
      <c r="Q43" s="85"/>
      <c r="R43" s="85"/>
      <c r="S43" s="85"/>
      <c r="T43" s="85"/>
      <c r="U43" s="85"/>
      <c r="V43" s="85"/>
      <c r="W43" s="85"/>
    </row>
    <row r="44" spans="1:23" s="65" customFormat="1" ht="12.5" x14ac:dyDescent="0.35">
      <c r="A44" s="28">
        <v>94</v>
      </c>
      <c r="B44" s="65" t="s">
        <v>46</v>
      </c>
      <c r="C44" s="71">
        <v>391</v>
      </c>
      <c r="D44" s="73">
        <v>214</v>
      </c>
      <c r="E44" s="73">
        <v>177</v>
      </c>
      <c r="F44" s="73">
        <v>177</v>
      </c>
      <c r="G44" s="73">
        <v>7</v>
      </c>
      <c r="H44" s="73">
        <v>4</v>
      </c>
      <c r="I44" s="73">
        <v>0</v>
      </c>
      <c r="J44" s="73">
        <v>0</v>
      </c>
      <c r="K44" s="73">
        <v>8</v>
      </c>
      <c r="L44" s="73">
        <v>12342</v>
      </c>
      <c r="N44" s="85"/>
      <c r="O44" s="85"/>
      <c r="P44" s="85"/>
      <c r="Q44" s="85"/>
      <c r="R44" s="85"/>
      <c r="S44" s="85"/>
      <c r="T44" s="85"/>
      <c r="U44" s="85"/>
      <c r="V44" s="85"/>
      <c r="W44" s="85"/>
    </row>
    <row r="45" spans="1:23" s="65" customFormat="1" ht="12.5" x14ac:dyDescent="0.35">
      <c r="A45" s="28">
        <v>96</v>
      </c>
      <c r="B45" s="65" t="s">
        <v>48</v>
      </c>
      <c r="C45" s="71">
        <v>1378</v>
      </c>
      <c r="D45" s="73">
        <v>909</v>
      </c>
      <c r="E45" s="73">
        <v>469</v>
      </c>
      <c r="F45" s="73">
        <v>462</v>
      </c>
      <c r="G45" s="73">
        <v>6</v>
      </c>
      <c r="H45" s="73">
        <v>0</v>
      </c>
      <c r="I45" s="73">
        <v>0</v>
      </c>
      <c r="J45" s="73">
        <v>0</v>
      </c>
      <c r="K45" s="73">
        <v>126</v>
      </c>
      <c r="L45" s="73">
        <v>19571</v>
      </c>
      <c r="N45" s="85"/>
      <c r="O45" s="85"/>
      <c r="P45" s="85"/>
      <c r="Q45" s="85"/>
      <c r="R45" s="85"/>
      <c r="S45" s="85"/>
      <c r="T45" s="85"/>
      <c r="U45" s="85"/>
      <c r="V45" s="85"/>
      <c r="W45" s="85"/>
    </row>
    <row r="46" spans="1:23" s="65" customFormat="1" ht="12.5" x14ac:dyDescent="0.35">
      <c r="A46" s="28">
        <v>98</v>
      </c>
      <c r="B46" s="65" t="s">
        <v>50</v>
      </c>
      <c r="C46" s="71">
        <v>252</v>
      </c>
      <c r="D46" s="73">
        <v>111</v>
      </c>
      <c r="E46" s="73">
        <v>141</v>
      </c>
      <c r="F46" s="73">
        <v>131</v>
      </c>
      <c r="G46" s="73">
        <v>7</v>
      </c>
      <c r="H46" s="73">
        <v>7</v>
      </c>
      <c r="I46" s="73">
        <v>0</v>
      </c>
      <c r="J46" s="73">
        <v>0</v>
      </c>
      <c r="K46" s="73">
        <v>24</v>
      </c>
      <c r="L46" s="73">
        <v>17749</v>
      </c>
      <c r="N46" s="85"/>
      <c r="O46" s="85"/>
      <c r="P46" s="85"/>
      <c r="Q46" s="85"/>
      <c r="R46" s="85"/>
      <c r="S46" s="85"/>
      <c r="T46" s="85"/>
      <c r="U46" s="85"/>
      <c r="V46" s="85"/>
      <c r="W46" s="85"/>
    </row>
    <row r="47" spans="1:23" s="65" customFormat="1" ht="12.5" x14ac:dyDescent="0.35">
      <c r="A47" s="28">
        <v>72</v>
      </c>
      <c r="B47" s="65" t="s">
        <v>28</v>
      </c>
      <c r="C47" s="71">
        <v>42</v>
      </c>
      <c r="D47" s="73">
        <v>36</v>
      </c>
      <c r="E47" s="73">
        <v>6</v>
      </c>
      <c r="F47" s="73">
        <v>4</v>
      </c>
      <c r="G47" s="73">
        <v>0</v>
      </c>
      <c r="H47" s="73">
        <v>0</v>
      </c>
      <c r="I47" s="73">
        <v>0</v>
      </c>
      <c r="J47" s="73">
        <v>0</v>
      </c>
      <c r="K47" s="73">
        <v>2</v>
      </c>
      <c r="L47" s="73">
        <v>322</v>
      </c>
      <c r="N47" s="85"/>
      <c r="O47" s="85"/>
      <c r="P47" s="85"/>
      <c r="Q47" s="85"/>
      <c r="R47" s="85"/>
      <c r="S47" s="85"/>
      <c r="T47" s="85"/>
      <c r="U47" s="85"/>
      <c r="V47" s="85"/>
      <c r="W47" s="85"/>
    </row>
    <row r="48" spans="1:23" s="69" customFormat="1" ht="26.25" customHeight="1" x14ac:dyDescent="0.35">
      <c r="B48" s="69" t="s">
        <v>56</v>
      </c>
      <c r="C48" s="72">
        <v>28755</v>
      </c>
      <c r="D48" s="72">
        <v>17225</v>
      </c>
      <c r="E48" s="72">
        <v>11530</v>
      </c>
      <c r="F48" s="72">
        <v>8705</v>
      </c>
      <c r="G48" s="72">
        <v>1433</v>
      </c>
      <c r="H48" s="72">
        <v>165</v>
      </c>
      <c r="I48" s="72">
        <v>30</v>
      </c>
      <c r="J48" s="72">
        <v>11</v>
      </c>
      <c r="K48" s="72">
        <v>1857</v>
      </c>
      <c r="L48" s="72">
        <v>446664</v>
      </c>
      <c r="N48" s="85"/>
      <c r="O48" s="85"/>
      <c r="P48" s="85"/>
      <c r="Q48" s="85"/>
      <c r="R48" s="85"/>
      <c r="S48" s="85"/>
      <c r="T48" s="85"/>
      <c r="U48" s="85"/>
      <c r="V48" s="85"/>
      <c r="W48" s="85"/>
    </row>
    <row r="49" spans="1:23" s="65" customFormat="1" ht="12.5" x14ac:dyDescent="0.35">
      <c r="A49" s="28">
        <v>66</v>
      </c>
      <c r="B49" s="65" t="s">
        <v>22</v>
      </c>
      <c r="C49" s="71">
        <v>4064</v>
      </c>
      <c r="D49" s="73">
        <v>2092</v>
      </c>
      <c r="E49" s="73">
        <v>1972</v>
      </c>
      <c r="F49" s="73">
        <v>1410</v>
      </c>
      <c r="G49" s="73">
        <v>408</v>
      </c>
      <c r="H49" s="73">
        <v>31</v>
      </c>
      <c r="I49" s="73">
        <v>18</v>
      </c>
      <c r="J49" s="73">
        <v>1</v>
      </c>
      <c r="K49" s="73">
        <v>0</v>
      </c>
      <c r="L49" s="73">
        <v>59980</v>
      </c>
      <c r="N49" s="85"/>
      <c r="O49" s="85"/>
      <c r="P49" s="85"/>
      <c r="Q49" s="85"/>
      <c r="R49" s="85"/>
      <c r="S49" s="85"/>
      <c r="T49" s="85"/>
      <c r="U49" s="85"/>
      <c r="V49" s="85"/>
      <c r="W49" s="85"/>
    </row>
    <row r="50" spans="1:23" s="65" customFormat="1" ht="12.5" x14ac:dyDescent="0.35">
      <c r="A50" s="28">
        <v>78</v>
      </c>
      <c r="B50" s="65" t="s">
        <v>33</v>
      </c>
      <c r="C50" s="71">
        <v>2213</v>
      </c>
      <c r="D50" s="73">
        <v>1633</v>
      </c>
      <c r="E50" s="73">
        <v>580</v>
      </c>
      <c r="F50" s="73">
        <v>489</v>
      </c>
      <c r="G50" s="73">
        <v>64</v>
      </c>
      <c r="H50" s="73">
        <v>27</v>
      </c>
      <c r="I50" s="73">
        <v>0</v>
      </c>
      <c r="J50" s="73">
        <v>0</v>
      </c>
      <c r="K50" s="73">
        <v>85</v>
      </c>
      <c r="L50" s="73">
        <v>25774</v>
      </c>
      <c r="N50" s="85"/>
      <c r="O50" s="85"/>
      <c r="P50" s="85"/>
      <c r="Q50" s="85"/>
      <c r="R50" s="85"/>
      <c r="S50" s="85"/>
      <c r="T50" s="85"/>
      <c r="U50" s="85"/>
      <c r="V50" s="85"/>
      <c r="W50" s="85"/>
    </row>
    <row r="51" spans="1:23" s="65" customFormat="1" ht="12.5" x14ac:dyDescent="0.35">
      <c r="A51" s="28">
        <v>89</v>
      </c>
      <c r="B51" s="65" t="s">
        <v>41</v>
      </c>
      <c r="C51" s="71">
        <v>2795</v>
      </c>
      <c r="D51" s="73">
        <v>1025</v>
      </c>
      <c r="E51" s="73">
        <v>1770</v>
      </c>
      <c r="F51" s="73">
        <v>1555</v>
      </c>
      <c r="G51" s="73">
        <v>73</v>
      </c>
      <c r="H51" s="73">
        <v>8</v>
      </c>
      <c r="I51" s="73">
        <v>1</v>
      </c>
      <c r="J51" s="73">
        <v>0</v>
      </c>
      <c r="K51" s="73">
        <v>408</v>
      </c>
      <c r="L51" s="73">
        <v>40744</v>
      </c>
      <c r="N51" s="85"/>
      <c r="O51" s="85"/>
      <c r="P51" s="85"/>
      <c r="Q51" s="85"/>
      <c r="R51" s="85"/>
      <c r="S51" s="85"/>
      <c r="T51" s="85"/>
      <c r="U51" s="85"/>
      <c r="V51" s="85"/>
      <c r="W51" s="85"/>
    </row>
    <row r="52" spans="1:23" s="65" customFormat="1" ht="12.5" x14ac:dyDescent="0.35">
      <c r="A52" s="28">
        <v>93</v>
      </c>
      <c r="B52" s="65" t="s">
        <v>57</v>
      </c>
      <c r="C52" s="71">
        <v>3770</v>
      </c>
      <c r="D52" s="73">
        <v>2029</v>
      </c>
      <c r="E52" s="73">
        <v>1741</v>
      </c>
      <c r="F52" s="73">
        <v>1584</v>
      </c>
      <c r="G52" s="73">
        <v>25</v>
      </c>
      <c r="H52" s="73">
        <v>3</v>
      </c>
      <c r="I52" s="73">
        <v>2</v>
      </c>
      <c r="J52" s="73">
        <v>5</v>
      </c>
      <c r="K52" s="73">
        <v>35</v>
      </c>
      <c r="L52" s="73">
        <v>31634</v>
      </c>
      <c r="N52" s="85"/>
      <c r="O52" s="85"/>
      <c r="P52" s="85"/>
      <c r="Q52" s="85"/>
      <c r="R52" s="85"/>
      <c r="S52" s="85"/>
      <c r="T52" s="85"/>
      <c r="U52" s="85"/>
      <c r="V52" s="85"/>
      <c r="W52" s="85"/>
    </row>
    <row r="53" spans="1:23" s="65" customFormat="1" ht="12.5" x14ac:dyDescent="0.35">
      <c r="A53" s="28">
        <v>95</v>
      </c>
      <c r="B53" s="65" t="s">
        <v>47</v>
      </c>
      <c r="C53" s="71">
        <v>1635</v>
      </c>
      <c r="D53" s="73">
        <v>949</v>
      </c>
      <c r="E53" s="73">
        <v>686</v>
      </c>
      <c r="F53" s="73">
        <v>1042</v>
      </c>
      <c r="G53" s="73">
        <v>42</v>
      </c>
      <c r="H53" s="73">
        <v>39</v>
      </c>
      <c r="I53" s="73">
        <v>5</v>
      </c>
      <c r="J53" s="73">
        <v>5</v>
      </c>
      <c r="K53" s="73">
        <v>313</v>
      </c>
      <c r="L53" s="73">
        <v>86415</v>
      </c>
      <c r="N53" s="85"/>
      <c r="O53" s="85"/>
      <c r="P53" s="85"/>
      <c r="Q53" s="85"/>
      <c r="R53" s="85"/>
      <c r="S53" s="85"/>
      <c r="T53" s="85"/>
      <c r="U53" s="85"/>
      <c r="V53" s="85"/>
      <c r="W53" s="85"/>
    </row>
    <row r="54" spans="1:23" s="65" customFormat="1" ht="12.5" x14ac:dyDescent="0.35">
      <c r="A54" s="28">
        <v>97</v>
      </c>
      <c r="B54" s="65" t="s">
        <v>49</v>
      </c>
      <c r="C54" s="71">
        <v>2018</v>
      </c>
      <c r="D54" s="73">
        <v>226</v>
      </c>
      <c r="E54" s="73">
        <v>1792</v>
      </c>
      <c r="F54" s="73">
        <v>278</v>
      </c>
      <c r="G54" s="73">
        <v>88</v>
      </c>
      <c r="H54" s="73">
        <v>14</v>
      </c>
      <c r="I54" s="73">
        <v>1</v>
      </c>
      <c r="J54" s="73">
        <v>0</v>
      </c>
      <c r="K54" s="73">
        <v>408</v>
      </c>
      <c r="L54" s="73">
        <v>75331</v>
      </c>
      <c r="N54" s="85"/>
      <c r="O54" s="85"/>
      <c r="P54" s="85"/>
      <c r="Q54" s="85"/>
      <c r="R54" s="85"/>
      <c r="S54" s="85"/>
      <c r="T54" s="85"/>
      <c r="U54" s="85"/>
      <c r="V54" s="85"/>
      <c r="W54" s="85"/>
    </row>
    <row r="55" spans="1:23" s="65" customFormat="1" ht="12.5" x14ac:dyDescent="0.35">
      <c r="A55" s="28">
        <v>77</v>
      </c>
      <c r="B55" s="76" t="s">
        <v>21</v>
      </c>
      <c r="C55" s="77">
        <v>12260</v>
      </c>
      <c r="D55" s="78">
        <v>9271</v>
      </c>
      <c r="E55" s="78">
        <v>2989</v>
      </c>
      <c r="F55" s="78">
        <v>2347</v>
      </c>
      <c r="G55" s="78">
        <v>733</v>
      </c>
      <c r="H55" s="78">
        <v>43</v>
      </c>
      <c r="I55" s="78">
        <v>3</v>
      </c>
      <c r="J55" s="78">
        <v>0</v>
      </c>
      <c r="K55" s="78">
        <v>608</v>
      </c>
      <c r="L55" s="78">
        <v>126786</v>
      </c>
      <c r="N55" s="85"/>
      <c r="O55" s="85"/>
      <c r="P55" s="85"/>
      <c r="Q55" s="85"/>
      <c r="R55" s="85"/>
      <c r="S55" s="85"/>
      <c r="T55" s="85"/>
      <c r="U55" s="85"/>
      <c r="V55" s="85"/>
      <c r="W55" s="85"/>
    </row>
    <row r="56" spans="1:23" s="65" customFormat="1" ht="6" customHeight="1" x14ac:dyDescent="0.35">
      <c r="B56" s="79"/>
      <c r="C56" s="79"/>
      <c r="I56" s="80"/>
    </row>
    <row r="57" spans="1:23" s="65" customFormat="1" ht="14.25" customHeight="1" x14ac:dyDescent="0.35">
      <c r="B57" s="81" t="s">
        <v>89</v>
      </c>
      <c r="C57" s="79"/>
      <c r="I57" s="80"/>
    </row>
    <row r="58" spans="1:23" s="65" customFormat="1" ht="14.25" customHeight="1" x14ac:dyDescent="0.35">
      <c r="B58" s="79"/>
      <c r="C58" s="79"/>
      <c r="I58" s="80"/>
    </row>
    <row r="59" spans="1:23" s="65" customFormat="1" x14ac:dyDescent="0.35">
      <c r="B59" s="82" t="s">
        <v>91</v>
      </c>
      <c r="C59" s="82"/>
      <c r="I59" s="83"/>
    </row>
    <row r="60" spans="1:23" s="65" customFormat="1" ht="9.75" customHeight="1" x14ac:dyDescent="0.35">
      <c r="I60" s="80"/>
    </row>
    <row r="62" spans="1:23" ht="15.5" x14ac:dyDescent="0.3">
      <c r="C62" s="86"/>
      <c r="D62" s="87"/>
      <c r="E62" s="87"/>
    </row>
    <row r="63" spans="1:23" ht="15.5" x14ac:dyDescent="0.3">
      <c r="C63" s="86"/>
      <c r="D63" s="87"/>
      <c r="E63" s="87"/>
    </row>
  </sheetData>
  <mergeCells count="19">
    <mergeCell ref="U3:U4"/>
    <mergeCell ref="V3:V4"/>
    <mergeCell ref="W3:W4"/>
    <mergeCell ref="M3:M4"/>
    <mergeCell ref="N3:P3"/>
    <mergeCell ref="Q3:Q4"/>
    <mergeCell ref="R3:R4"/>
    <mergeCell ref="S3:S4"/>
    <mergeCell ref="T3:T4"/>
    <mergeCell ref="B2:L2"/>
    <mergeCell ref="B3:B4"/>
    <mergeCell ref="C3:E3"/>
    <mergeCell ref="F3:F4"/>
    <mergeCell ref="G3:G4"/>
    <mergeCell ref="H3:H4"/>
    <mergeCell ref="I3:I4"/>
    <mergeCell ref="J3:J4"/>
    <mergeCell ref="K3:K4"/>
    <mergeCell ref="L3:L4"/>
  </mergeCells>
  <conditionalFormatting sqref="N6:W55">
    <cfRule type="cellIs" dxfId="1" priority="1" stopIfTrue="1" operator="lessThan">
      <formula>-0.5</formula>
    </cfRule>
    <cfRule type="cellIs" dxfId="0" priority="2" stopIfTrue="1" operator="greaterThan">
      <formula>0.5</formula>
    </cfRule>
  </conditionalFormatting>
  <pageMargins left="0.48" right="0.31" top="0.24" bottom="0.16" header="0.5" footer="0.16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22"/>
  </sheetPr>
  <dimension ref="A2:P61"/>
  <sheetViews>
    <sheetView showGridLines="0" zoomScale="85" zoomScaleNormal="85" workbookViewId="0">
      <pane xSplit="2" ySplit="4" topLeftCell="C5" activePane="bottomRight" state="frozen"/>
      <selection activeCell="G18" sqref="G18"/>
      <selection pane="topRight" activeCell="G18" sqref="G18"/>
      <selection pane="bottomLeft" activeCell="G18" sqref="G18"/>
      <selection pane="bottomRight" activeCell="L33" sqref="L33"/>
    </sheetView>
  </sheetViews>
  <sheetFormatPr defaultRowHeight="13" x14ac:dyDescent="0.3"/>
  <cols>
    <col min="1" max="1" width="3" style="31" hidden="1" customWidth="1"/>
    <col min="2" max="2" width="25.54296875" style="31" customWidth="1"/>
    <col min="3" max="3" width="17" style="31" customWidth="1"/>
    <col min="4" max="4" width="11.453125" style="31" customWidth="1"/>
    <col min="5" max="5" width="14.453125" style="55" customWidth="1"/>
    <col min="6" max="6" width="12.54296875" style="55" customWidth="1"/>
    <col min="7" max="9" width="13.6328125" style="55" customWidth="1"/>
    <col min="10" max="11" width="13.6328125" style="31" customWidth="1"/>
    <col min="12" max="12" width="13.453125" style="31" customWidth="1"/>
    <col min="13" max="256" width="9.08984375" style="31"/>
    <col min="257" max="257" width="0" style="31" hidden="1" customWidth="1"/>
    <col min="258" max="258" width="25.54296875" style="31" customWidth="1"/>
    <col min="259" max="259" width="17" style="31" customWidth="1"/>
    <col min="260" max="260" width="11.453125" style="31" customWidth="1"/>
    <col min="261" max="261" width="14.453125" style="31" customWidth="1"/>
    <col min="262" max="262" width="12.54296875" style="31" customWidth="1"/>
    <col min="263" max="267" width="13.6328125" style="31" customWidth="1"/>
    <col min="268" max="268" width="13.453125" style="31" customWidth="1"/>
    <col min="269" max="512" width="9.08984375" style="31"/>
    <col min="513" max="513" width="0" style="31" hidden="1" customWidth="1"/>
    <col min="514" max="514" width="25.54296875" style="31" customWidth="1"/>
    <col min="515" max="515" width="17" style="31" customWidth="1"/>
    <col min="516" max="516" width="11.453125" style="31" customWidth="1"/>
    <col min="517" max="517" width="14.453125" style="31" customWidth="1"/>
    <col min="518" max="518" width="12.54296875" style="31" customWidth="1"/>
    <col min="519" max="523" width="13.6328125" style="31" customWidth="1"/>
    <col min="524" max="524" width="13.453125" style="31" customWidth="1"/>
    <col min="525" max="768" width="9.08984375" style="31"/>
    <col min="769" max="769" width="0" style="31" hidden="1" customWidth="1"/>
    <col min="770" max="770" width="25.54296875" style="31" customWidth="1"/>
    <col min="771" max="771" width="17" style="31" customWidth="1"/>
    <col min="772" max="772" width="11.453125" style="31" customWidth="1"/>
    <col min="773" max="773" width="14.453125" style="31" customWidth="1"/>
    <col min="774" max="774" width="12.54296875" style="31" customWidth="1"/>
    <col min="775" max="779" width="13.6328125" style="31" customWidth="1"/>
    <col min="780" max="780" width="13.453125" style="31" customWidth="1"/>
    <col min="781" max="1024" width="9.08984375" style="31"/>
    <col min="1025" max="1025" width="0" style="31" hidden="1" customWidth="1"/>
    <col min="1026" max="1026" width="25.54296875" style="31" customWidth="1"/>
    <col min="1027" max="1027" width="17" style="31" customWidth="1"/>
    <col min="1028" max="1028" width="11.453125" style="31" customWidth="1"/>
    <col min="1029" max="1029" width="14.453125" style="31" customWidth="1"/>
    <col min="1030" max="1030" width="12.54296875" style="31" customWidth="1"/>
    <col min="1031" max="1035" width="13.6328125" style="31" customWidth="1"/>
    <col min="1036" max="1036" width="13.453125" style="31" customWidth="1"/>
    <col min="1037" max="1280" width="9.08984375" style="31"/>
    <col min="1281" max="1281" width="0" style="31" hidden="1" customWidth="1"/>
    <col min="1282" max="1282" width="25.54296875" style="31" customWidth="1"/>
    <col min="1283" max="1283" width="17" style="31" customWidth="1"/>
    <col min="1284" max="1284" width="11.453125" style="31" customWidth="1"/>
    <col min="1285" max="1285" width="14.453125" style="31" customWidth="1"/>
    <col min="1286" max="1286" width="12.54296875" style="31" customWidth="1"/>
    <col min="1287" max="1291" width="13.6328125" style="31" customWidth="1"/>
    <col min="1292" max="1292" width="13.453125" style="31" customWidth="1"/>
    <col min="1293" max="1536" width="9.08984375" style="31"/>
    <col min="1537" max="1537" width="0" style="31" hidden="1" customWidth="1"/>
    <col min="1538" max="1538" width="25.54296875" style="31" customWidth="1"/>
    <col min="1539" max="1539" width="17" style="31" customWidth="1"/>
    <col min="1540" max="1540" width="11.453125" style="31" customWidth="1"/>
    <col min="1541" max="1541" width="14.453125" style="31" customWidth="1"/>
    <col min="1542" max="1542" width="12.54296875" style="31" customWidth="1"/>
    <col min="1543" max="1547" width="13.6328125" style="31" customWidth="1"/>
    <col min="1548" max="1548" width="13.453125" style="31" customWidth="1"/>
    <col min="1549" max="1792" width="9.08984375" style="31"/>
    <col min="1793" max="1793" width="0" style="31" hidden="1" customWidth="1"/>
    <col min="1794" max="1794" width="25.54296875" style="31" customWidth="1"/>
    <col min="1795" max="1795" width="17" style="31" customWidth="1"/>
    <col min="1796" max="1796" width="11.453125" style="31" customWidth="1"/>
    <col min="1797" max="1797" width="14.453125" style="31" customWidth="1"/>
    <col min="1798" max="1798" width="12.54296875" style="31" customWidth="1"/>
    <col min="1799" max="1803" width="13.6328125" style="31" customWidth="1"/>
    <col min="1804" max="1804" width="13.453125" style="31" customWidth="1"/>
    <col min="1805" max="2048" width="9.08984375" style="31"/>
    <col min="2049" max="2049" width="0" style="31" hidden="1" customWidth="1"/>
    <col min="2050" max="2050" width="25.54296875" style="31" customWidth="1"/>
    <col min="2051" max="2051" width="17" style="31" customWidth="1"/>
    <col min="2052" max="2052" width="11.453125" style="31" customWidth="1"/>
    <col min="2053" max="2053" width="14.453125" style="31" customWidth="1"/>
    <col min="2054" max="2054" width="12.54296875" style="31" customWidth="1"/>
    <col min="2055" max="2059" width="13.6328125" style="31" customWidth="1"/>
    <col min="2060" max="2060" width="13.453125" style="31" customWidth="1"/>
    <col min="2061" max="2304" width="9.08984375" style="31"/>
    <col min="2305" max="2305" width="0" style="31" hidden="1" customWidth="1"/>
    <col min="2306" max="2306" width="25.54296875" style="31" customWidth="1"/>
    <col min="2307" max="2307" width="17" style="31" customWidth="1"/>
    <col min="2308" max="2308" width="11.453125" style="31" customWidth="1"/>
    <col min="2309" max="2309" width="14.453125" style="31" customWidth="1"/>
    <col min="2310" max="2310" width="12.54296875" style="31" customWidth="1"/>
    <col min="2311" max="2315" width="13.6328125" style="31" customWidth="1"/>
    <col min="2316" max="2316" width="13.453125" style="31" customWidth="1"/>
    <col min="2317" max="2560" width="9.08984375" style="31"/>
    <col min="2561" max="2561" width="0" style="31" hidden="1" customWidth="1"/>
    <col min="2562" max="2562" width="25.54296875" style="31" customWidth="1"/>
    <col min="2563" max="2563" width="17" style="31" customWidth="1"/>
    <col min="2564" max="2564" width="11.453125" style="31" customWidth="1"/>
    <col min="2565" max="2565" width="14.453125" style="31" customWidth="1"/>
    <col min="2566" max="2566" width="12.54296875" style="31" customWidth="1"/>
    <col min="2567" max="2571" width="13.6328125" style="31" customWidth="1"/>
    <col min="2572" max="2572" width="13.453125" style="31" customWidth="1"/>
    <col min="2573" max="2816" width="9.08984375" style="31"/>
    <col min="2817" max="2817" width="0" style="31" hidden="1" customWidth="1"/>
    <col min="2818" max="2818" width="25.54296875" style="31" customWidth="1"/>
    <col min="2819" max="2819" width="17" style="31" customWidth="1"/>
    <col min="2820" max="2820" width="11.453125" style="31" customWidth="1"/>
    <col min="2821" max="2821" width="14.453125" style="31" customWidth="1"/>
    <col min="2822" max="2822" width="12.54296875" style="31" customWidth="1"/>
    <col min="2823" max="2827" width="13.6328125" style="31" customWidth="1"/>
    <col min="2828" max="2828" width="13.453125" style="31" customWidth="1"/>
    <col min="2829" max="3072" width="9.08984375" style="31"/>
    <col min="3073" max="3073" width="0" style="31" hidden="1" customWidth="1"/>
    <col min="3074" max="3074" width="25.54296875" style="31" customWidth="1"/>
    <col min="3075" max="3075" width="17" style="31" customWidth="1"/>
    <col min="3076" max="3076" width="11.453125" style="31" customWidth="1"/>
    <col min="3077" max="3077" width="14.453125" style="31" customWidth="1"/>
    <col min="3078" max="3078" width="12.54296875" style="31" customWidth="1"/>
    <col min="3079" max="3083" width="13.6328125" style="31" customWidth="1"/>
    <col min="3084" max="3084" width="13.453125" style="31" customWidth="1"/>
    <col min="3085" max="3328" width="9.08984375" style="31"/>
    <col min="3329" max="3329" width="0" style="31" hidden="1" customWidth="1"/>
    <col min="3330" max="3330" width="25.54296875" style="31" customWidth="1"/>
    <col min="3331" max="3331" width="17" style="31" customWidth="1"/>
    <col min="3332" max="3332" width="11.453125" style="31" customWidth="1"/>
    <col min="3333" max="3333" width="14.453125" style="31" customWidth="1"/>
    <col min="3334" max="3334" width="12.54296875" style="31" customWidth="1"/>
    <col min="3335" max="3339" width="13.6328125" style="31" customWidth="1"/>
    <col min="3340" max="3340" width="13.453125" style="31" customWidth="1"/>
    <col min="3341" max="3584" width="9.08984375" style="31"/>
    <col min="3585" max="3585" width="0" style="31" hidden="1" customWidth="1"/>
    <col min="3586" max="3586" width="25.54296875" style="31" customWidth="1"/>
    <col min="3587" max="3587" width="17" style="31" customWidth="1"/>
    <col min="3588" max="3588" width="11.453125" style="31" customWidth="1"/>
    <col min="3589" max="3589" width="14.453125" style="31" customWidth="1"/>
    <col min="3590" max="3590" width="12.54296875" style="31" customWidth="1"/>
    <col min="3591" max="3595" width="13.6328125" style="31" customWidth="1"/>
    <col min="3596" max="3596" width="13.453125" style="31" customWidth="1"/>
    <col min="3597" max="3840" width="9.08984375" style="31"/>
    <col min="3841" max="3841" width="0" style="31" hidden="1" customWidth="1"/>
    <col min="3842" max="3842" width="25.54296875" style="31" customWidth="1"/>
    <col min="3843" max="3843" width="17" style="31" customWidth="1"/>
    <col min="3844" max="3844" width="11.453125" style="31" customWidth="1"/>
    <col min="3845" max="3845" width="14.453125" style="31" customWidth="1"/>
    <col min="3846" max="3846" width="12.54296875" style="31" customWidth="1"/>
    <col min="3847" max="3851" width="13.6328125" style="31" customWidth="1"/>
    <col min="3852" max="3852" width="13.453125" style="31" customWidth="1"/>
    <col min="3853" max="4096" width="9.08984375" style="31"/>
    <col min="4097" max="4097" width="0" style="31" hidden="1" customWidth="1"/>
    <col min="4098" max="4098" width="25.54296875" style="31" customWidth="1"/>
    <col min="4099" max="4099" width="17" style="31" customWidth="1"/>
    <col min="4100" max="4100" width="11.453125" style="31" customWidth="1"/>
    <col min="4101" max="4101" width="14.453125" style="31" customWidth="1"/>
    <col min="4102" max="4102" width="12.54296875" style="31" customWidth="1"/>
    <col min="4103" max="4107" width="13.6328125" style="31" customWidth="1"/>
    <col min="4108" max="4108" width="13.453125" style="31" customWidth="1"/>
    <col min="4109" max="4352" width="9.08984375" style="31"/>
    <col min="4353" max="4353" width="0" style="31" hidden="1" customWidth="1"/>
    <col min="4354" max="4354" width="25.54296875" style="31" customWidth="1"/>
    <col min="4355" max="4355" width="17" style="31" customWidth="1"/>
    <col min="4356" max="4356" width="11.453125" style="31" customWidth="1"/>
    <col min="4357" max="4357" width="14.453125" style="31" customWidth="1"/>
    <col min="4358" max="4358" width="12.54296875" style="31" customWidth="1"/>
    <col min="4359" max="4363" width="13.6328125" style="31" customWidth="1"/>
    <col min="4364" max="4364" width="13.453125" style="31" customWidth="1"/>
    <col min="4365" max="4608" width="9.08984375" style="31"/>
    <col min="4609" max="4609" width="0" style="31" hidden="1" customWidth="1"/>
    <col min="4610" max="4610" width="25.54296875" style="31" customWidth="1"/>
    <col min="4611" max="4611" width="17" style="31" customWidth="1"/>
    <col min="4612" max="4612" width="11.453125" style="31" customWidth="1"/>
    <col min="4613" max="4613" width="14.453125" style="31" customWidth="1"/>
    <col min="4614" max="4614" width="12.54296875" style="31" customWidth="1"/>
    <col min="4615" max="4619" width="13.6328125" style="31" customWidth="1"/>
    <col min="4620" max="4620" width="13.453125" style="31" customWidth="1"/>
    <col min="4621" max="4864" width="9.08984375" style="31"/>
    <col min="4865" max="4865" width="0" style="31" hidden="1" customWidth="1"/>
    <col min="4866" max="4866" width="25.54296875" style="31" customWidth="1"/>
    <col min="4867" max="4867" width="17" style="31" customWidth="1"/>
    <col min="4868" max="4868" width="11.453125" style="31" customWidth="1"/>
    <col min="4869" max="4869" width="14.453125" style="31" customWidth="1"/>
    <col min="4870" max="4870" width="12.54296875" style="31" customWidth="1"/>
    <col min="4871" max="4875" width="13.6328125" style="31" customWidth="1"/>
    <col min="4876" max="4876" width="13.453125" style="31" customWidth="1"/>
    <col min="4877" max="5120" width="9.08984375" style="31"/>
    <col min="5121" max="5121" width="0" style="31" hidden="1" customWidth="1"/>
    <col min="5122" max="5122" width="25.54296875" style="31" customWidth="1"/>
    <col min="5123" max="5123" width="17" style="31" customWidth="1"/>
    <col min="5124" max="5124" width="11.453125" style="31" customWidth="1"/>
    <col min="5125" max="5125" width="14.453125" style="31" customWidth="1"/>
    <col min="5126" max="5126" width="12.54296875" style="31" customWidth="1"/>
    <col min="5127" max="5131" width="13.6328125" style="31" customWidth="1"/>
    <col min="5132" max="5132" width="13.453125" style="31" customWidth="1"/>
    <col min="5133" max="5376" width="9.08984375" style="31"/>
    <col min="5377" max="5377" width="0" style="31" hidden="1" customWidth="1"/>
    <col min="5378" max="5378" width="25.54296875" style="31" customWidth="1"/>
    <col min="5379" max="5379" width="17" style="31" customWidth="1"/>
    <col min="5380" max="5380" width="11.453125" style="31" customWidth="1"/>
    <col min="5381" max="5381" width="14.453125" style="31" customWidth="1"/>
    <col min="5382" max="5382" width="12.54296875" style="31" customWidth="1"/>
    <col min="5383" max="5387" width="13.6328125" style="31" customWidth="1"/>
    <col min="5388" max="5388" width="13.453125" style="31" customWidth="1"/>
    <col min="5389" max="5632" width="9.08984375" style="31"/>
    <col min="5633" max="5633" width="0" style="31" hidden="1" customWidth="1"/>
    <col min="5634" max="5634" width="25.54296875" style="31" customWidth="1"/>
    <col min="5635" max="5635" width="17" style="31" customWidth="1"/>
    <col min="5636" max="5636" width="11.453125" style="31" customWidth="1"/>
    <col min="5637" max="5637" width="14.453125" style="31" customWidth="1"/>
    <col min="5638" max="5638" width="12.54296875" style="31" customWidth="1"/>
    <col min="5639" max="5643" width="13.6328125" style="31" customWidth="1"/>
    <col min="5644" max="5644" width="13.453125" style="31" customWidth="1"/>
    <col min="5645" max="5888" width="9.08984375" style="31"/>
    <col min="5889" max="5889" width="0" style="31" hidden="1" customWidth="1"/>
    <col min="5890" max="5890" width="25.54296875" style="31" customWidth="1"/>
    <col min="5891" max="5891" width="17" style="31" customWidth="1"/>
    <col min="5892" max="5892" width="11.453125" style="31" customWidth="1"/>
    <col min="5893" max="5893" width="14.453125" style="31" customWidth="1"/>
    <col min="5894" max="5894" width="12.54296875" style="31" customWidth="1"/>
    <col min="5895" max="5899" width="13.6328125" style="31" customWidth="1"/>
    <col min="5900" max="5900" width="13.453125" style="31" customWidth="1"/>
    <col min="5901" max="6144" width="9.08984375" style="31"/>
    <col min="6145" max="6145" width="0" style="31" hidden="1" customWidth="1"/>
    <col min="6146" max="6146" width="25.54296875" style="31" customWidth="1"/>
    <col min="6147" max="6147" width="17" style="31" customWidth="1"/>
    <col min="6148" max="6148" width="11.453125" style="31" customWidth="1"/>
    <col min="6149" max="6149" width="14.453125" style="31" customWidth="1"/>
    <col min="6150" max="6150" width="12.54296875" style="31" customWidth="1"/>
    <col min="6151" max="6155" width="13.6328125" style="31" customWidth="1"/>
    <col min="6156" max="6156" width="13.453125" style="31" customWidth="1"/>
    <col min="6157" max="6400" width="9.08984375" style="31"/>
    <col min="6401" max="6401" width="0" style="31" hidden="1" customWidth="1"/>
    <col min="6402" max="6402" width="25.54296875" style="31" customWidth="1"/>
    <col min="6403" max="6403" width="17" style="31" customWidth="1"/>
    <col min="6404" max="6404" width="11.453125" style="31" customWidth="1"/>
    <col min="6405" max="6405" width="14.453125" style="31" customWidth="1"/>
    <col min="6406" max="6406" width="12.54296875" style="31" customWidth="1"/>
    <col min="6407" max="6411" width="13.6328125" style="31" customWidth="1"/>
    <col min="6412" max="6412" width="13.453125" style="31" customWidth="1"/>
    <col min="6413" max="6656" width="9.08984375" style="31"/>
    <col min="6657" max="6657" width="0" style="31" hidden="1" customWidth="1"/>
    <col min="6658" max="6658" width="25.54296875" style="31" customWidth="1"/>
    <col min="6659" max="6659" width="17" style="31" customWidth="1"/>
    <col min="6660" max="6660" width="11.453125" style="31" customWidth="1"/>
    <col min="6661" max="6661" width="14.453125" style="31" customWidth="1"/>
    <col min="6662" max="6662" width="12.54296875" style="31" customWidth="1"/>
    <col min="6663" max="6667" width="13.6328125" style="31" customWidth="1"/>
    <col min="6668" max="6668" width="13.453125" style="31" customWidth="1"/>
    <col min="6669" max="6912" width="9.08984375" style="31"/>
    <col min="6913" max="6913" width="0" style="31" hidden="1" customWidth="1"/>
    <col min="6914" max="6914" width="25.54296875" style="31" customWidth="1"/>
    <col min="6915" max="6915" width="17" style="31" customWidth="1"/>
    <col min="6916" max="6916" width="11.453125" style="31" customWidth="1"/>
    <col min="6917" max="6917" width="14.453125" style="31" customWidth="1"/>
    <col min="6918" max="6918" width="12.54296875" style="31" customWidth="1"/>
    <col min="6919" max="6923" width="13.6328125" style="31" customWidth="1"/>
    <col min="6924" max="6924" width="13.453125" style="31" customWidth="1"/>
    <col min="6925" max="7168" width="9.08984375" style="31"/>
    <col min="7169" max="7169" width="0" style="31" hidden="1" customWidth="1"/>
    <col min="7170" max="7170" width="25.54296875" style="31" customWidth="1"/>
    <col min="7171" max="7171" width="17" style="31" customWidth="1"/>
    <col min="7172" max="7172" width="11.453125" style="31" customWidth="1"/>
    <col min="7173" max="7173" width="14.453125" style="31" customWidth="1"/>
    <col min="7174" max="7174" width="12.54296875" style="31" customWidth="1"/>
    <col min="7175" max="7179" width="13.6328125" style="31" customWidth="1"/>
    <col min="7180" max="7180" width="13.453125" style="31" customWidth="1"/>
    <col min="7181" max="7424" width="9.08984375" style="31"/>
    <col min="7425" max="7425" width="0" style="31" hidden="1" customWidth="1"/>
    <col min="7426" max="7426" width="25.54296875" style="31" customWidth="1"/>
    <col min="7427" max="7427" width="17" style="31" customWidth="1"/>
    <col min="7428" max="7428" width="11.453125" style="31" customWidth="1"/>
    <col min="7429" max="7429" width="14.453125" style="31" customWidth="1"/>
    <col min="7430" max="7430" width="12.54296875" style="31" customWidth="1"/>
    <col min="7431" max="7435" width="13.6328125" style="31" customWidth="1"/>
    <col min="7436" max="7436" width="13.453125" style="31" customWidth="1"/>
    <col min="7437" max="7680" width="9.08984375" style="31"/>
    <col min="7681" max="7681" width="0" style="31" hidden="1" customWidth="1"/>
    <col min="7682" max="7682" width="25.54296875" style="31" customWidth="1"/>
    <col min="7683" max="7683" width="17" style="31" customWidth="1"/>
    <col min="7684" max="7684" width="11.453125" style="31" customWidth="1"/>
    <col min="7685" max="7685" width="14.453125" style="31" customWidth="1"/>
    <col min="7686" max="7686" width="12.54296875" style="31" customWidth="1"/>
    <col min="7687" max="7691" width="13.6328125" style="31" customWidth="1"/>
    <col min="7692" max="7692" width="13.453125" style="31" customWidth="1"/>
    <col min="7693" max="7936" width="9.08984375" style="31"/>
    <col min="7937" max="7937" width="0" style="31" hidden="1" customWidth="1"/>
    <col min="7938" max="7938" width="25.54296875" style="31" customWidth="1"/>
    <col min="7939" max="7939" width="17" style="31" customWidth="1"/>
    <col min="7940" max="7940" width="11.453125" style="31" customWidth="1"/>
    <col min="7941" max="7941" width="14.453125" style="31" customWidth="1"/>
    <col min="7942" max="7942" width="12.54296875" style="31" customWidth="1"/>
    <col min="7943" max="7947" width="13.6328125" style="31" customWidth="1"/>
    <col min="7948" max="7948" width="13.453125" style="31" customWidth="1"/>
    <col min="7949" max="8192" width="9.08984375" style="31"/>
    <col min="8193" max="8193" width="0" style="31" hidden="1" customWidth="1"/>
    <col min="8194" max="8194" width="25.54296875" style="31" customWidth="1"/>
    <col min="8195" max="8195" width="17" style="31" customWidth="1"/>
    <col min="8196" max="8196" width="11.453125" style="31" customWidth="1"/>
    <col min="8197" max="8197" width="14.453125" style="31" customWidth="1"/>
    <col min="8198" max="8198" width="12.54296875" style="31" customWidth="1"/>
    <col min="8199" max="8203" width="13.6328125" style="31" customWidth="1"/>
    <col min="8204" max="8204" width="13.453125" style="31" customWidth="1"/>
    <col min="8205" max="8448" width="9.08984375" style="31"/>
    <col min="8449" max="8449" width="0" style="31" hidden="1" customWidth="1"/>
    <col min="8450" max="8450" width="25.54296875" style="31" customWidth="1"/>
    <col min="8451" max="8451" width="17" style="31" customWidth="1"/>
    <col min="8452" max="8452" width="11.453125" style="31" customWidth="1"/>
    <col min="8453" max="8453" width="14.453125" style="31" customWidth="1"/>
    <col min="8454" max="8454" width="12.54296875" style="31" customWidth="1"/>
    <col min="8455" max="8459" width="13.6328125" style="31" customWidth="1"/>
    <col min="8460" max="8460" width="13.453125" style="31" customWidth="1"/>
    <col min="8461" max="8704" width="9.08984375" style="31"/>
    <col min="8705" max="8705" width="0" style="31" hidden="1" customWidth="1"/>
    <col min="8706" max="8706" width="25.54296875" style="31" customWidth="1"/>
    <col min="8707" max="8707" width="17" style="31" customWidth="1"/>
    <col min="8708" max="8708" width="11.453125" style="31" customWidth="1"/>
    <col min="8709" max="8709" width="14.453125" style="31" customWidth="1"/>
    <col min="8710" max="8710" width="12.54296875" style="31" customWidth="1"/>
    <col min="8711" max="8715" width="13.6328125" style="31" customWidth="1"/>
    <col min="8716" max="8716" width="13.453125" style="31" customWidth="1"/>
    <col min="8717" max="8960" width="9.08984375" style="31"/>
    <col min="8961" max="8961" width="0" style="31" hidden="1" customWidth="1"/>
    <col min="8962" max="8962" width="25.54296875" style="31" customWidth="1"/>
    <col min="8963" max="8963" width="17" style="31" customWidth="1"/>
    <col min="8964" max="8964" width="11.453125" style="31" customWidth="1"/>
    <col min="8965" max="8965" width="14.453125" style="31" customWidth="1"/>
    <col min="8966" max="8966" width="12.54296875" style="31" customWidth="1"/>
    <col min="8967" max="8971" width="13.6328125" style="31" customWidth="1"/>
    <col min="8972" max="8972" width="13.453125" style="31" customWidth="1"/>
    <col min="8973" max="9216" width="9.08984375" style="31"/>
    <col min="9217" max="9217" width="0" style="31" hidden="1" customWidth="1"/>
    <col min="9218" max="9218" width="25.54296875" style="31" customWidth="1"/>
    <col min="9219" max="9219" width="17" style="31" customWidth="1"/>
    <col min="9220" max="9220" width="11.453125" style="31" customWidth="1"/>
    <col min="9221" max="9221" width="14.453125" style="31" customWidth="1"/>
    <col min="9222" max="9222" width="12.54296875" style="31" customWidth="1"/>
    <col min="9223" max="9227" width="13.6328125" style="31" customWidth="1"/>
    <col min="9228" max="9228" width="13.453125" style="31" customWidth="1"/>
    <col min="9229" max="9472" width="9.08984375" style="31"/>
    <col min="9473" max="9473" width="0" style="31" hidden="1" customWidth="1"/>
    <col min="9474" max="9474" width="25.54296875" style="31" customWidth="1"/>
    <col min="9475" max="9475" width="17" style="31" customWidth="1"/>
    <col min="9476" max="9476" width="11.453125" style="31" customWidth="1"/>
    <col min="9477" max="9477" width="14.453125" style="31" customWidth="1"/>
    <col min="9478" max="9478" width="12.54296875" style="31" customWidth="1"/>
    <col min="9479" max="9483" width="13.6328125" style="31" customWidth="1"/>
    <col min="9484" max="9484" width="13.453125" style="31" customWidth="1"/>
    <col min="9485" max="9728" width="9.08984375" style="31"/>
    <col min="9729" max="9729" width="0" style="31" hidden="1" customWidth="1"/>
    <col min="9730" max="9730" width="25.54296875" style="31" customWidth="1"/>
    <col min="9731" max="9731" width="17" style="31" customWidth="1"/>
    <col min="9732" max="9732" width="11.453125" style="31" customWidth="1"/>
    <col min="9733" max="9733" width="14.453125" style="31" customWidth="1"/>
    <col min="9734" max="9734" width="12.54296875" style="31" customWidth="1"/>
    <col min="9735" max="9739" width="13.6328125" style="31" customWidth="1"/>
    <col min="9740" max="9740" width="13.453125" style="31" customWidth="1"/>
    <col min="9741" max="9984" width="9.08984375" style="31"/>
    <col min="9985" max="9985" width="0" style="31" hidden="1" customWidth="1"/>
    <col min="9986" max="9986" width="25.54296875" style="31" customWidth="1"/>
    <col min="9987" max="9987" width="17" style="31" customWidth="1"/>
    <col min="9988" max="9988" width="11.453125" style="31" customWidth="1"/>
    <col min="9989" max="9989" width="14.453125" style="31" customWidth="1"/>
    <col min="9990" max="9990" width="12.54296875" style="31" customWidth="1"/>
    <col min="9991" max="9995" width="13.6328125" style="31" customWidth="1"/>
    <col min="9996" max="9996" width="13.453125" style="31" customWidth="1"/>
    <col min="9997" max="10240" width="9.08984375" style="31"/>
    <col min="10241" max="10241" width="0" style="31" hidden="1" customWidth="1"/>
    <col min="10242" max="10242" width="25.54296875" style="31" customWidth="1"/>
    <col min="10243" max="10243" width="17" style="31" customWidth="1"/>
    <col min="10244" max="10244" width="11.453125" style="31" customWidth="1"/>
    <col min="10245" max="10245" width="14.453125" style="31" customWidth="1"/>
    <col min="10246" max="10246" width="12.54296875" style="31" customWidth="1"/>
    <col min="10247" max="10251" width="13.6328125" style="31" customWidth="1"/>
    <col min="10252" max="10252" width="13.453125" style="31" customWidth="1"/>
    <col min="10253" max="10496" width="9.08984375" style="31"/>
    <col min="10497" max="10497" width="0" style="31" hidden="1" customWidth="1"/>
    <col min="10498" max="10498" width="25.54296875" style="31" customWidth="1"/>
    <col min="10499" max="10499" width="17" style="31" customWidth="1"/>
    <col min="10500" max="10500" width="11.453125" style="31" customWidth="1"/>
    <col min="10501" max="10501" width="14.453125" style="31" customWidth="1"/>
    <col min="10502" max="10502" width="12.54296875" style="31" customWidth="1"/>
    <col min="10503" max="10507" width="13.6328125" style="31" customWidth="1"/>
    <col min="10508" max="10508" width="13.453125" style="31" customWidth="1"/>
    <col min="10509" max="10752" width="9.08984375" style="31"/>
    <col min="10753" max="10753" width="0" style="31" hidden="1" customWidth="1"/>
    <col min="10754" max="10754" width="25.54296875" style="31" customWidth="1"/>
    <col min="10755" max="10755" width="17" style="31" customWidth="1"/>
    <col min="10756" max="10756" width="11.453125" style="31" customWidth="1"/>
    <col min="10757" max="10757" width="14.453125" style="31" customWidth="1"/>
    <col min="10758" max="10758" width="12.54296875" style="31" customWidth="1"/>
    <col min="10759" max="10763" width="13.6328125" style="31" customWidth="1"/>
    <col min="10764" max="10764" width="13.453125" style="31" customWidth="1"/>
    <col min="10765" max="11008" width="9.08984375" style="31"/>
    <col min="11009" max="11009" width="0" style="31" hidden="1" customWidth="1"/>
    <col min="11010" max="11010" width="25.54296875" style="31" customWidth="1"/>
    <col min="11011" max="11011" width="17" style="31" customWidth="1"/>
    <col min="11012" max="11012" width="11.453125" style="31" customWidth="1"/>
    <col min="11013" max="11013" width="14.453125" style="31" customWidth="1"/>
    <col min="11014" max="11014" width="12.54296875" style="31" customWidth="1"/>
    <col min="11015" max="11019" width="13.6328125" style="31" customWidth="1"/>
    <col min="11020" max="11020" width="13.453125" style="31" customWidth="1"/>
    <col min="11021" max="11264" width="9.08984375" style="31"/>
    <col min="11265" max="11265" width="0" style="31" hidden="1" customWidth="1"/>
    <col min="11266" max="11266" width="25.54296875" style="31" customWidth="1"/>
    <col min="11267" max="11267" width="17" style="31" customWidth="1"/>
    <col min="11268" max="11268" width="11.453125" style="31" customWidth="1"/>
    <col min="11269" max="11269" width="14.453125" style="31" customWidth="1"/>
    <col min="11270" max="11270" width="12.54296875" style="31" customWidth="1"/>
    <col min="11271" max="11275" width="13.6328125" style="31" customWidth="1"/>
    <col min="11276" max="11276" width="13.453125" style="31" customWidth="1"/>
    <col min="11277" max="11520" width="9.08984375" style="31"/>
    <col min="11521" max="11521" width="0" style="31" hidden="1" customWidth="1"/>
    <col min="11522" max="11522" width="25.54296875" style="31" customWidth="1"/>
    <col min="11523" max="11523" width="17" style="31" customWidth="1"/>
    <col min="11524" max="11524" width="11.453125" style="31" customWidth="1"/>
    <col min="11525" max="11525" width="14.453125" style="31" customWidth="1"/>
    <col min="11526" max="11526" width="12.54296875" style="31" customWidth="1"/>
    <col min="11527" max="11531" width="13.6328125" style="31" customWidth="1"/>
    <col min="11532" max="11532" width="13.453125" style="31" customWidth="1"/>
    <col min="11533" max="11776" width="9.08984375" style="31"/>
    <col min="11777" max="11777" width="0" style="31" hidden="1" customWidth="1"/>
    <col min="11778" max="11778" width="25.54296875" style="31" customWidth="1"/>
    <col min="11779" max="11779" width="17" style="31" customWidth="1"/>
    <col min="11780" max="11780" width="11.453125" style="31" customWidth="1"/>
    <col min="11781" max="11781" width="14.453125" style="31" customWidth="1"/>
    <col min="11782" max="11782" width="12.54296875" style="31" customWidth="1"/>
    <col min="11783" max="11787" width="13.6328125" style="31" customWidth="1"/>
    <col min="11788" max="11788" width="13.453125" style="31" customWidth="1"/>
    <col min="11789" max="12032" width="9.08984375" style="31"/>
    <col min="12033" max="12033" width="0" style="31" hidden="1" customWidth="1"/>
    <col min="12034" max="12034" width="25.54296875" style="31" customWidth="1"/>
    <col min="12035" max="12035" width="17" style="31" customWidth="1"/>
    <col min="12036" max="12036" width="11.453125" style="31" customWidth="1"/>
    <col min="12037" max="12037" width="14.453125" style="31" customWidth="1"/>
    <col min="12038" max="12038" width="12.54296875" style="31" customWidth="1"/>
    <col min="12039" max="12043" width="13.6328125" style="31" customWidth="1"/>
    <col min="12044" max="12044" width="13.453125" style="31" customWidth="1"/>
    <col min="12045" max="12288" width="9.08984375" style="31"/>
    <col min="12289" max="12289" width="0" style="31" hidden="1" customWidth="1"/>
    <col min="12290" max="12290" width="25.54296875" style="31" customWidth="1"/>
    <col min="12291" max="12291" width="17" style="31" customWidth="1"/>
    <col min="12292" max="12292" width="11.453125" style="31" customWidth="1"/>
    <col min="12293" max="12293" width="14.453125" style="31" customWidth="1"/>
    <col min="12294" max="12294" width="12.54296875" style="31" customWidth="1"/>
    <col min="12295" max="12299" width="13.6328125" style="31" customWidth="1"/>
    <col min="12300" max="12300" width="13.453125" style="31" customWidth="1"/>
    <col min="12301" max="12544" width="9.08984375" style="31"/>
    <col min="12545" max="12545" width="0" style="31" hidden="1" customWidth="1"/>
    <col min="12546" max="12546" width="25.54296875" style="31" customWidth="1"/>
    <col min="12547" max="12547" width="17" style="31" customWidth="1"/>
    <col min="12548" max="12548" width="11.453125" style="31" customWidth="1"/>
    <col min="12549" max="12549" width="14.453125" style="31" customWidth="1"/>
    <col min="12550" max="12550" width="12.54296875" style="31" customWidth="1"/>
    <col min="12551" max="12555" width="13.6328125" style="31" customWidth="1"/>
    <col min="12556" max="12556" width="13.453125" style="31" customWidth="1"/>
    <col min="12557" max="12800" width="9.08984375" style="31"/>
    <col min="12801" max="12801" width="0" style="31" hidden="1" customWidth="1"/>
    <col min="12802" max="12802" width="25.54296875" style="31" customWidth="1"/>
    <col min="12803" max="12803" width="17" style="31" customWidth="1"/>
    <col min="12804" max="12804" width="11.453125" style="31" customWidth="1"/>
    <col min="12805" max="12805" width="14.453125" style="31" customWidth="1"/>
    <col min="12806" max="12806" width="12.54296875" style="31" customWidth="1"/>
    <col min="12807" max="12811" width="13.6328125" style="31" customWidth="1"/>
    <col min="12812" max="12812" width="13.453125" style="31" customWidth="1"/>
    <col min="12813" max="13056" width="9.08984375" style="31"/>
    <col min="13057" max="13057" width="0" style="31" hidden="1" customWidth="1"/>
    <col min="13058" max="13058" width="25.54296875" style="31" customWidth="1"/>
    <col min="13059" max="13059" width="17" style="31" customWidth="1"/>
    <col min="13060" max="13060" width="11.453125" style="31" customWidth="1"/>
    <col min="13061" max="13061" width="14.453125" style="31" customWidth="1"/>
    <col min="13062" max="13062" width="12.54296875" style="31" customWidth="1"/>
    <col min="13063" max="13067" width="13.6328125" style="31" customWidth="1"/>
    <col min="13068" max="13068" width="13.453125" style="31" customWidth="1"/>
    <col min="13069" max="13312" width="9.08984375" style="31"/>
    <col min="13313" max="13313" width="0" style="31" hidden="1" customWidth="1"/>
    <col min="13314" max="13314" width="25.54296875" style="31" customWidth="1"/>
    <col min="13315" max="13315" width="17" style="31" customWidth="1"/>
    <col min="13316" max="13316" width="11.453125" style="31" customWidth="1"/>
    <col min="13317" max="13317" width="14.453125" style="31" customWidth="1"/>
    <col min="13318" max="13318" width="12.54296875" style="31" customWidth="1"/>
    <col min="13319" max="13323" width="13.6328125" style="31" customWidth="1"/>
    <col min="13324" max="13324" width="13.453125" style="31" customWidth="1"/>
    <col min="13325" max="13568" width="9.08984375" style="31"/>
    <col min="13569" max="13569" width="0" style="31" hidden="1" customWidth="1"/>
    <col min="13570" max="13570" width="25.54296875" style="31" customWidth="1"/>
    <col min="13571" max="13571" width="17" style="31" customWidth="1"/>
    <col min="13572" max="13572" width="11.453125" style="31" customWidth="1"/>
    <col min="13573" max="13573" width="14.453125" style="31" customWidth="1"/>
    <col min="13574" max="13574" width="12.54296875" style="31" customWidth="1"/>
    <col min="13575" max="13579" width="13.6328125" style="31" customWidth="1"/>
    <col min="13580" max="13580" width="13.453125" style="31" customWidth="1"/>
    <col min="13581" max="13824" width="9.08984375" style="31"/>
    <col min="13825" max="13825" width="0" style="31" hidden="1" customWidth="1"/>
    <col min="13826" max="13826" width="25.54296875" style="31" customWidth="1"/>
    <col min="13827" max="13827" width="17" style="31" customWidth="1"/>
    <col min="13828" max="13828" width="11.453125" style="31" customWidth="1"/>
    <col min="13829" max="13829" width="14.453125" style="31" customWidth="1"/>
    <col min="13830" max="13830" width="12.54296875" style="31" customWidth="1"/>
    <col min="13831" max="13835" width="13.6328125" style="31" customWidth="1"/>
    <col min="13836" max="13836" width="13.453125" style="31" customWidth="1"/>
    <col min="13837" max="14080" width="9.08984375" style="31"/>
    <col min="14081" max="14081" width="0" style="31" hidden="1" customWidth="1"/>
    <col min="14082" max="14082" width="25.54296875" style="31" customWidth="1"/>
    <col min="14083" max="14083" width="17" style="31" customWidth="1"/>
    <col min="14084" max="14084" width="11.453125" style="31" customWidth="1"/>
    <col min="14085" max="14085" width="14.453125" style="31" customWidth="1"/>
    <col min="14086" max="14086" width="12.54296875" style="31" customWidth="1"/>
    <col min="14087" max="14091" width="13.6328125" style="31" customWidth="1"/>
    <col min="14092" max="14092" width="13.453125" style="31" customWidth="1"/>
    <col min="14093" max="14336" width="9.08984375" style="31"/>
    <col min="14337" max="14337" width="0" style="31" hidden="1" customWidth="1"/>
    <col min="14338" max="14338" width="25.54296875" style="31" customWidth="1"/>
    <col min="14339" max="14339" width="17" style="31" customWidth="1"/>
    <col min="14340" max="14340" width="11.453125" style="31" customWidth="1"/>
    <col min="14341" max="14341" width="14.453125" style="31" customWidth="1"/>
    <col min="14342" max="14342" width="12.54296875" style="31" customWidth="1"/>
    <col min="14343" max="14347" width="13.6328125" style="31" customWidth="1"/>
    <col min="14348" max="14348" width="13.453125" style="31" customWidth="1"/>
    <col min="14349" max="14592" width="9.08984375" style="31"/>
    <col min="14593" max="14593" width="0" style="31" hidden="1" customWidth="1"/>
    <col min="14594" max="14594" width="25.54296875" style="31" customWidth="1"/>
    <col min="14595" max="14595" width="17" style="31" customWidth="1"/>
    <col min="14596" max="14596" width="11.453125" style="31" customWidth="1"/>
    <col min="14597" max="14597" width="14.453125" style="31" customWidth="1"/>
    <col min="14598" max="14598" width="12.54296875" style="31" customWidth="1"/>
    <col min="14599" max="14603" width="13.6328125" style="31" customWidth="1"/>
    <col min="14604" max="14604" width="13.453125" style="31" customWidth="1"/>
    <col min="14605" max="14848" width="9.08984375" style="31"/>
    <col min="14849" max="14849" width="0" style="31" hidden="1" customWidth="1"/>
    <col min="14850" max="14850" width="25.54296875" style="31" customWidth="1"/>
    <col min="14851" max="14851" width="17" style="31" customWidth="1"/>
    <col min="14852" max="14852" width="11.453125" style="31" customWidth="1"/>
    <col min="14853" max="14853" width="14.453125" style="31" customWidth="1"/>
    <col min="14854" max="14854" width="12.54296875" style="31" customWidth="1"/>
    <col min="14855" max="14859" width="13.6328125" style="31" customWidth="1"/>
    <col min="14860" max="14860" width="13.453125" style="31" customWidth="1"/>
    <col min="14861" max="15104" width="9.08984375" style="31"/>
    <col min="15105" max="15105" width="0" style="31" hidden="1" customWidth="1"/>
    <col min="15106" max="15106" width="25.54296875" style="31" customWidth="1"/>
    <col min="15107" max="15107" width="17" style="31" customWidth="1"/>
    <col min="15108" max="15108" width="11.453125" style="31" customWidth="1"/>
    <col min="15109" max="15109" width="14.453125" style="31" customWidth="1"/>
    <col min="15110" max="15110" width="12.54296875" style="31" customWidth="1"/>
    <col min="15111" max="15115" width="13.6328125" style="31" customWidth="1"/>
    <col min="15116" max="15116" width="13.453125" style="31" customWidth="1"/>
    <col min="15117" max="15360" width="9.08984375" style="31"/>
    <col min="15361" max="15361" width="0" style="31" hidden="1" customWidth="1"/>
    <col min="15362" max="15362" width="25.54296875" style="31" customWidth="1"/>
    <col min="15363" max="15363" width="17" style="31" customWidth="1"/>
    <col min="15364" max="15364" width="11.453125" style="31" customWidth="1"/>
    <col min="15365" max="15365" width="14.453125" style="31" customWidth="1"/>
    <col min="15366" max="15366" width="12.54296875" style="31" customWidth="1"/>
    <col min="15367" max="15371" width="13.6328125" style="31" customWidth="1"/>
    <col min="15372" max="15372" width="13.453125" style="31" customWidth="1"/>
    <col min="15373" max="15616" width="9.08984375" style="31"/>
    <col min="15617" max="15617" width="0" style="31" hidden="1" customWidth="1"/>
    <col min="15618" max="15618" width="25.54296875" style="31" customWidth="1"/>
    <col min="15619" max="15619" width="17" style="31" customWidth="1"/>
    <col min="15620" max="15620" width="11.453125" style="31" customWidth="1"/>
    <col min="15621" max="15621" width="14.453125" style="31" customWidth="1"/>
    <col min="15622" max="15622" width="12.54296875" style="31" customWidth="1"/>
    <col min="15623" max="15627" width="13.6328125" style="31" customWidth="1"/>
    <col min="15628" max="15628" width="13.453125" style="31" customWidth="1"/>
    <col min="15629" max="15872" width="9.08984375" style="31"/>
    <col min="15873" max="15873" width="0" style="31" hidden="1" customWidth="1"/>
    <col min="15874" max="15874" width="25.54296875" style="31" customWidth="1"/>
    <col min="15875" max="15875" width="17" style="31" customWidth="1"/>
    <col min="15876" max="15876" width="11.453125" style="31" customWidth="1"/>
    <col min="15877" max="15877" width="14.453125" style="31" customWidth="1"/>
    <col min="15878" max="15878" width="12.54296875" style="31" customWidth="1"/>
    <col min="15879" max="15883" width="13.6328125" style="31" customWidth="1"/>
    <col min="15884" max="15884" width="13.453125" style="31" customWidth="1"/>
    <col min="15885" max="16128" width="9.08984375" style="31"/>
    <col min="16129" max="16129" width="0" style="31" hidden="1" customWidth="1"/>
    <col min="16130" max="16130" width="25.54296875" style="31" customWidth="1"/>
    <col min="16131" max="16131" width="17" style="31" customWidth="1"/>
    <col min="16132" max="16132" width="11.453125" style="31" customWidth="1"/>
    <col min="16133" max="16133" width="14.453125" style="31" customWidth="1"/>
    <col min="16134" max="16134" width="12.54296875" style="31" customWidth="1"/>
    <col min="16135" max="16139" width="13.6328125" style="31" customWidth="1"/>
    <col min="16140" max="16140" width="13.453125" style="31" customWidth="1"/>
    <col min="16141" max="16384" width="9.08984375" style="31"/>
  </cols>
  <sheetData>
    <row r="2" spans="1:16" ht="40.5" customHeight="1" x14ac:dyDescent="0.3">
      <c r="B2" s="120" t="s">
        <v>93</v>
      </c>
      <c r="C2" s="121"/>
      <c r="D2" s="122"/>
      <c r="E2" s="122"/>
      <c r="F2" s="122"/>
      <c r="G2" s="122"/>
      <c r="H2" s="122"/>
      <c r="I2" s="122"/>
      <c r="J2" s="122"/>
      <c r="K2" s="122"/>
      <c r="L2" s="123"/>
    </row>
    <row r="3" spans="1:16" s="65" customFormat="1" ht="43.5" customHeight="1" x14ac:dyDescent="0.35">
      <c r="B3" s="124"/>
      <c r="C3" s="117" t="s">
        <v>67</v>
      </c>
      <c r="D3" s="117"/>
      <c r="E3" s="117"/>
      <c r="F3" s="111" t="s">
        <v>68</v>
      </c>
      <c r="G3" s="111" t="s">
        <v>69</v>
      </c>
      <c r="H3" s="111" t="s">
        <v>70</v>
      </c>
      <c r="I3" s="111" t="s">
        <v>71</v>
      </c>
      <c r="J3" s="111" t="s">
        <v>72</v>
      </c>
      <c r="K3" s="111" t="s">
        <v>73</v>
      </c>
      <c r="L3" s="111" t="s">
        <v>74</v>
      </c>
      <c r="M3" s="111"/>
    </row>
    <row r="4" spans="1:16" s="65" customFormat="1" ht="47.25" customHeight="1" x14ac:dyDescent="0.35">
      <c r="B4" s="119"/>
      <c r="C4" s="33" t="s">
        <v>75</v>
      </c>
      <c r="D4" s="33" t="s">
        <v>76</v>
      </c>
      <c r="E4" s="33" t="s">
        <v>77</v>
      </c>
      <c r="F4" s="112"/>
      <c r="G4" s="112"/>
      <c r="H4" s="112"/>
      <c r="I4" s="112"/>
      <c r="J4" s="112"/>
      <c r="K4" s="112"/>
      <c r="L4" s="112"/>
      <c r="M4" s="112"/>
    </row>
    <row r="5" spans="1:16" s="65" customFormat="1" ht="18" hidden="1" customHeight="1" x14ac:dyDescent="0.35">
      <c r="D5" s="66" t="s">
        <v>78</v>
      </c>
      <c r="E5" s="66" t="s">
        <v>79</v>
      </c>
      <c r="F5" s="67" t="s">
        <v>80</v>
      </c>
      <c r="G5" s="67" t="s">
        <v>81</v>
      </c>
      <c r="H5" s="66" t="s">
        <v>82</v>
      </c>
      <c r="I5" s="66" t="s">
        <v>83</v>
      </c>
      <c r="J5" s="68" t="s">
        <v>84</v>
      </c>
      <c r="K5" s="65" t="s">
        <v>85</v>
      </c>
      <c r="L5" s="65" t="s">
        <v>86</v>
      </c>
    </row>
    <row r="6" spans="1:16" s="65" customFormat="1" ht="25.5" customHeight="1" x14ac:dyDescent="0.35">
      <c r="B6" s="69" t="s">
        <v>0</v>
      </c>
      <c r="C6" s="70">
        <v>67266</v>
      </c>
      <c r="D6" s="70">
        <v>43360</v>
      </c>
      <c r="E6" s="70">
        <v>23906</v>
      </c>
      <c r="F6" s="70">
        <v>18733</v>
      </c>
      <c r="G6" s="70">
        <v>2059</v>
      </c>
      <c r="H6" s="70">
        <v>392</v>
      </c>
      <c r="I6" s="70">
        <v>71</v>
      </c>
      <c r="J6" s="70">
        <v>44</v>
      </c>
      <c r="K6" s="70">
        <v>6500</v>
      </c>
      <c r="L6" s="70">
        <f>L7+L48</f>
        <v>1492154</v>
      </c>
      <c r="M6" s="71"/>
      <c r="N6" s="71"/>
      <c r="O6" s="71"/>
      <c r="P6" s="71"/>
    </row>
    <row r="7" spans="1:16" s="69" customFormat="1" ht="26.25" customHeight="1" x14ac:dyDescent="0.35">
      <c r="A7" s="27"/>
      <c r="B7" s="69" t="s">
        <v>52</v>
      </c>
      <c r="C7" s="72">
        <v>39482</v>
      </c>
      <c r="D7" s="72">
        <v>25268</v>
      </c>
      <c r="E7" s="72">
        <v>14214</v>
      </c>
      <c r="F7" s="72">
        <v>11351</v>
      </c>
      <c r="G7" s="72">
        <v>1063</v>
      </c>
      <c r="H7" s="72">
        <v>291</v>
      </c>
      <c r="I7" s="72">
        <v>37</v>
      </c>
      <c r="J7" s="72">
        <v>38</v>
      </c>
      <c r="K7" s="72">
        <v>3961</v>
      </c>
      <c r="L7" s="72">
        <f>SUM(L8:L47)</f>
        <v>1028462</v>
      </c>
      <c r="M7" s="108"/>
    </row>
    <row r="8" spans="1:16" s="65" customFormat="1" ht="12.5" x14ac:dyDescent="0.35">
      <c r="A8" s="28">
        <v>51</v>
      </c>
      <c r="B8" s="65" t="s">
        <v>5</v>
      </c>
      <c r="C8" s="71">
        <v>408</v>
      </c>
      <c r="D8" s="73">
        <v>141</v>
      </c>
      <c r="E8" s="73">
        <v>267</v>
      </c>
      <c r="F8" s="73">
        <v>223</v>
      </c>
      <c r="G8" s="73">
        <v>18</v>
      </c>
      <c r="H8" s="73">
        <v>6</v>
      </c>
      <c r="I8" s="73">
        <v>6</v>
      </c>
      <c r="J8" s="73">
        <v>4</v>
      </c>
      <c r="K8" s="73">
        <v>128</v>
      </c>
      <c r="L8" s="73">
        <v>14132</v>
      </c>
    </row>
    <row r="9" spans="1:16" s="65" customFormat="1" ht="12.5" x14ac:dyDescent="0.35">
      <c r="A9" s="28">
        <v>52</v>
      </c>
      <c r="B9" s="65" t="s">
        <v>6</v>
      </c>
      <c r="C9" s="71">
        <v>1642</v>
      </c>
      <c r="D9" s="73">
        <v>1421</v>
      </c>
      <c r="E9" s="73">
        <v>221</v>
      </c>
      <c r="F9" s="73">
        <v>208</v>
      </c>
      <c r="G9" s="73">
        <v>4</v>
      </c>
      <c r="H9" s="73">
        <v>1</v>
      </c>
      <c r="I9" s="73">
        <v>0</v>
      </c>
      <c r="J9" s="73">
        <v>0</v>
      </c>
      <c r="K9" s="73">
        <v>8</v>
      </c>
      <c r="L9" s="73">
        <v>20555</v>
      </c>
    </row>
    <row r="10" spans="1:16" s="65" customFormat="1" ht="12.5" x14ac:dyDescent="0.35">
      <c r="A10" s="28">
        <v>86</v>
      </c>
      <c r="B10" s="65" t="s">
        <v>7</v>
      </c>
      <c r="C10" s="71">
        <v>1828</v>
      </c>
      <c r="D10" s="73">
        <v>1411</v>
      </c>
      <c r="E10" s="73">
        <v>417</v>
      </c>
      <c r="F10" s="73">
        <v>375</v>
      </c>
      <c r="G10" s="73">
        <v>8</v>
      </c>
      <c r="H10" s="73">
        <v>0</v>
      </c>
      <c r="I10" s="73">
        <v>0</v>
      </c>
      <c r="J10" s="73">
        <v>0</v>
      </c>
      <c r="K10" s="73">
        <v>0</v>
      </c>
      <c r="L10" s="73">
        <v>50697</v>
      </c>
    </row>
    <row r="11" spans="1:16" s="65" customFormat="1" ht="12.5" x14ac:dyDescent="0.35">
      <c r="A11" s="28">
        <v>53</v>
      </c>
      <c r="B11" s="65" t="s">
        <v>8</v>
      </c>
      <c r="C11" s="71">
        <v>643</v>
      </c>
      <c r="D11" s="73">
        <v>220</v>
      </c>
      <c r="E11" s="73">
        <v>423</v>
      </c>
      <c r="F11" s="73">
        <v>415</v>
      </c>
      <c r="G11" s="73">
        <v>3</v>
      </c>
      <c r="H11" s="73">
        <v>2</v>
      </c>
      <c r="I11" s="73">
        <v>0</v>
      </c>
      <c r="J11" s="73">
        <v>0</v>
      </c>
      <c r="K11" s="73">
        <v>140</v>
      </c>
      <c r="L11" s="73">
        <v>10839</v>
      </c>
    </row>
    <row r="12" spans="1:16" s="65" customFormat="1" ht="12.5" x14ac:dyDescent="0.35">
      <c r="A12" s="28">
        <v>54</v>
      </c>
      <c r="B12" s="65" t="s">
        <v>9</v>
      </c>
      <c r="C12" s="71">
        <v>445</v>
      </c>
      <c r="D12" s="73">
        <v>319</v>
      </c>
      <c r="E12" s="73">
        <v>126</v>
      </c>
      <c r="F12" s="73">
        <v>80</v>
      </c>
      <c r="G12" s="73">
        <v>4</v>
      </c>
      <c r="H12" s="73">
        <v>3</v>
      </c>
      <c r="I12" s="73">
        <v>0</v>
      </c>
      <c r="J12" s="73">
        <v>0</v>
      </c>
      <c r="K12" s="73">
        <v>87</v>
      </c>
      <c r="L12" s="73">
        <v>25230</v>
      </c>
    </row>
    <row r="13" spans="1:16" s="65" customFormat="1" ht="12.5" x14ac:dyDescent="0.35">
      <c r="A13" s="28">
        <v>55</v>
      </c>
      <c r="B13" s="65" t="s">
        <v>10</v>
      </c>
      <c r="C13" s="71">
        <v>2347</v>
      </c>
      <c r="D13" s="73">
        <v>1725</v>
      </c>
      <c r="E13" s="73">
        <v>622</v>
      </c>
      <c r="F13" s="73">
        <v>543</v>
      </c>
      <c r="G13" s="73">
        <v>83</v>
      </c>
      <c r="H13" s="73">
        <v>7</v>
      </c>
      <c r="I13" s="73">
        <v>6</v>
      </c>
      <c r="J13" s="73">
        <v>0</v>
      </c>
      <c r="K13" s="73">
        <v>167</v>
      </c>
      <c r="L13" s="73">
        <v>26178</v>
      </c>
    </row>
    <row r="14" spans="1:16" s="65" customFormat="1" ht="12.5" x14ac:dyDescent="0.35">
      <c r="A14" s="28">
        <v>56</v>
      </c>
      <c r="B14" s="65" t="s">
        <v>11</v>
      </c>
      <c r="C14" s="71">
        <v>447</v>
      </c>
      <c r="D14" s="73">
        <v>410</v>
      </c>
      <c r="E14" s="73">
        <v>37</v>
      </c>
      <c r="F14" s="73">
        <v>43</v>
      </c>
      <c r="G14" s="73">
        <v>8</v>
      </c>
      <c r="H14" s="73">
        <v>10</v>
      </c>
      <c r="I14" s="73">
        <v>0</v>
      </c>
      <c r="J14" s="73">
        <v>1</v>
      </c>
      <c r="K14" s="73">
        <v>8</v>
      </c>
      <c r="L14" s="73">
        <v>14170</v>
      </c>
    </row>
    <row r="15" spans="1:16" s="65" customFormat="1" ht="12.5" x14ac:dyDescent="0.35">
      <c r="A15" s="28">
        <v>57</v>
      </c>
      <c r="B15" s="65" t="s">
        <v>12</v>
      </c>
      <c r="C15" s="71">
        <v>1058</v>
      </c>
      <c r="D15" s="73">
        <v>673</v>
      </c>
      <c r="E15" s="73">
        <v>385</v>
      </c>
      <c r="F15" s="73">
        <v>375</v>
      </c>
      <c r="G15" s="73">
        <v>6</v>
      </c>
      <c r="H15" s="73">
        <v>1</v>
      </c>
      <c r="I15" s="73">
        <v>0</v>
      </c>
      <c r="J15" s="73">
        <v>0</v>
      </c>
      <c r="K15" s="73">
        <v>52</v>
      </c>
      <c r="L15" s="73">
        <v>16056</v>
      </c>
    </row>
    <row r="16" spans="1:16" s="65" customFormat="1" ht="12.5" x14ac:dyDescent="0.35">
      <c r="A16" s="28">
        <v>59</v>
      </c>
      <c r="B16" s="65" t="s">
        <v>13</v>
      </c>
      <c r="C16" s="71">
        <v>544</v>
      </c>
      <c r="D16" s="73">
        <v>302</v>
      </c>
      <c r="E16" s="73">
        <v>242</v>
      </c>
      <c r="F16" s="73">
        <v>198</v>
      </c>
      <c r="G16" s="73">
        <v>33</v>
      </c>
      <c r="H16" s="73">
        <v>10</v>
      </c>
      <c r="I16" s="73">
        <v>3</v>
      </c>
      <c r="J16" s="73">
        <v>1</v>
      </c>
      <c r="K16" s="73">
        <v>29</v>
      </c>
      <c r="L16" s="73">
        <v>6513</v>
      </c>
    </row>
    <row r="17" spans="1:12" s="65" customFormat="1" ht="12.5" x14ac:dyDescent="0.35">
      <c r="A17" s="28">
        <v>60</v>
      </c>
      <c r="B17" s="65" t="s">
        <v>14</v>
      </c>
      <c r="C17" s="71">
        <v>1284</v>
      </c>
      <c r="D17" s="73">
        <v>661</v>
      </c>
      <c r="E17" s="73">
        <v>623</v>
      </c>
      <c r="F17" s="73">
        <v>548</v>
      </c>
      <c r="G17" s="73">
        <v>61</v>
      </c>
      <c r="H17" s="73">
        <v>11</v>
      </c>
      <c r="I17" s="73">
        <v>3</v>
      </c>
      <c r="J17" s="73">
        <v>0</v>
      </c>
      <c r="K17" s="73">
        <v>670</v>
      </c>
      <c r="L17" s="73">
        <v>30896</v>
      </c>
    </row>
    <row r="18" spans="1:12" s="65" customFormat="1" ht="12.5" x14ac:dyDescent="0.35">
      <c r="A18" s="28">
        <v>61</v>
      </c>
      <c r="B18" s="74" t="s">
        <v>53</v>
      </c>
      <c r="C18" s="75">
        <v>470</v>
      </c>
      <c r="D18" s="73">
        <v>182</v>
      </c>
      <c r="E18" s="73">
        <v>288</v>
      </c>
      <c r="F18" s="73">
        <v>242</v>
      </c>
      <c r="G18" s="73">
        <v>30</v>
      </c>
      <c r="H18" s="73">
        <v>14</v>
      </c>
      <c r="I18" s="73">
        <v>2</v>
      </c>
      <c r="J18" s="73">
        <v>0</v>
      </c>
      <c r="K18" s="73">
        <v>83</v>
      </c>
      <c r="L18" s="73">
        <v>87340</v>
      </c>
    </row>
    <row r="19" spans="1:12" s="97" customFormat="1" ht="12.5" x14ac:dyDescent="0.35">
      <c r="A19" s="28"/>
      <c r="B19" s="74" t="s">
        <v>113</v>
      </c>
      <c r="C19" s="75" t="s">
        <v>114</v>
      </c>
      <c r="D19" s="75" t="s">
        <v>114</v>
      </c>
      <c r="E19" s="75" t="s">
        <v>114</v>
      </c>
      <c r="F19" s="75" t="s">
        <v>114</v>
      </c>
      <c r="G19" s="75" t="s">
        <v>114</v>
      </c>
      <c r="H19" s="75" t="s">
        <v>114</v>
      </c>
      <c r="I19" s="75" t="s">
        <v>114</v>
      </c>
      <c r="J19" s="75" t="s">
        <v>114</v>
      </c>
      <c r="K19" s="75" t="s">
        <v>114</v>
      </c>
      <c r="L19" s="75" t="s">
        <v>114</v>
      </c>
    </row>
    <row r="20" spans="1:12" s="65" customFormat="1" ht="12.5" x14ac:dyDescent="0.35">
      <c r="A20" s="28">
        <v>62</v>
      </c>
      <c r="B20" s="65" t="s">
        <v>16</v>
      </c>
      <c r="C20" s="71">
        <v>1425</v>
      </c>
      <c r="D20" s="73">
        <v>1148</v>
      </c>
      <c r="E20" s="73">
        <v>277</v>
      </c>
      <c r="F20" s="73">
        <v>243</v>
      </c>
      <c r="G20" s="73">
        <v>44</v>
      </c>
      <c r="H20" s="73">
        <v>7</v>
      </c>
      <c r="I20" s="73">
        <v>0</v>
      </c>
      <c r="J20" s="73">
        <v>0</v>
      </c>
      <c r="K20" s="73">
        <v>22</v>
      </c>
      <c r="L20" s="73">
        <v>48557</v>
      </c>
    </row>
    <row r="21" spans="1:12" s="65" customFormat="1" ht="12.5" x14ac:dyDescent="0.35">
      <c r="A21" s="28">
        <v>58</v>
      </c>
      <c r="B21" s="65" t="s">
        <v>17</v>
      </c>
      <c r="C21" s="71">
        <v>2124</v>
      </c>
      <c r="D21" s="73">
        <v>1208</v>
      </c>
      <c r="E21" s="73">
        <v>916</v>
      </c>
      <c r="F21" s="73">
        <v>844</v>
      </c>
      <c r="G21" s="73">
        <v>0</v>
      </c>
      <c r="H21" s="73">
        <v>4</v>
      </c>
      <c r="I21" s="73">
        <v>0</v>
      </c>
      <c r="J21" s="73">
        <v>0</v>
      </c>
      <c r="K21" s="73">
        <v>98</v>
      </c>
      <c r="L21" s="73">
        <v>16384</v>
      </c>
    </row>
    <row r="22" spans="1:12" s="65" customFormat="1" ht="12.5" x14ac:dyDescent="0.35">
      <c r="A22" s="28">
        <v>63</v>
      </c>
      <c r="B22" s="65" t="s">
        <v>18</v>
      </c>
      <c r="C22" s="71">
        <v>510</v>
      </c>
      <c r="D22" s="73">
        <v>227</v>
      </c>
      <c r="E22" s="73">
        <v>283</v>
      </c>
      <c r="F22" s="73">
        <v>214</v>
      </c>
      <c r="G22" s="73">
        <v>7</v>
      </c>
      <c r="H22" s="73">
        <v>11</v>
      </c>
      <c r="I22" s="73">
        <v>0</v>
      </c>
      <c r="J22" s="73">
        <v>1</v>
      </c>
      <c r="K22" s="73">
        <v>268</v>
      </c>
      <c r="L22" s="73">
        <v>24492</v>
      </c>
    </row>
    <row r="23" spans="1:12" s="65" customFormat="1" ht="12.5" x14ac:dyDescent="0.35">
      <c r="A23" s="28">
        <v>64</v>
      </c>
      <c r="B23" s="65" t="s">
        <v>19</v>
      </c>
      <c r="C23" s="71">
        <v>3634</v>
      </c>
      <c r="D23" s="73">
        <v>2624</v>
      </c>
      <c r="E23" s="73">
        <v>1010</v>
      </c>
      <c r="F23" s="73">
        <v>0</v>
      </c>
      <c r="G23" s="73">
        <v>11</v>
      </c>
      <c r="H23" s="73">
        <v>3</v>
      </c>
      <c r="I23" s="73">
        <v>0</v>
      </c>
      <c r="J23" s="73">
        <v>0</v>
      </c>
      <c r="K23" s="73">
        <v>13</v>
      </c>
      <c r="L23" s="73">
        <v>31961</v>
      </c>
    </row>
    <row r="24" spans="1:12" s="65" customFormat="1" ht="12.5" x14ac:dyDescent="0.35">
      <c r="A24" s="28">
        <v>65</v>
      </c>
      <c r="B24" s="65" t="s">
        <v>20</v>
      </c>
      <c r="C24" s="71">
        <v>785</v>
      </c>
      <c r="D24" s="73">
        <v>554</v>
      </c>
      <c r="E24" s="73">
        <v>231</v>
      </c>
      <c r="F24" s="73">
        <v>215</v>
      </c>
      <c r="G24" s="73">
        <v>22</v>
      </c>
      <c r="H24" s="73">
        <v>2</v>
      </c>
      <c r="I24" s="73">
        <v>0</v>
      </c>
      <c r="J24" s="73">
        <v>0</v>
      </c>
      <c r="K24" s="73">
        <v>26</v>
      </c>
      <c r="L24" s="73">
        <v>15015</v>
      </c>
    </row>
    <row r="25" spans="1:12" s="65" customFormat="1" ht="12.5" x14ac:dyDescent="0.35">
      <c r="A25" s="28">
        <v>67</v>
      </c>
      <c r="B25" s="65" t="s">
        <v>23</v>
      </c>
      <c r="C25" s="71">
        <v>904</v>
      </c>
      <c r="D25" s="73">
        <v>387</v>
      </c>
      <c r="E25" s="73">
        <v>517</v>
      </c>
      <c r="F25" s="73">
        <v>421</v>
      </c>
      <c r="G25" s="73">
        <v>15</v>
      </c>
      <c r="H25" s="73">
        <v>22</v>
      </c>
      <c r="I25" s="73">
        <v>1</v>
      </c>
      <c r="J25" s="73">
        <v>4</v>
      </c>
      <c r="K25" s="73">
        <v>164</v>
      </c>
      <c r="L25" s="73">
        <v>102243</v>
      </c>
    </row>
    <row r="26" spans="1:12" s="65" customFormat="1" ht="12.5" x14ac:dyDescent="0.35">
      <c r="A26" s="28">
        <v>68</v>
      </c>
      <c r="B26" s="65" t="s">
        <v>54</v>
      </c>
      <c r="C26" s="71">
        <v>832</v>
      </c>
      <c r="D26" s="73">
        <v>572</v>
      </c>
      <c r="E26" s="73">
        <v>260</v>
      </c>
      <c r="F26" s="73">
        <v>157</v>
      </c>
      <c r="G26" s="73">
        <v>10</v>
      </c>
      <c r="H26" s="73">
        <v>4</v>
      </c>
      <c r="I26" s="73">
        <v>3</v>
      </c>
      <c r="J26" s="73">
        <v>0</v>
      </c>
      <c r="K26" s="73">
        <v>14</v>
      </c>
      <c r="L26" s="73">
        <v>15940</v>
      </c>
    </row>
    <row r="27" spans="1:12" s="65" customFormat="1" ht="12.5" x14ac:dyDescent="0.35">
      <c r="A27" s="28">
        <v>69</v>
      </c>
      <c r="B27" s="65" t="s">
        <v>25</v>
      </c>
      <c r="C27" s="71">
        <v>639</v>
      </c>
      <c r="D27" s="73">
        <v>542</v>
      </c>
      <c r="E27" s="73">
        <v>97</v>
      </c>
      <c r="F27" s="73">
        <v>97</v>
      </c>
      <c r="G27" s="73">
        <v>15</v>
      </c>
      <c r="H27" s="73">
        <v>3</v>
      </c>
      <c r="I27" s="73">
        <v>0</v>
      </c>
      <c r="J27" s="73">
        <v>0</v>
      </c>
      <c r="K27" s="73">
        <v>55</v>
      </c>
      <c r="L27" s="73">
        <v>19255</v>
      </c>
    </row>
    <row r="28" spans="1:12" s="65" customFormat="1" ht="12.5" x14ac:dyDescent="0.35">
      <c r="A28" s="28">
        <v>70</v>
      </c>
      <c r="B28" s="65" t="s">
        <v>26</v>
      </c>
      <c r="C28" s="71">
        <v>1636</v>
      </c>
      <c r="D28" s="73">
        <v>1304</v>
      </c>
      <c r="E28" s="73">
        <v>332</v>
      </c>
      <c r="F28" s="73">
        <v>379</v>
      </c>
      <c r="G28" s="73">
        <v>26</v>
      </c>
      <c r="H28" s="73">
        <v>11</v>
      </c>
      <c r="I28" s="73">
        <v>0</v>
      </c>
      <c r="J28" s="73">
        <v>4</v>
      </c>
      <c r="K28" s="73">
        <v>198</v>
      </c>
      <c r="L28" s="73">
        <v>35159</v>
      </c>
    </row>
    <row r="29" spans="1:12" s="65" customFormat="1" ht="12.5" x14ac:dyDescent="0.35">
      <c r="A29" s="28">
        <v>71</v>
      </c>
      <c r="B29" s="65" t="s">
        <v>55</v>
      </c>
      <c r="C29" s="71">
        <v>182</v>
      </c>
      <c r="D29" s="73">
        <v>111</v>
      </c>
      <c r="E29" s="73">
        <v>71</v>
      </c>
      <c r="F29" s="73">
        <v>70</v>
      </c>
      <c r="G29" s="73">
        <v>2</v>
      </c>
      <c r="H29" s="73">
        <v>0</v>
      </c>
      <c r="I29" s="73">
        <v>0</v>
      </c>
      <c r="J29" s="73">
        <v>0</v>
      </c>
      <c r="K29" s="73">
        <v>1</v>
      </c>
      <c r="L29" s="73">
        <v>5759</v>
      </c>
    </row>
    <row r="30" spans="1:12" s="65" customFormat="1" ht="12.5" x14ac:dyDescent="0.35">
      <c r="A30" s="28">
        <v>73</v>
      </c>
      <c r="B30" s="65" t="s">
        <v>29</v>
      </c>
      <c r="C30" s="71">
        <v>1308</v>
      </c>
      <c r="D30" s="73">
        <v>778</v>
      </c>
      <c r="E30" s="73">
        <v>530</v>
      </c>
      <c r="F30" s="73">
        <v>504</v>
      </c>
      <c r="G30" s="73">
        <v>57</v>
      </c>
      <c r="H30" s="73">
        <v>24</v>
      </c>
      <c r="I30" s="73">
        <v>0</v>
      </c>
      <c r="J30" s="73">
        <v>3</v>
      </c>
      <c r="K30" s="73">
        <v>334</v>
      </c>
      <c r="L30" s="73">
        <v>40657</v>
      </c>
    </row>
    <row r="31" spans="1:12" s="65" customFormat="1" ht="12.5" x14ac:dyDescent="0.35">
      <c r="A31" s="28">
        <v>74</v>
      </c>
      <c r="B31" s="65" t="s">
        <v>30</v>
      </c>
      <c r="C31" s="71">
        <v>3255</v>
      </c>
      <c r="D31" s="73">
        <v>1193</v>
      </c>
      <c r="E31" s="73">
        <v>2062</v>
      </c>
      <c r="F31" s="73">
        <v>1481</v>
      </c>
      <c r="G31" s="73">
        <v>426</v>
      </c>
      <c r="H31" s="73">
        <v>4</v>
      </c>
      <c r="I31" s="73">
        <v>3</v>
      </c>
      <c r="J31" s="73">
        <v>19</v>
      </c>
      <c r="K31" s="73">
        <v>224</v>
      </c>
      <c r="L31" s="73">
        <v>31349</v>
      </c>
    </row>
    <row r="32" spans="1:12" s="65" customFormat="1" ht="12.5" x14ac:dyDescent="0.35">
      <c r="A32" s="28">
        <v>75</v>
      </c>
      <c r="B32" s="65" t="s">
        <v>31</v>
      </c>
      <c r="C32" s="71">
        <v>703</v>
      </c>
      <c r="D32" s="73">
        <v>492</v>
      </c>
      <c r="E32" s="73">
        <v>211</v>
      </c>
      <c r="F32" s="73">
        <v>362</v>
      </c>
      <c r="G32" s="73">
        <v>46</v>
      </c>
      <c r="H32" s="73">
        <v>13</v>
      </c>
      <c r="I32" s="73">
        <v>2</v>
      </c>
      <c r="J32" s="73">
        <v>0</v>
      </c>
      <c r="K32" s="73">
        <v>232</v>
      </c>
      <c r="L32" s="73">
        <v>20458</v>
      </c>
    </row>
    <row r="33" spans="1:12" s="65" customFormat="1" ht="14.5" x14ac:dyDescent="0.35">
      <c r="A33" s="28">
        <v>76</v>
      </c>
      <c r="B33" s="65" t="s">
        <v>87</v>
      </c>
      <c r="C33" s="71">
        <v>503</v>
      </c>
      <c r="D33" s="73">
        <v>303</v>
      </c>
      <c r="E33" s="73">
        <v>200</v>
      </c>
      <c r="F33" s="73">
        <v>164</v>
      </c>
      <c r="G33" s="73">
        <v>0</v>
      </c>
      <c r="H33" s="73">
        <v>11</v>
      </c>
      <c r="I33" s="73">
        <v>0</v>
      </c>
      <c r="J33" s="73">
        <v>0</v>
      </c>
      <c r="K33" s="73">
        <v>0</v>
      </c>
      <c r="L33" s="73">
        <v>24718</v>
      </c>
    </row>
    <row r="34" spans="1:12" s="65" customFormat="1" ht="12.5" x14ac:dyDescent="0.35">
      <c r="A34" s="28">
        <v>79</v>
      </c>
      <c r="B34" s="65" t="s">
        <v>34</v>
      </c>
      <c r="C34" s="71">
        <v>986</v>
      </c>
      <c r="D34" s="73">
        <v>787</v>
      </c>
      <c r="E34" s="73">
        <v>199</v>
      </c>
      <c r="F34" s="73">
        <v>196</v>
      </c>
      <c r="G34" s="73">
        <v>14</v>
      </c>
      <c r="H34" s="73">
        <v>6</v>
      </c>
      <c r="I34" s="73">
        <v>0</v>
      </c>
      <c r="J34" s="73">
        <v>0</v>
      </c>
      <c r="K34" s="73">
        <v>238</v>
      </c>
      <c r="L34" s="73">
        <v>21336</v>
      </c>
    </row>
    <row r="35" spans="1:12" s="65" customFormat="1" ht="12.5" x14ac:dyDescent="0.35">
      <c r="A35" s="28">
        <v>80</v>
      </c>
      <c r="B35" s="65" t="s">
        <v>35</v>
      </c>
      <c r="C35" s="71">
        <v>1837</v>
      </c>
      <c r="D35" s="73">
        <v>971</v>
      </c>
      <c r="E35" s="73">
        <v>866</v>
      </c>
      <c r="F35" s="73">
        <v>475</v>
      </c>
      <c r="G35" s="73">
        <v>38</v>
      </c>
      <c r="H35" s="73">
        <v>36</v>
      </c>
      <c r="I35" s="73">
        <v>3</v>
      </c>
      <c r="J35" s="73">
        <v>0</v>
      </c>
      <c r="K35" s="73">
        <v>143</v>
      </c>
      <c r="L35" s="73">
        <v>43490</v>
      </c>
    </row>
    <row r="36" spans="1:12" s="65" customFormat="1" ht="12.5" x14ac:dyDescent="0.35">
      <c r="A36" s="28">
        <v>81</v>
      </c>
      <c r="B36" s="65" t="s">
        <v>36</v>
      </c>
      <c r="C36" s="71">
        <v>772</v>
      </c>
      <c r="D36" s="73">
        <v>450</v>
      </c>
      <c r="E36" s="73">
        <v>322</v>
      </c>
      <c r="F36" s="73">
        <v>271</v>
      </c>
      <c r="G36" s="73">
        <v>20</v>
      </c>
      <c r="H36" s="73">
        <v>20</v>
      </c>
      <c r="I36" s="73">
        <v>1</v>
      </c>
      <c r="J36" s="73">
        <v>0</v>
      </c>
      <c r="K36" s="73">
        <v>19</v>
      </c>
      <c r="L36" s="73">
        <v>19231</v>
      </c>
    </row>
    <row r="37" spans="1:12" s="65" customFormat="1" ht="12.5" x14ac:dyDescent="0.35">
      <c r="A37" s="28">
        <v>83</v>
      </c>
      <c r="B37" s="65" t="s">
        <v>37</v>
      </c>
      <c r="C37" s="71">
        <v>855</v>
      </c>
      <c r="D37" s="73">
        <v>457</v>
      </c>
      <c r="E37" s="73">
        <v>398</v>
      </c>
      <c r="F37" s="73">
        <v>387</v>
      </c>
      <c r="G37" s="73">
        <v>2</v>
      </c>
      <c r="H37" s="73">
        <v>0</v>
      </c>
      <c r="I37" s="73">
        <v>0</v>
      </c>
      <c r="J37" s="73">
        <v>0</v>
      </c>
      <c r="K37" s="73">
        <v>55</v>
      </c>
      <c r="L37" s="73">
        <v>8576</v>
      </c>
    </row>
    <row r="38" spans="1:12" s="65" customFormat="1" ht="12.5" x14ac:dyDescent="0.35">
      <c r="A38" s="28">
        <v>84</v>
      </c>
      <c r="B38" s="65" t="s">
        <v>38</v>
      </c>
      <c r="C38" s="71">
        <v>547</v>
      </c>
      <c r="D38" s="73">
        <v>330</v>
      </c>
      <c r="E38" s="73">
        <v>217</v>
      </c>
      <c r="F38" s="73">
        <v>203</v>
      </c>
      <c r="G38" s="73">
        <v>12</v>
      </c>
      <c r="H38" s="73">
        <v>21</v>
      </c>
      <c r="I38" s="73">
        <v>2</v>
      </c>
      <c r="J38" s="73">
        <v>0</v>
      </c>
      <c r="K38" s="73">
        <v>117</v>
      </c>
      <c r="L38" s="73">
        <v>24778</v>
      </c>
    </row>
    <row r="39" spans="1:12" s="65" customFormat="1" ht="12.5" x14ac:dyDescent="0.35">
      <c r="A39" s="28">
        <v>85</v>
      </c>
      <c r="B39" s="65" t="s">
        <v>39</v>
      </c>
      <c r="C39" s="71">
        <v>372</v>
      </c>
      <c r="D39" s="73">
        <v>117</v>
      </c>
      <c r="E39" s="73">
        <v>255</v>
      </c>
      <c r="F39" s="73">
        <v>151</v>
      </c>
      <c r="G39" s="73">
        <v>7</v>
      </c>
      <c r="H39" s="73">
        <v>4</v>
      </c>
      <c r="I39" s="73">
        <v>1</v>
      </c>
      <c r="J39" s="73">
        <v>0</v>
      </c>
      <c r="K39" s="73">
        <v>79</v>
      </c>
      <c r="L39" s="73">
        <v>19804</v>
      </c>
    </row>
    <row r="40" spans="1:12" s="65" customFormat="1" ht="12.5" x14ac:dyDescent="0.35">
      <c r="A40" s="28">
        <v>87</v>
      </c>
      <c r="B40" s="65" t="s">
        <v>40</v>
      </c>
      <c r="C40" s="71">
        <v>642</v>
      </c>
      <c r="D40" s="73">
        <v>506</v>
      </c>
      <c r="E40" s="73">
        <v>136</v>
      </c>
      <c r="F40" s="73">
        <v>111</v>
      </c>
      <c r="G40" s="73">
        <v>2</v>
      </c>
      <c r="H40" s="73">
        <v>2</v>
      </c>
      <c r="I40" s="73">
        <v>0</v>
      </c>
      <c r="J40" s="73">
        <v>0</v>
      </c>
      <c r="K40" s="73">
        <v>2</v>
      </c>
      <c r="L40" s="73">
        <v>12048</v>
      </c>
    </row>
    <row r="41" spans="1:12" s="65" customFormat="1" ht="14.5" x14ac:dyDescent="0.35">
      <c r="A41" s="28">
        <v>90</v>
      </c>
      <c r="B41" s="65" t="s">
        <v>88</v>
      </c>
      <c r="C41" s="71">
        <v>210</v>
      </c>
      <c r="D41" s="73">
        <v>140</v>
      </c>
      <c r="E41" s="73">
        <v>70</v>
      </c>
      <c r="F41" s="73">
        <v>61</v>
      </c>
      <c r="G41" s="73">
        <v>6</v>
      </c>
      <c r="H41" s="73">
        <v>6</v>
      </c>
      <c r="I41" s="73">
        <v>0</v>
      </c>
      <c r="J41" s="73">
        <v>1</v>
      </c>
      <c r="K41" s="73">
        <v>3</v>
      </c>
      <c r="L41" s="73">
        <v>24453</v>
      </c>
    </row>
    <row r="42" spans="1:12" s="65" customFormat="1" ht="12.5" x14ac:dyDescent="0.35">
      <c r="A42" s="28">
        <v>91</v>
      </c>
      <c r="B42" s="65" t="s">
        <v>43</v>
      </c>
      <c r="C42" s="71">
        <v>1150</v>
      </c>
      <c r="D42" s="73">
        <v>981</v>
      </c>
      <c r="E42" s="73">
        <v>169</v>
      </c>
      <c r="F42" s="73">
        <v>167</v>
      </c>
      <c r="G42" s="73">
        <v>1</v>
      </c>
      <c r="H42" s="73">
        <v>1</v>
      </c>
      <c r="I42" s="73">
        <v>0</v>
      </c>
      <c r="J42" s="73">
        <v>0</v>
      </c>
      <c r="K42" s="73">
        <v>184</v>
      </c>
      <c r="L42" s="73">
        <v>37121</v>
      </c>
    </row>
    <row r="43" spans="1:12" s="65" customFormat="1" ht="12.5" x14ac:dyDescent="0.35">
      <c r="A43" s="28">
        <v>92</v>
      </c>
      <c r="B43" s="65" t="s">
        <v>44</v>
      </c>
      <c r="C43" s="71">
        <v>274</v>
      </c>
      <c r="D43" s="73">
        <v>142</v>
      </c>
      <c r="E43" s="73">
        <v>132</v>
      </c>
      <c r="F43" s="73">
        <v>115</v>
      </c>
      <c r="G43" s="73">
        <v>15</v>
      </c>
      <c r="H43" s="73">
        <v>3</v>
      </c>
      <c r="I43" s="73">
        <v>1</v>
      </c>
      <c r="J43" s="73">
        <v>0</v>
      </c>
      <c r="K43" s="73">
        <v>7</v>
      </c>
      <c r="L43" s="73">
        <v>24171</v>
      </c>
    </row>
    <row r="44" spans="1:12" s="65" customFormat="1" ht="12.5" x14ac:dyDescent="0.35">
      <c r="A44" s="28">
        <v>94</v>
      </c>
      <c r="B44" s="65" t="s">
        <v>46</v>
      </c>
      <c r="C44" s="71">
        <v>414</v>
      </c>
      <c r="D44" s="73">
        <v>212</v>
      </c>
      <c r="E44" s="73">
        <v>202</v>
      </c>
      <c r="F44" s="73">
        <v>202</v>
      </c>
      <c r="G44" s="73">
        <v>2</v>
      </c>
      <c r="H44" s="73">
        <v>3</v>
      </c>
      <c r="I44" s="73">
        <v>0</v>
      </c>
      <c r="J44" s="73">
        <v>0</v>
      </c>
      <c r="K44" s="73">
        <v>3</v>
      </c>
      <c r="L44" s="73">
        <v>12459</v>
      </c>
    </row>
    <row r="45" spans="1:12" s="65" customFormat="1" ht="12.5" x14ac:dyDescent="0.35">
      <c r="A45" s="28">
        <v>96</v>
      </c>
      <c r="B45" s="65" t="s">
        <v>48</v>
      </c>
      <c r="C45" s="71">
        <v>1452</v>
      </c>
      <c r="D45" s="73">
        <v>1024</v>
      </c>
      <c r="E45" s="73">
        <v>428</v>
      </c>
      <c r="F45" s="73">
        <v>444</v>
      </c>
      <c r="G45" s="73">
        <v>3</v>
      </c>
      <c r="H45" s="73">
        <v>0</v>
      </c>
      <c r="I45" s="73">
        <v>0</v>
      </c>
      <c r="J45" s="73">
        <v>0</v>
      </c>
      <c r="K45" s="73">
        <v>71</v>
      </c>
      <c r="L45" s="73">
        <v>19818</v>
      </c>
    </row>
    <row r="46" spans="1:12" s="65" customFormat="1" ht="12.5" x14ac:dyDescent="0.35">
      <c r="A46" s="28">
        <v>98</v>
      </c>
      <c r="B46" s="65" t="s">
        <v>50</v>
      </c>
      <c r="C46" s="71">
        <v>374</v>
      </c>
      <c r="D46" s="73">
        <v>205</v>
      </c>
      <c r="E46" s="73">
        <v>169</v>
      </c>
      <c r="F46" s="73">
        <v>166</v>
      </c>
      <c r="G46" s="73">
        <v>2</v>
      </c>
      <c r="H46" s="73">
        <v>5</v>
      </c>
      <c r="I46" s="73">
        <v>0</v>
      </c>
      <c r="J46" s="73">
        <v>0</v>
      </c>
      <c r="K46" s="73">
        <v>17</v>
      </c>
      <c r="L46" s="73">
        <v>26296</v>
      </c>
    </row>
    <row r="47" spans="1:12" s="65" customFormat="1" ht="12.5" x14ac:dyDescent="0.35">
      <c r="A47" s="28">
        <v>72</v>
      </c>
      <c r="B47" s="65" t="s">
        <v>28</v>
      </c>
      <c r="C47" s="71">
        <v>41</v>
      </c>
      <c r="D47" s="73">
        <v>38</v>
      </c>
      <c r="E47" s="73">
        <v>3</v>
      </c>
      <c r="F47" s="73">
        <v>1</v>
      </c>
      <c r="G47" s="73">
        <v>0</v>
      </c>
      <c r="H47" s="73">
        <v>0</v>
      </c>
      <c r="I47" s="73">
        <v>0</v>
      </c>
      <c r="J47" s="73">
        <v>0</v>
      </c>
      <c r="K47" s="73">
        <v>2</v>
      </c>
      <c r="L47" s="73">
        <v>328</v>
      </c>
    </row>
    <row r="48" spans="1:12" s="69" customFormat="1" ht="26.25" customHeight="1" x14ac:dyDescent="0.35">
      <c r="B48" s="69" t="s">
        <v>56</v>
      </c>
      <c r="C48" s="72">
        <v>27784</v>
      </c>
      <c r="D48" s="72">
        <v>18092</v>
      </c>
      <c r="E48" s="72">
        <v>9692</v>
      </c>
      <c r="F48" s="72">
        <v>7382</v>
      </c>
      <c r="G48" s="72">
        <v>996</v>
      </c>
      <c r="H48" s="72">
        <v>101</v>
      </c>
      <c r="I48" s="72">
        <v>34</v>
      </c>
      <c r="J48" s="72">
        <v>6</v>
      </c>
      <c r="K48" s="72">
        <v>2539</v>
      </c>
      <c r="L48" s="72">
        <v>463692</v>
      </c>
    </row>
    <row r="49" spans="1:12" s="65" customFormat="1" ht="12.5" x14ac:dyDescent="0.35">
      <c r="A49" s="28">
        <v>66</v>
      </c>
      <c r="B49" s="65" t="s">
        <v>22</v>
      </c>
      <c r="C49" s="71">
        <v>3050</v>
      </c>
      <c r="D49" s="73">
        <v>1616</v>
      </c>
      <c r="E49" s="73">
        <v>1434</v>
      </c>
      <c r="F49" s="73">
        <v>1114</v>
      </c>
      <c r="G49" s="73">
        <v>214</v>
      </c>
      <c r="H49" s="73">
        <v>15</v>
      </c>
      <c r="I49" s="73">
        <v>5</v>
      </c>
      <c r="J49" s="73">
        <v>0</v>
      </c>
      <c r="K49" s="73">
        <v>229</v>
      </c>
      <c r="L49" s="73">
        <v>62299</v>
      </c>
    </row>
    <row r="50" spans="1:12" s="65" customFormat="1" ht="12.5" x14ac:dyDescent="0.35">
      <c r="A50" s="28">
        <v>78</v>
      </c>
      <c r="B50" s="65" t="s">
        <v>33</v>
      </c>
      <c r="C50" s="71">
        <v>1941</v>
      </c>
      <c r="D50" s="73">
        <v>1453</v>
      </c>
      <c r="E50" s="73">
        <v>488</v>
      </c>
      <c r="F50" s="73">
        <v>455</v>
      </c>
      <c r="G50" s="73">
        <v>20</v>
      </c>
      <c r="H50" s="73">
        <v>13</v>
      </c>
      <c r="I50" s="73">
        <v>2</v>
      </c>
      <c r="J50" s="73">
        <v>0</v>
      </c>
      <c r="K50" s="73">
        <v>57</v>
      </c>
      <c r="L50" s="73">
        <v>26420</v>
      </c>
    </row>
    <row r="51" spans="1:12" s="65" customFormat="1" ht="12.5" x14ac:dyDescent="0.35">
      <c r="A51" s="28">
        <v>89</v>
      </c>
      <c r="B51" s="65" t="s">
        <v>41</v>
      </c>
      <c r="C51" s="71">
        <v>2049</v>
      </c>
      <c r="D51" s="73">
        <v>894</v>
      </c>
      <c r="E51" s="73">
        <v>1155</v>
      </c>
      <c r="F51" s="73">
        <v>1006</v>
      </c>
      <c r="G51" s="73">
        <v>39</v>
      </c>
      <c r="H51" s="73">
        <v>4</v>
      </c>
      <c r="I51" s="73">
        <v>1</v>
      </c>
      <c r="J51" s="73">
        <v>0</v>
      </c>
      <c r="K51" s="73">
        <v>203</v>
      </c>
      <c r="L51" s="73">
        <v>40953</v>
      </c>
    </row>
    <row r="52" spans="1:12" s="65" customFormat="1" ht="12.5" x14ac:dyDescent="0.35">
      <c r="A52" s="28">
        <v>93</v>
      </c>
      <c r="B52" s="65" t="s">
        <v>57</v>
      </c>
      <c r="C52" s="71">
        <v>3499</v>
      </c>
      <c r="D52" s="73">
        <v>2084</v>
      </c>
      <c r="E52" s="73">
        <v>1415</v>
      </c>
      <c r="F52" s="73">
        <v>1365</v>
      </c>
      <c r="G52" s="73">
        <v>9</v>
      </c>
      <c r="H52" s="73">
        <v>6</v>
      </c>
      <c r="I52" s="73">
        <v>2</v>
      </c>
      <c r="J52" s="73">
        <v>3</v>
      </c>
      <c r="K52" s="73">
        <v>9</v>
      </c>
      <c r="L52" s="73">
        <v>31602</v>
      </c>
    </row>
    <row r="53" spans="1:12" s="65" customFormat="1" ht="12.5" x14ac:dyDescent="0.35">
      <c r="A53" s="28">
        <v>95</v>
      </c>
      <c r="B53" s="65" t="s">
        <v>47</v>
      </c>
      <c r="C53" s="71">
        <v>2168</v>
      </c>
      <c r="D53" s="73">
        <v>1202</v>
      </c>
      <c r="E53" s="73">
        <v>966</v>
      </c>
      <c r="F53" s="73">
        <v>709</v>
      </c>
      <c r="G53" s="73">
        <v>24</v>
      </c>
      <c r="H53" s="73">
        <v>11</v>
      </c>
      <c r="I53" s="73">
        <v>17</v>
      </c>
      <c r="J53" s="73">
        <v>3</v>
      </c>
      <c r="K53" s="73">
        <v>590</v>
      </c>
      <c r="L53" s="73">
        <v>87670</v>
      </c>
    </row>
    <row r="54" spans="1:12" s="65" customFormat="1" ht="12.5" x14ac:dyDescent="0.35">
      <c r="A54" s="28">
        <v>97</v>
      </c>
      <c r="B54" s="65" t="s">
        <v>49</v>
      </c>
      <c r="C54" s="71">
        <v>1802</v>
      </c>
      <c r="D54" s="73">
        <v>445</v>
      </c>
      <c r="E54" s="73">
        <v>1357</v>
      </c>
      <c r="F54" s="73">
        <v>220</v>
      </c>
      <c r="G54" s="73">
        <v>155</v>
      </c>
      <c r="H54" s="73">
        <v>9</v>
      </c>
      <c r="I54" s="73">
        <v>1</v>
      </c>
      <c r="J54" s="73">
        <v>0</v>
      </c>
      <c r="K54" s="73">
        <v>768</v>
      </c>
      <c r="L54" s="73">
        <v>76850</v>
      </c>
    </row>
    <row r="55" spans="1:12" s="65" customFormat="1" ht="12.5" x14ac:dyDescent="0.35">
      <c r="A55" s="28">
        <v>77</v>
      </c>
      <c r="B55" s="76" t="s">
        <v>21</v>
      </c>
      <c r="C55" s="77">
        <v>13275</v>
      </c>
      <c r="D55" s="78">
        <v>10398</v>
      </c>
      <c r="E55" s="78">
        <v>2877</v>
      </c>
      <c r="F55" s="78">
        <v>2513</v>
      </c>
      <c r="G55" s="78">
        <v>535</v>
      </c>
      <c r="H55" s="78">
        <v>43</v>
      </c>
      <c r="I55" s="78">
        <v>6</v>
      </c>
      <c r="J55" s="78">
        <v>0</v>
      </c>
      <c r="K55" s="78">
        <v>683</v>
      </c>
      <c r="L55" s="78">
        <v>137898</v>
      </c>
    </row>
    <row r="56" spans="1:12" s="65" customFormat="1" ht="6" customHeight="1" x14ac:dyDescent="0.35">
      <c r="B56" s="79"/>
      <c r="C56" s="79"/>
      <c r="I56" s="80"/>
    </row>
    <row r="57" spans="1:12" s="65" customFormat="1" ht="14.25" customHeight="1" x14ac:dyDescent="0.35">
      <c r="B57" s="81" t="s">
        <v>89</v>
      </c>
      <c r="C57" s="79"/>
      <c r="I57" s="80"/>
    </row>
    <row r="58" spans="1:12" s="65" customFormat="1" ht="14.25" customHeight="1" x14ac:dyDescent="0.35">
      <c r="B58" s="81" t="s">
        <v>94</v>
      </c>
      <c r="C58" s="79"/>
      <c r="I58" s="80"/>
    </row>
    <row r="59" spans="1:12" s="65" customFormat="1" ht="14.25" customHeight="1" x14ac:dyDescent="0.35">
      <c r="B59" s="79"/>
      <c r="C59" s="79"/>
      <c r="I59" s="80"/>
    </row>
    <row r="60" spans="1:12" s="65" customFormat="1" x14ac:dyDescent="0.35">
      <c r="B60" s="82" t="s">
        <v>91</v>
      </c>
      <c r="C60" s="82"/>
      <c r="I60" s="83"/>
    </row>
    <row r="61" spans="1:12" s="65" customFormat="1" ht="9.75" customHeight="1" x14ac:dyDescent="0.35">
      <c r="I61" s="80"/>
    </row>
  </sheetData>
  <mergeCells count="11">
    <mergeCell ref="M3:M4"/>
    <mergeCell ref="B2:L2"/>
    <mergeCell ref="B3:B4"/>
    <mergeCell ref="C3:E3"/>
    <mergeCell ref="F3:F4"/>
    <mergeCell ref="G3:G4"/>
    <mergeCell ref="H3:H4"/>
    <mergeCell ref="I3:I4"/>
    <mergeCell ref="J3:J4"/>
    <mergeCell ref="K3:K4"/>
    <mergeCell ref="L3:L4"/>
  </mergeCells>
  <pageMargins left="0.48" right="0.31" top="0.24" bottom="0.16" header="0.5" footer="0.16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0000"/>
    <pageSetUpPr fitToPage="1"/>
  </sheetPr>
  <dimension ref="A2:Z61"/>
  <sheetViews>
    <sheetView showGridLines="0" zoomScale="85" zoomScaleNormal="85" workbookViewId="0">
      <pane xSplit="2" ySplit="4" topLeftCell="C5" activePane="bottomRight" state="frozen"/>
      <selection activeCell="B1" sqref="B1"/>
      <selection pane="topRight" activeCell="C1" sqref="C1"/>
      <selection pane="bottomLeft" activeCell="B4" sqref="B4"/>
      <selection pane="bottomRight" activeCell="L33" sqref="L33"/>
    </sheetView>
  </sheetViews>
  <sheetFormatPr defaultRowHeight="13" x14ac:dyDescent="0.3"/>
  <cols>
    <col min="1" max="1" width="3" style="31" hidden="1" customWidth="1"/>
    <col min="2" max="2" width="25.54296875" style="31" customWidth="1"/>
    <col min="3" max="3" width="17" style="31" customWidth="1"/>
    <col min="4" max="4" width="11.453125" style="31" customWidth="1"/>
    <col min="5" max="5" width="14.453125" style="55" customWidth="1"/>
    <col min="6" max="6" width="12.54296875" style="55" customWidth="1"/>
    <col min="7" max="9" width="13.6328125" style="55" customWidth="1"/>
    <col min="10" max="11" width="13.6328125" style="31" customWidth="1"/>
    <col min="12" max="12" width="13.453125" style="31" customWidth="1"/>
    <col min="13" max="256" width="9.08984375" style="31"/>
    <col min="257" max="257" width="0" style="31" hidden="1" customWidth="1"/>
    <col min="258" max="258" width="25.54296875" style="31" customWidth="1"/>
    <col min="259" max="259" width="17" style="31" customWidth="1"/>
    <col min="260" max="260" width="11.453125" style="31" customWidth="1"/>
    <col min="261" max="261" width="14.453125" style="31" customWidth="1"/>
    <col min="262" max="262" width="12.54296875" style="31" customWidth="1"/>
    <col min="263" max="267" width="13.6328125" style="31" customWidth="1"/>
    <col min="268" max="268" width="13.453125" style="31" customWidth="1"/>
    <col min="269" max="512" width="9.08984375" style="31"/>
    <col min="513" max="513" width="0" style="31" hidden="1" customWidth="1"/>
    <col min="514" max="514" width="25.54296875" style="31" customWidth="1"/>
    <col min="515" max="515" width="17" style="31" customWidth="1"/>
    <col min="516" max="516" width="11.453125" style="31" customWidth="1"/>
    <col min="517" max="517" width="14.453125" style="31" customWidth="1"/>
    <col min="518" max="518" width="12.54296875" style="31" customWidth="1"/>
    <col min="519" max="523" width="13.6328125" style="31" customWidth="1"/>
    <col min="524" max="524" width="13.453125" style="31" customWidth="1"/>
    <col min="525" max="768" width="9.08984375" style="31"/>
    <col min="769" max="769" width="0" style="31" hidden="1" customWidth="1"/>
    <col min="770" max="770" width="25.54296875" style="31" customWidth="1"/>
    <col min="771" max="771" width="17" style="31" customWidth="1"/>
    <col min="772" max="772" width="11.453125" style="31" customWidth="1"/>
    <col min="773" max="773" width="14.453125" style="31" customWidth="1"/>
    <col min="774" max="774" width="12.54296875" style="31" customWidth="1"/>
    <col min="775" max="779" width="13.6328125" style="31" customWidth="1"/>
    <col min="780" max="780" width="13.453125" style="31" customWidth="1"/>
    <col min="781" max="1024" width="9.08984375" style="31"/>
    <col min="1025" max="1025" width="0" style="31" hidden="1" customWidth="1"/>
    <col min="1026" max="1026" width="25.54296875" style="31" customWidth="1"/>
    <col min="1027" max="1027" width="17" style="31" customWidth="1"/>
    <col min="1028" max="1028" width="11.453125" style="31" customWidth="1"/>
    <col min="1029" max="1029" width="14.453125" style="31" customWidth="1"/>
    <col min="1030" max="1030" width="12.54296875" style="31" customWidth="1"/>
    <col min="1031" max="1035" width="13.6328125" style="31" customWidth="1"/>
    <col min="1036" max="1036" width="13.453125" style="31" customWidth="1"/>
    <col min="1037" max="1280" width="9.08984375" style="31"/>
    <col min="1281" max="1281" width="0" style="31" hidden="1" customWidth="1"/>
    <col min="1282" max="1282" width="25.54296875" style="31" customWidth="1"/>
    <col min="1283" max="1283" width="17" style="31" customWidth="1"/>
    <col min="1284" max="1284" width="11.453125" style="31" customWidth="1"/>
    <col min="1285" max="1285" width="14.453125" style="31" customWidth="1"/>
    <col min="1286" max="1286" width="12.54296875" style="31" customWidth="1"/>
    <col min="1287" max="1291" width="13.6328125" style="31" customWidth="1"/>
    <col min="1292" max="1292" width="13.453125" style="31" customWidth="1"/>
    <col min="1293" max="1536" width="9.08984375" style="31"/>
    <col min="1537" max="1537" width="0" style="31" hidden="1" customWidth="1"/>
    <col min="1538" max="1538" width="25.54296875" style="31" customWidth="1"/>
    <col min="1539" max="1539" width="17" style="31" customWidth="1"/>
    <col min="1540" max="1540" width="11.453125" style="31" customWidth="1"/>
    <col min="1541" max="1541" width="14.453125" style="31" customWidth="1"/>
    <col min="1542" max="1542" width="12.54296875" style="31" customWidth="1"/>
    <col min="1543" max="1547" width="13.6328125" style="31" customWidth="1"/>
    <col min="1548" max="1548" width="13.453125" style="31" customWidth="1"/>
    <col min="1549" max="1792" width="9.08984375" style="31"/>
    <col min="1793" max="1793" width="0" style="31" hidden="1" customWidth="1"/>
    <col min="1794" max="1794" width="25.54296875" style="31" customWidth="1"/>
    <col min="1795" max="1795" width="17" style="31" customWidth="1"/>
    <col min="1796" max="1796" width="11.453125" style="31" customWidth="1"/>
    <col min="1797" max="1797" width="14.453125" style="31" customWidth="1"/>
    <col min="1798" max="1798" width="12.54296875" style="31" customWidth="1"/>
    <col min="1799" max="1803" width="13.6328125" style="31" customWidth="1"/>
    <col min="1804" max="1804" width="13.453125" style="31" customWidth="1"/>
    <col min="1805" max="2048" width="9.08984375" style="31"/>
    <col min="2049" max="2049" width="0" style="31" hidden="1" customWidth="1"/>
    <col min="2050" max="2050" width="25.54296875" style="31" customWidth="1"/>
    <col min="2051" max="2051" width="17" style="31" customWidth="1"/>
    <col min="2052" max="2052" width="11.453125" style="31" customWidth="1"/>
    <col min="2053" max="2053" width="14.453125" style="31" customWidth="1"/>
    <col min="2054" max="2054" width="12.54296875" style="31" customWidth="1"/>
    <col min="2055" max="2059" width="13.6328125" style="31" customWidth="1"/>
    <col min="2060" max="2060" width="13.453125" style="31" customWidth="1"/>
    <col min="2061" max="2304" width="9.08984375" style="31"/>
    <col min="2305" max="2305" width="0" style="31" hidden="1" customWidth="1"/>
    <col min="2306" max="2306" width="25.54296875" style="31" customWidth="1"/>
    <col min="2307" max="2307" width="17" style="31" customWidth="1"/>
    <col min="2308" max="2308" width="11.453125" style="31" customWidth="1"/>
    <col min="2309" max="2309" width="14.453125" style="31" customWidth="1"/>
    <col min="2310" max="2310" width="12.54296875" style="31" customWidth="1"/>
    <col min="2311" max="2315" width="13.6328125" style="31" customWidth="1"/>
    <col min="2316" max="2316" width="13.453125" style="31" customWidth="1"/>
    <col min="2317" max="2560" width="9.08984375" style="31"/>
    <col min="2561" max="2561" width="0" style="31" hidden="1" customWidth="1"/>
    <col min="2562" max="2562" width="25.54296875" style="31" customWidth="1"/>
    <col min="2563" max="2563" width="17" style="31" customWidth="1"/>
    <col min="2564" max="2564" width="11.453125" style="31" customWidth="1"/>
    <col min="2565" max="2565" width="14.453125" style="31" customWidth="1"/>
    <col min="2566" max="2566" width="12.54296875" style="31" customWidth="1"/>
    <col min="2567" max="2571" width="13.6328125" style="31" customWidth="1"/>
    <col min="2572" max="2572" width="13.453125" style="31" customWidth="1"/>
    <col min="2573" max="2816" width="9.08984375" style="31"/>
    <col min="2817" max="2817" width="0" style="31" hidden="1" customWidth="1"/>
    <col min="2818" max="2818" width="25.54296875" style="31" customWidth="1"/>
    <col min="2819" max="2819" width="17" style="31" customWidth="1"/>
    <col min="2820" max="2820" width="11.453125" style="31" customWidth="1"/>
    <col min="2821" max="2821" width="14.453125" style="31" customWidth="1"/>
    <col min="2822" max="2822" width="12.54296875" style="31" customWidth="1"/>
    <col min="2823" max="2827" width="13.6328125" style="31" customWidth="1"/>
    <col min="2828" max="2828" width="13.453125" style="31" customWidth="1"/>
    <col min="2829" max="3072" width="9.08984375" style="31"/>
    <col min="3073" max="3073" width="0" style="31" hidden="1" customWidth="1"/>
    <col min="3074" max="3074" width="25.54296875" style="31" customWidth="1"/>
    <col min="3075" max="3075" width="17" style="31" customWidth="1"/>
    <col min="3076" max="3076" width="11.453125" style="31" customWidth="1"/>
    <col min="3077" max="3077" width="14.453125" style="31" customWidth="1"/>
    <col min="3078" max="3078" width="12.54296875" style="31" customWidth="1"/>
    <col min="3079" max="3083" width="13.6328125" style="31" customWidth="1"/>
    <col min="3084" max="3084" width="13.453125" style="31" customWidth="1"/>
    <col min="3085" max="3328" width="9.08984375" style="31"/>
    <col min="3329" max="3329" width="0" style="31" hidden="1" customWidth="1"/>
    <col min="3330" max="3330" width="25.54296875" style="31" customWidth="1"/>
    <col min="3331" max="3331" width="17" style="31" customWidth="1"/>
    <col min="3332" max="3332" width="11.453125" style="31" customWidth="1"/>
    <col min="3333" max="3333" width="14.453125" style="31" customWidth="1"/>
    <col min="3334" max="3334" width="12.54296875" style="31" customWidth="1"/>
    <col min="3335" max="3339" width="13.6328125" style="31" customWidth="1"/>
    <col min="3340" max="3340" width="13.453125" style="31" customWidth="1"/>
    <col min="3341" max="3584" width="9.08984375" style="31"/>
    <col min="3585" max="3585" width="0" style="31" hidden="1" customWidth="1"/>
    <col min="3586" max="3586" width="25.54296875" style="31" customWidth="1"/>
    <col min="3587" max="3587" width="17" style="31" customWidth="1"/>
    <col min="3588" max="3588" width="11.453125" style="31" customWidth="1"/>
    <col min="3589" max="3589" width="14.453125" style="31" customWidth="1"/>
    <col min="3590" max="3590" width="12.54296875" style="31" customWidth="1"/>
    <col min="3591" max="3595" width="13.6328125" style="31" customWidth="1"/>
    <col min="3596" max="3596" width="13.453125" style="31" customWidth="1"/>
    <col min="3597" max="3840" width="9.08984375" style="31"/>
    <col min="3841" max="3841" width="0" style="31" hidden="1" customWidth="1"/>
    <col min="3842" max="3842" width="25.54296875" style="31" customWidth="1"/>
    <col min="3843" max="3843" width="17" style="31" customWidth="1"/>
    <col min="3844" max="3844" width="11.453125" style="31" customWidth="1"/>
    <col min="3845" max="3845" width="14.453125" style="31" customWidth="1"/>
    <col min="3846" max="3846" width="12.54296875" style="31" customWidth="1"/>
    <col min="3847" max="3851" width="13.6328125" style="31" customWidth="1"/>
    <col min="3852" max="3852" width="13.453125" style="31" customWidth="1"/>
    <col min="3853" max="4096" width="9.08984375" style="31"/>
    <col min="4097" max="4097" width="0" style="31" hidden="1" customWidth="1"/>
    <col min="4098" max="4098" width="25.54296875" style="31" customWidth="1"/>
    <col min="4099" max="4099" width="17" style="31" customWidth="1"/>
    <col min="4100" max="4100" width="11.453125" style="31" customWidth="1"/>
    <col min="4101" max="4101" width="14.453125" style="31" customWidth="1"/>
    <col min="4102" max="4102" width="12.54296875" style="31" customWidth="1"/>
    <col min="4103" max="4107" width="13.6328125" style="31" customWidth="1"/>
    <col min="4108" max="4108" width="13.453125" style="31" customWidth="1"/>
    <col min="4109" max="4352" width="9.08984375" style="31"/>
    <col min="4353" max="4353" width="0" style="31" hidden="1" customWidth="1"/>
    <col min="4354" max="4354" width="25.54296875" style="31" customWidth="1"/>
    <col min="4355" max="4355" width="17" style="31" customWidth="1"/>
    <col min="4356" max="4356" width="11.453125" style="31" customWidth="1"/>
    <col min="4357" max="4357" width="14.453125" style="31" customWidth="1"/>
    <col min="4358" max="4358" width="12.54296875" style="31" customWidth="1"/>
    <col min="4359" max="4363" width="13.6328125" style="31" customWidth="1"/>
    <col min="4364" max="4364" width="13.453125" style="31" customWidth="1"/>
    <col min="4365" max="4608" width="9.08984375" style="31"/>
    <col min="4609" max="4609" width="0" style="31" hidden="1" customWidth="1"/>
    <col min="4610" max="4610" width="25.54296875" style="31" customWidth="1"/>
    <col min="4611" max="4611" width="17" style="31" customWidth="1"/>
    <col min="4612" max="4612" width="11.453125" style="31" customWidth="1"/>
    <col min="4613" max="4613" width="14.453125" style="31" customWidth="1"/>
    <col min="4614" max="4614" width="12.54296875" style="31" customWidth="1"/>
    <col min="4615" max="4619" width="13.6328125" style="31" customWidth="1"/>
    <col min="4620" max="4620" width="13.453125" style="31" customWidth="1"/>
    <col min="4621" max="4864" width="9.08984375" style="31"/>
    <col min="4865" max="4865" width="0" style="31" hidden="1" customWidth="1"/>
    <col min="4866" max="4866" width="25.54296875" style="31" customWidth="1"/>
    <col min="4867" max="4867" width="17" style="31" customWidth="1"/>
    <col min="4868" max="4868" width="11.453125" style="31" customWidth="1"/>
    <col min="4869" max="4869" width="14.453125" style="31" customWidth="1"/>
    <col min="4870" max="4870" width="12.54296875" style="31" customWidth="1"/>
    <col min="4871" max="4875" width="13.6328125" style="31" customWidth="1"/>
    <col min="4876" max="4876" width="13.453125" style="31" customWidth="1"/>
    <col min="4877" max="5120" width="9.08984375" style="31"/>
    <col min="5121" max="5121" width="0" style="31" hidden="1" customWidth="1"/>
    <col min="5122" max="5122" width="25.54296875" style="31" customWidth="1"/>
    <col min="5123" max="5123" width="17" style="31" customWidth="1"/>
    <col min="5124" max="5124" width="11.453125" style="31" customWidth="1"/>
    <col min="5125" max="5125" width="14.453125" style="31" customWidth="1"/>
    <col min="5126" max="5126" width="12.54296875" style="31" customWidth="1"/>
    <col min="5127" max="5131" width="13.6328125" style="31" customWidth="1"/>
    <col min="5132" max="5132" width="13.453125" style="31" customWidth="1"/>
    <col min="5133" max="5376" width="9.08984375" style="31"/>
    <col min="5377" max="5377" width="0" style="31" hidden="1" customWidth="1"/>
    <col min="5378" max="5378" width="25.54296875" style="31" customWidth="1"/>
    <col min="5379" max="5379" width="17" style="31" customWidth="1"/>
    <col min="5380" max="5380" width="11.453125" style="31" customWidth="1"/>
    <col min="5381" max="5381" width="14.453125" style="31" customWidth="1"/>
    <col min="5382" max="5382" width="12.54296875" style="31" customWidth="1"/>
    <col min="5383" max="5387" width="13.6328125" style="31" customWidth="1"/>
    <col min="5388" max="5388" width="13.453125" style="31" customWidth="1"/>
    <col min="5389" max="5632" width="9.08984375" style="31"/>
    <col min="5633" max="5633" width="0" style="31" hidden="1" customWidth="1"/>
    <col min="5634" max="5634" width="25.54296875" style="31" customWidth="1"/>
    <col min="5635" max="5635" width="17" style="31" customWidth="1"/>
    <col min="5636" max="5636" width="11.453125" style="31" customWidth="1"/>
    <col min="5637" max="5637" width="14.453125" style="31" customWidth="1"/>
    <col min="5638" max="5638" width="12.54296875" style="31" customWidth="1"/>
    <col min="5639" max="5643" width="13.6328125" style="31" customWidth="1"/>
    <col min="5644" max="5644" width="13.453125" style="31" customWidth="1"/>
    <col min="5645" max="5888" width="9.08984375" style="31"/>
    <col min="5889" max="5889" width="0" style="31" hidden="1" customWidth="1"/>
    <col min="5890" max="5890" width="25.54296875" style="31" customWidth="1"/>
    <col min="5891" max="5891" width="17" style="31" customWidth="1"/>
    <col min="5892" max="5892" width="11.453125" style="31" customWidth="1"/>
    <col min="5893" max="5893" width="14.453125" style="31" customWidth="1"/>
    <col min="5894" max="5894" width="12.54296875" style="31" customWidth="1"/>
    <col min="5895" max="5899" width="13.6328125" style="31" customWidth="1"/>
    <col min="5900" max="5900" width="13.453125" style="31" customWidth="1"/>
    <col min="5901" max="6144" width="9.08984375" style="31"/>
    <col min="6145" max="6145" width="0" style="31" hidden="1" customWidth="1"/>
    <col min="6146" max="6146" width="25.54296875" style="31" customWidth="1"/>
    <col min="6147" max="6147" width="17" style="31" customWidth="1"/>
    <col min="6148" max="6148" width="11.453125" style="31" customWidth="1"/>
    <col min="6149" max="6149" width="14.453125" style="31" customWidth="1"/>
    <col min="6150" max="6150" width="12.54296875" style="31" customWidth="1"/>
    <col min="6151" max="6155" width="13.6328125" style="31" customWidth="1"/>
    <col min="6156" max="6156" width="13.453125" style="31" customWidth="1"/>
    <col min="6157" max="6400" width="9.08984375" style="31"/>
    <col min="6401" max="6401" width="0" style="31" hidden="1" customWidth="1"/>
    <col min="6402" max="6402" width="25.54296875" style="31" customWidth="1"/>
    <col min="6403" max="6403" width="17" style="31" customWidth="1"/>
    <col min="6404" max="6404" width="11.453125" style="31" customWidth="1"/>
    <col min="6405" max="6405" width="14.453125" style="31" customWidth="1"/>
    <col min="6406" max="6406" width="12.54296875" style="31" customWidth="1"/>
    <col min="6407" max="6411" width="13.6328125" style="31" customWidth="1"/>
    <col min="6412" max="6412" width="13.453125" style="31" customWidth="1"/>
    <col min="6413" max="6656" width="9.08984375" style="31"/>
    <col min="6657" max="6657" width="0" style="31" hidden="1" customWidth="1"/>
    <col min="6658" max="6658" width="25.54296875" style="31" customWidth="1"/>
    <col min="6659" max="6659" width="17" style="31" customWidth="1"/>
    <col min="6660" max="6660" width="11.453125" style="31" customWidth="1"/>
    <col min="6661" max="6661" width="14.453125" style="31" customWidth="1"/>
    <col min="6662" max="6662" width="12.54296875" style="31" customWidth="1"/>
    <col min="6663" max="6667" width="13.6328125" style="31" customWidth="1"/>
    <col min="6668" max="6668" width="13.453125" style="31" customWidth="1"/>
    <col min="6669" max="6912" width="9.08984375" style="31"/>
    <col min="6913" max="6913" width="0" style="31" hidden="1" customWidth="1"/>
    <col min="6914" max="6914" width="25.54296875" style="31" customWidth="1"/>
    <col min="6915" max="6915" width="17" style="31" customWidth="1"/>
    <col min="6916" max="6916" width="11.453125" style="31" customWidth="1"/>
    <col min="6917" max="6917" width="14.453125" style="31" customWidth="1"/>
    <col min="6918" max="6918" width="12.54296875" style="31" customWidth="1"/>
    <col min="6919" max="6923" width="13.6328125" style="31" customWidth="1"/>
    <col min="6924" max="6924" width="13.453125" style="31" customWidth="1"/>
    <col min="6925" max="7168" width="9.08984375" style="31"/>
    <col min="7169" max="7169" width="0" style="31" hidden="1" customWidth="1"/>
    <col min="7170" max="7170" width="25.54296875" style="31" customWidth="1"/>
    <col min="7171" max="7171" width="17" style="31" customWidth="1"/>
    <col min="7172" max="7172" width="11.453125" style="31" customWidth="1"/>
    <col min="7173" max="7173" width="14.453125" style="31" customWidth="1"/>
    <col min="7174" max="7174" width="12.54296875" style="31" customWidth="1"/>
    <col min="7175" max="7179" width="13.6328125" style="31" customWidth="1"/>
    <col min="7180" max="7180" width="13.453125" style="31" customWidth="1"/>
    <col min="7181" max="7424" width="9.08984375" style="31"/>
    <col min="7425" max="7425" width="0" style="31" hidden="1" customWidth="1"/>
    <col min="7426" max="7426" width="25.54296875" style="31" customWidth="1"/>
    <col min="7427" max="7427" width="17" style="31" customWidth="1"/>
    <col min="7428" max="7428" width="11.453125" style="31" customWidth="1"/>
    <col min="7429" max="7429" width="14.453125" style="31" customWidth="1"/>
    <col min="7430" max="7430" width="12.54296875" style="31" customWidth="1"/>
    <col min="7431" max="7435" width="13.6328125" style="31" customWidth="1"/>
    <col min="7436" max="7436" width="13.453125" style="31" customWidth="1"/>
    <col min="7437" max="7680" width="9.08984375" style="31"/>
    <col min="7681" max="7681" width="0" style="31" hidden="1" customWidth="1"/>
    <col min="7682" max="7682" width="25.54296875" style="31" customWidth="1"/>
    <col min="7683" max="7683" width="17" style="31" customWidth="1"/>
    <col min="7684" max="7684" width="11.453125" style="31" customWidth="1"/>
    <col min="7685" max="7685" width="14.453125" style="31" customWidth="1"/>
    <col min="7686" max="7686" width="12.54296875" style="31" customWidth="1"/>
    <col min="7687" max="7691" width="13.6328125" style="31" customWidth="1"/>
    <col min="7692" max="7692" width="13.453125" style="31" customWidth="1"/>
    <col min="7693" max="7936" width="9.08984375" style="31"/>
    <col min="7937" max="7937" width="0" style="31" hidden="1" customWidth="1"/>
    <col min="7938" max="7938" width="25.54296875" style="31" customWidth="1"/>
    <col min="7939" max="7939" width="17" style="31" customWidth="1"/>
    <col min="7940" max="7940" width="11.453125" style="31" customWidth="1"/>
    <col min="7941" max="7941" width="14.453125" style="31" customWidth="1"/>
    <col min="7942" max="7942" width="12.54296875" style="31" customWidth="1"/>
    <col min="7943" max="7947" width="13.6328125" style="31" customWidth="1"/>
    <col min="7948" max="7948" width="13.453125" style="31" customWidth="1"/>
    <col min="7949" max="8192" width="9.08984375" style="31"/>
    <col min="8193" max="8193" width="0" style="31" hidden="1" customWidth="1"/>
    <col min="8194" max="8194" width="25.54296875" style="31" customWidth="1"/>
    <col min="8195" max="8195" width="17" style="31" customWidth="1"/>
    <col min="8196" max="8196" width="11.453125" style="31" customWidth="1"/>
    <col min="8197" max="8197" width="14.453125" style="31" customWidth="1"/>
    <col min="8198" max="8198" width="12.54296875" style="31" customWidth="1"/>
    <col min="8199" max="8203" width="13.6328125" style="31" customWidth="1"/>
    <col min="8204" max="8204" width="13.453125" style="31" customWidth="1"/>
    <col min="8205" max="8448" width="9.08984375" style="31"/>
    <col min="8449" max="8449" width="0" style="31" hidden="1" customWidth="1"/>
    <col min="8450" max="8450" width="25.54296875" style="31" customWidth="1"/>
    <col min="8451" max="8451" width="17" style="31" customWidth="1"/>
    <col min="8452" max="8452" width="11.453125" style="31" customWidth="1"/>
    <col min="8453" max="8453" width="14.453125" style="31" customWidth="1"/>
    <col min="8454" max="8454" width="12.54296875" style="31" customWidth="1"/>
    <col min="8455" max="8459" width="13.6328125" style="31" customWidth="1"/>
    <col min="8460" max="8460" width="13.453125" style="31" customWidth="1"/>
    <col min="8461" max="8704" width="9.08984375" style="31"/>
    <col min="8705" max="8705" width="0" style="31" hidden="1" customWidth="1"/>
    <col min="8706" max="8706" width="25.54296875" style="31" customWidth="1"/>
    <col min="8707" max="8707" width="17" style="31" customWidth="1"/>
    <col min="8708" max="8708" width="11.453125" style="31" customWidth="1"/>
    <col min="8709" max="8709" width="14.453125" style="31" customWidth="1"/>
    <col min="8710" max="8710" width="12.54296875" style="31" customWidth="1"/>
    <col min="8711" max="8715" width="13.6328125" style="31" customWidth="1"/>
    <col min="8716" max="8716" width="13.453125" style="31" customWidth="1"/>
    <col min="8717" max="8960" width="9.08984375" style="31"/>
    <col min="8961" max="8961" width="0" style="31" hidden="1" customWidth="1"/>
    <col min="8962" max="8962" width="25.54296875" style="31" customWidth="1"/>
    <col min="8963" max="8963" width="17" style="31" customWidth="1"/>
    <col min="8964" max="8964" width="11.453125" style="31" customWidth="1"/>
    <col min="8965" max="8965" width="14.453125" style="31" customWidth="1"/>
    <col min="8966" max="8966" width="12.54296875" style="31" customWidth="1"/>
    <col min="8967" max="8971" width="13.6328125" style="31" customWidth="1"/>
    <col min="8972" max="8972" width="13.453125" style="31" customWidth="1"/>
    <col min="8973" max="9216" width="9.08984375" style="31"/>
    <col min="9217" max="9217" width="0" style="31" hidden="1" customWidth="1"/>
    <col min="9218" max="9218" width="25.54296875" style="31" customWidth="1"/>
    <col min="9219" max="9219" width="17" style="31" customWidth="1"/>
    <col min="9220" max="9220" width="11.453125" style="31" customWidth="1"/>
    <col min="9221" max="9221" width="14.453125" style="31" customWidth="1"/>
    <col min="9222" max="9222" width="12.54296875" style="31" customWidth="1"/>
    <col min="9223" max="9227" width="13.6328125" style="31" customWidth="1"/>
    <col min="9228" max="9228" width="13.453125" style="31" customWidth="1"/>
    <col min="9229" max="9472" width="9.08984375" style="31"/>
    <col min="9473" max="9473" width="0" style="31" hidden="1" customWidth="1"/>
    <col min="9474" max="9474" width="25.54296875" style="31" customWidth="1"/>
    <col min="9475" max="9475" width="17" style="31" customWidth="1"/>
    <col min="9476" max="9476" width="11.453125" style="31" customWidth="1"/>
    <col min="9477" max="9477" width="14.453125" style="31" customWidth="1"/>
    <col min="9478" max="9478" width="12.54296875" style="31" customWidth="1"/>
    <col min="9479" max="9483" width="13.6328125" style="31" customWidth="1"/>
    <col min="9484" max="9484" width="13.453125" style="31" customWidth="1"/>
    <col min="9485" max="9728" width="9.08984375" style="31"/>
    <col min="9729" max="9729" width="0" style="31" hidden="1" customWidth="1"/>
    <col min="9730" max="9730" width="25.54296875" style="31" customWidth="1"/>
    <col min="9731" max="9731" width="17" style="31" customWidth="1"/>
    <col min="9732" max="9732" width="11.453125" style="31" customWidth="1"/>
    <col min="9733" max="9733" width="14.453125" style="31" customWidth="1"/>
    <col min="9734" max="9734" width="12.54296875" style="31" customWidth="1"/>
    <col min="9735" max="9739" width="13.6328125" style="31" customWidth="1"/>
    <col min="9740" max="9740" width="13.453125" style="31" customWidth="1"/>
    <col min="9741" max="9984" width="9.08984375" style="31"/>
    <col min="9985" max="9985" width="0" style="31" hidden="1" customWidth="1"/>
    <col min="9986" max="9986" width="25.54296875" style="31" customWidth="1"/>
    <col min="9987" max="9987" width="17" style="31" customWidth="1"/>
    <col min="9988" max="9988" width="11.453125" style="31" customWidth="1"/>
    <col min="9989" max="9989" width="14.453125" style="31" customWidth="1"/>
    <col min="9990" max="9990" width="12.54296875" style="31" customWidth="1"/>
    <col min="9991" max="9995" width="13.6328125" style="31" customWidth="1"/>
    <col min="9996" max="9996" width="13.453125" style="31" customWidth="1"/>
    <col min="9997" max="10240" width="9.08984375" style="31"/>
    <col min="10241" max="10241" width="0" style="31" hidden="1" customWidth="1"/>
    <col min="10242" max="10242" width="25.54296875" style="31" customWidth="1"/>
    <col min="10243" max="10243" width="17" style="31" customWidth="1"/>
    <col min="10244" max="10244" width="11.453125" style="31" customWidth="1"/>
    <col min="10245" max="10245" width="14.453125" style="31" customWidth="1"/>
    <col min="10246" max="10246" width="12.54296875" style="31" customWidth="1"/>
    <col min="10247" max="10251" width="13.6328125" style="31" customWidth="1"/>
    <col min="10252" max="10252" width="13.453125" style="31" customWidth="1"/>
    <col min="10253" max="10496" width="9.08984375" style="31"/>
    <col min="10497" max="10497" width="0" style="31" hidden="1" customWidth="1"/>
    <col min="10498" max="10498" width="25.54296875" style="31" customWidth="1"/>
    <col min="10499" max="10499" width="17" style="31" customWidth="1"/>
    <col min="10500" max="10500" width="11.453125" style="31" customWidth="1"/>
    <col min="10501" max="10501" width="14.453125" style="31" customWidth="1"/>
    <col min="10502" max="10502" width="12.54296875" style="31" customWidth="1"/>
    <col min="10503" max="10507" width="13.6328125" style="31" customWidth="1"/>
    <col min="10508" max="10508" width="13.453125" style="31" customWidth="1"/>
    <col min="10509" max="10752" width="9.08984375" style="31"/>
    <col min="10753" max="10753" width="0" style="31" hidden="1" customWidth="1"/>
    <col min="10754" max="10754" width="25.54296875" style="31" customWidth="1"/>
    <col min="10755" max="10755" width="17" style="31" customWidth="1"/>
    <col min="10756" max="10756" width="11.453125" style="31" customWidth="1"/>
    <col min="10757" max="10757" width="14.453125" style="31" customWidth="1"/>
    <col min="10758" max="10758" width="12.54296875" style="31" customWidth="1"/>
    <col min="10759" max="10763" width="13.6328125" style="31" customWidth="1"/>
    <col min="10764" max="10764" width="13.453125" style="31" customWidth="1"/>
    <col min="10765" max="11008" width="9.08984375" style="31"/>
    <col min="11009" max="11009" width="0" style="31" hidden="1" customWidth="1"/>
    <col min="11010" max="11010" width="25.54296875" style="31" customWidth="1"/>
    <col min="11011" max="11011" width="17" style="31" customWidth="1"/>
    <col min="11012" max="11012" width="11.453125" style="31" customWidth="1"/>
    <col min="11013" max="11013" width="14.453125" style="31" customWidth="1"/>
    <col min="11014" max="11014" width="12.54296875" style="31" customWidth="1"/>
    <col min="11015" max="11019" width="13.6328125" style="31" customWidth="1"/>
    <col min="11020" max="11020" width="13.453125" style="31" customWidth="1"/>
    <col min="11021" max="11264" width="9.08984375" style="31"/>
    <col min="11265" max="11265" width="0" style="31" hidden="1" customWidth="1"/>
    <col min="11266" max="11266" width="25.54296875" style="31" customWidth="1"/>
    <col min="11267" max="11267" width="17" style="31" customWidth="1"/>
    <col min="11268" max="11268" width="11.453125" style="31" customWidth="1"/>
    <col min="11269" max="11269" width="14.453125" style="31" customWidth="1"/>
    <col min="11270" max="11270" width="12.54296875" style="31" customWidth="1"/>
    <col min="11271" max="11275" width="13.6328125" style="31" customWidth="1"/>
    <col min="11276" max="11276" width="13.453125" style="31" customWidth="1"/>
    <col min="11277" max="11520" width="9.08984375" style="31"/>
    <col min="11521" max="11521" width="0" style="31" hidden="1" customWidth="1"/>
    <col min="11522" max="11522" width="25.54296875" style="31" customWidth="1"/>
    <col min="11523" max="11523" width="17" style="31" customWidth="1"/>
    <col min="11524" max="11524" width="11.453125" style="31" customWidth="1"/>
    <col min="11525" max="11525" width="14.453125" style="31" customWidth="1"/>
    <col min="11526" max="11526" width="12.54296875" style="31" customWidth="1"/>
    <col min="11527" max="11531" width="13.6328125" style="31" customWidth="1"/>
    <col min="11532" max="11532" width="13.453125" style="31" customWidth="1"/>
    <col min="11533" max="11776" width="9.08984375" style="31"/>
    <col min="11777" max="11777" width="0" style="31" hidden="1" customWidth="1"/>
    <col min="11778" max="11778" width="25.54296875" style="31" customWidth="1"/>
    <col min="11779" max="11779" width="17" style="31" customWidth="1"/>
    <col min="11780" max="11780" width="11.453125" style="31" customWidth="1"/>
    <col min="11781" max="11781" width="14.453125" style="31" customWidth="1"/>
    <col min="11782" max="11782" width="12.54296875" style="31" customWidth="1"/>
    <col min="11783" max="11787" width="13.6328125" style="31" customWidth="1"/>
    <col min="11788" max="11788" width="13.453125" style="31" customWidth="1"/>
    <col min="11789" max="12032" width="9.08984375" style="31"/>
    <col min="12033" max="12033" width="0" style="31" hidden="1" customWidth="1"/>
    <col min="12034" max="12034" width="25.54296875" style="31" customWidth="1"/>
    <col min="12035" max="12035" width="17" style="31" customWidth="1"/>
    <col min="12036" max="12036" width="11.453125" style="31" customWidth="1"/>
    <col min="12037" max="12037" width="14.453125" style="31" customWidth="1"/>
    <col min="12038" max="12038" width="12.54296875" style="31" customWidth="1"/>
    <col min="12039" max="12043" width="13.6328125" style="31" customWidth="1"/>
    <col min="12044" max="12044" width="13.453125" style="31" customWidth="1"/>
    <col min="12045" max="12288" width="9.08984375" style="31"/>
    <col min="12289" max="12289" width="0" style="31" hidden="1" customWidth="1"/>
    <col min="12290" max="12290" width="25.54296875" style="31" customWidth="1"/>
    <col min="12291" max="12291" width="17" style="31" customWidth="1"/>
    <col min="12292" max="12292" width="11.453125" style="31" customWidth="1"/>
    <col min="12293" max="12293" width="14.453125" style="31" customWidth="1"/>
    <col min="12294" max="12294" width="12.54296875" style="31" customWidth="1"/>
    <col min="12295" max="12299" width="13.6328125" style="31" customWidth="1"/>
    <col min="12300" max="12300" width="13.453125" style="31" customWidth="1"/>
    <col min="12301" max="12544" width="9.08984375" style="31"/>
    <col min="12545" max="12545" width="0" style="31" hidden="1" customWidth="1"/>
    <col min="12546" max="12546" width="25.54296875" style="31" customWidth="1"/>
    <col min="12547" max="12547" width="17" style="31" customWidth="1"/>
    <col min="12548" max="12548" width="11.453125" style="31" customWidth="1"/>
    <col min="12549" max="12549" width="14.453125" style="31" customWidth="1"/>
    <col min="12550" max="12550" width="12.54296875" style="31" customWidth="1"/>
    <col min="12551" max="12555" width="13.6328125" style="31" customWidth="1"/>
    <col min="12556" max="12556" width="13.453125" style="31" customWidth="1"/>
    <col min="12557" max="12800" width="9.08984375" style="31"/>
    <col min="12801" max="12801" width="0" style="31" hidden="1" customWidth="1"/>
    <col min="12802" max="12802" width="25.54296875" style="31" customWidth="1"/>
    <col min="12803" max="12803" width="17" style="31" customWidth="1"/>
    <col min="12804" max="12804" width="11.453125" style="31" customWidth="1"/>
    <col min="12805" max="12805" width="14.453125" style="31" customWidth="1"/>
    <col min="12806" max="12806" width="12.54296875" style="31" customWidth="1"/>
    <col min="12807" max="12811" width="13.6328125" style="31" customWidth="1"/>
    <col min="12812" max="12812" width="13.453125" style="31" customWidth="1"/>
    <col min="12813" max="13056" width="9.08984375" style="31"/>
    <col min="13057" max="13057" width="0" style="31" hidden="1" customWidth="1"/>
    <col min="13058" max="13058" width="25.54296875" style="31" customWidth="1"/>
    <col min="13059" max="13059" width="17" style="31" customWidth="1"/>
    <col min="13060" max="13060" width="11.453125" style="31" customWidth="1"/>
    <col min="13061" max="13061" width="14.453125" style="31" customWidth="1"/>
    <col min="13062" max="13062" width="12.54296875" style="31" customWidth="1"/>
    <col min="13063" max="13067" width="13.6328125" style="31" customWidth="1"/>
    <col min="13068" max="13068" width="13.453125" style="31" customWidth="1"/>
    <col min="13069" max="13312" width="9.08984375" style="31"/>
    <col min="13313" max="13313" width="0" style="31" hidden="1" customWidth="1"/>
    <col min="13314" max="13314" width="25.54296875" style="31" customWidth="1"/>
    <col min="13315" max="13315" width="17" style="31" customWidth="1"/>
    <col min="13316" max="13316" width="11.453125" style="31" customWidth="1"/>
    <col min="13317" max="13317" width="14.453125" style="31" customWidth="1"/>
    <col min="13318" max="13318" width="12.54296875" style="31" customWidth="1"/>
    <col min="13319" max="13323" width="13.6328125" style="31" customWidth="1"/>
    <col min="13324" max="13324" width="13.453125" style="31" customWidth="1"/>
    <col min="13325" max="13568" width="9.08984375" style="31"/>
    <col min="13569" max="13569" width="0" style="31" hidden="1" customWidth="1"/>
    <col min="13570" max="13570" width="25.54296875" style="31" customWidth="1"/>
    <col min="13571" max="13571" width="17" style="31" customWidth="1"/>
    <col min="13572" max="13572" width="11.453125" style="31" customWidth="1"/>
    <col min="13573" max="13573" width="14.453125" style="31" customWidth="1"/>
    <col min="13574" max="13574" width="12.54296875" style="31" customWidth="1"/>
    <col min="13575" max="13579" width="13.6328125" style="31" customWidth="1"/>
    <col min="13580" max="13580" width="13.453125" style="31" customWidth="1"/>
    <col min="13581" max="13824" width="9.08984375" style="31"/>
    <col min="13825" max="13825" width="0" style="31" hidden="1" customWidth="1"/>
    <col min="13826" max="13826" width="25.54296875" style="31" customWidth="1"/>
    <col min="13827" max="13827" width="17" style="31" customWidth="1"/>
    <col min="13828" max="13828" width="11.453125" style="31" customWidth="1"/>
    <col min="13829" max="13829" width="14.453125" style="31" customWidth="1"/>
    <col min="13830" max="13830" width="12.54296875" style="31" customWidth="1"/>
    <col min="13831" max="13835" width="13.6328125" style="31" customWidth="1"/>
    <col min="13836" max="13836" width="13.453125" style="31" customWidth="1"/>
    <col min="13837" max="14080" width="9.08984375" style="31"/>
    <col min="14081" max="14081" width="0" style="31" hidden="1" customWidth="1"/>
    <col min="14082" max="14082" width="25.54296875" style="31" customWidth="1"/>
    <col min="14083" max="14083" width="17" style="31" customWidth="1"/>
    <col min="14084" max="14084" width="11.453125" style="31" customWidth="1"/>
    <col min="14085" max="14085" width="14.453125" style="31" customWidth="1"/>
    <col min="14086" max="14086" width="12.54296875" style="31" customWidth="1"/>
    <col min="14087" max="14091" width="13.6328125" style="31" customWidth="1"/>
    <col min="14092" max="14092" width="13.453125" style="31" customWidth="1"/>
    <col min="14093" max="14336" width="9.08984375" style="31"/>
    <col min="14337" max="14337" width="0" style="31" hidden="1" customWidth="1"/>
    <col min="14338" max="14338" width="25.54296875" style="31" customWidth="1"/>
    <col min="14339" max="14339" width="17" style="31" customWidth="1"/>
    <col min="14340" max="14340" width="11.453125" style="31" customWidth="1"/>
    <col min="14341" max="14341" width="14.453125" style="31" customWidth="1"/>
    <col min="14342" max="14342" width="12.54296875" style="31" customWidth="1"/>
    <col min="14343" max="14347" width="13.6328125" style="31" customWidth="1"/>
    <col min="14348" max="14348" width="13.453125" style="31" customWidth="1"/>
    <col min="14349" max="14592" width="9.08984375" style="31"/>
    <col min="14593" max="14593" width="0" style="31" hidden="1" customWidth="1"/>
    <col min="14594" max="14594" width="25.54296875" style="31" customWidth="1"/>
    <col min="14595" max="14595" width="17" style="31" customWidth="1"/>
    <col min="14596" max="14596" width="11.453125" style="31" customWidth="1"/>
    <col min="14597" max="14597" width="14.453125" style="31" customWidth="1"/>
    <col min="14598" max="14598" width="12.54296875" style="31" customWidth="1"/>
    <col min="14599" max="14603" width="13.6328125" style="31" customWidth="1"/>
    <col min="14604" max="14604" width="13.453125" style="31" customWidth="1"/>
    <col min="14605" max="14848" width="9.08984375" style="31"/>
    <col min="14849" max="14849" width="0" style="31" hidden="1" customWidth="1"/>
    <col min="14850" max="14850" width="25.54296875" style="31" customWidth="1"/>
    <col min="14851" max="14851" width="17" style="31" customWidth="1"/>
    <col min="14852" max="14852" width="11.453125" style="31" customWidth="1"/>
    <col min="14853" max="14853" width="14.453125" style="31" customWidth="1"/>
    <col min="14854" max="14854" width="12.54296875" style="31" customWidth="1"/>
    <col min="14855" max="14859" width="13.6328125" style="31" customWidth="1"/>
    <col min="14860" max="14860" width="13.453125" style="31" customWidth="1"/>
    <col min="14861" max="15104" width="9.08984375" style="31"/>
    <col min="15105" max="15105" width="0" style="31" hidden="1" customWidth="1"/>
    <col min="15106" max="15106" width="25.54296875" style="31" customWidth="1"/>
    <col min="15107" max="15107" width="17" style="31" customWidth="1"/>
    <col min="15108" max="15108" width="11.453125" style="31" customWidth="1"/>
    <col min="15109" max="15109" width="14.453125" style="31" customWidth="1"/>
    <col min="15110" max="15110" width="12.54296875" style="31" customWidth="1"/>
    <col min="15111" max="15115" width="13.6328125" style="31" customWidth="1"/>
    <col min="15116" max="15116" width="13.453125" style="31" customWidth="1"/>
    <col min="15117" max="15360" width="9.08984375" style="31"/>
    <col min="15361" max="15361" width="0" style="31" hidden="1" customWidth="1"/>
    <col min="15362" max="15362" width="25.54296875" style="31" customWidth="1"/>
    <col min="15363" max="15363" width="17" style="31" customWidth="1"/>
    <col min="15364" max="15364" width="11.453125" style="31" customWidth="1"/>
    <col min="15365" max="15365" width="14.453125" style="31" customWidth="1"/>
    <col min="15366" max="15366" width="12.54296875" style="31" customWidth="1"/>
    <col min="15367" max="15371" width="13.6328125" style="31" customWidth="1"/>
    <col min="15372" max="15372" width="13.453125" style="31" customWidth="1"/>
    <col min="15373" max="15616" width="9.08984375" style="31"/>
    <col min="15617" max="15617" width="0" style="31" hidden="1" customWidth="1"/>
    <col min="15618" max="15618" width="25.54296875" style="31" customWidth="1"/>
    <col min="15619" max="15619" width="17" style="31" customWidth="1"/>
    <col min="15620" max="15620" width="11.453125" style="31" customWidth="1"/>
    <col min="15621" max="15621" width="14.453125" style="31" customWidth="1"/>
    <col min="15622" max="15622" width="12.54296875" style="31" customWidth="1"/>
    <col min="15623" max="15627" width="13.6328125" style="31" customWidth="1"/>
    <col min="15628" max="15628" width="13.453125" style="31" customWidth="1"/>
    <col min="15629" max="15872" width="9.08984375" style="31"/>
    <col min="15873" max="15873" width="0" style="31" hidden="1" customWidth="1"/>
    <col min="15874" max="15874" width="25.54296875" style="31" customWidth="1"/>
    <col min="15875" max="15875" width="17" style="31" customWidth="1"/>
    <col min="15876" max="15876" width="11.453125" style="31" customWidth="1"/>
    <col min="15877" max="15877" width="14.453125" style="31" customWidth="1"/>
    <col min="15878" max="15878" width="12.54296875" style="31" customWidth="1"/>
    <col min="15879" max="15883" width="13.6328125" style="31" customWidth="1"/>
    <col min="15884" max="15884" width="13.453125" style="31" customWidth="1"/>
    <col min="15885" max="16128" width="9.08984375" style="31"/>
    <col min="16129" max="16129" width="0" style="31" hidden="1" customWidth="1"/>
    <col min="16130" max="16130" width="25.54296875" style="31" customWidth="1"/>
    <col min="16131" max="16131" width="17" style="31" customWidth="1"/>
    <col min="16132" max="16132" width="11.453125" style="31" customWidth="1"/>
    <col min="16133" max="16133" width="14.453125" style="31" customWidth="1"/>
    <col min="16134" max="16134" width="12.54296875" style="31" customWidth="1"/>
    <col min="16135" max="16139" width="13.6328125" style="31" customWidth="1"/>
    <col min="16140" max="16140" width="13.453125" style="31" customWidth="1"/>
    <col min="16141" max="16384" width="9.08984375" style="31"/>
  </cols>
  <sheetData>
    <row r="2" spans="1:26" ht="40.5" customHeight="1" x14ac:dyDescent="0.3">
      <c r="B2" s="120" t="s">
        <v>66</v>
      </c>
      <c r="C2" s="121"/>
      <c r="D2" s="122"/>
      <c r="E2" s="122"/>
      <c r="F2" s="122"/>
      <c r="G2" s="122"/>
      <c r="H2" s="122"/>
      <c r="I2" s="122"/>
      <c r="J2" s="122"/>
      <c r="K2" s="122"/>
      <c r="L2" s="123"/>
    </row>
    <row r="3" spans="1:26" s="32" customFormat="1" ht="43.5" customHeight="1" x14ac:dyDescent="0.35">
      <c r="B3" s="125"/>
      <c r="C3" s="117" t="s">
        <v>67</v>
      </c>
      <c r="D3" s="117"/>
      <c r="E3" s="117"/>
      <c r="F3" s="111" t="s">
        <v>68</v>
      </c>
      <c r="G3" s="111" t="s">
        <v>69</v>
      </c>
      <c r="H3" s="111" t="s">
        <v>70</v>
      </c>
      <c r="I3" s="111" t="s">
        <v>71</v>
      </c>
      <c r="J3" s="111" t="s">
        <v>72</v>
      </c>
      <c r="K3" s="111" t="s">
        <v>73</v>
      </c>
      <c r="L3" s="111" t="s">
        <v>74</v>
      </c>
      <c r="M3" s="111"/>
    </row>
    <row r="4" spans="1:26" s="32" customFormat="1" ht="47.25" customHeight="1" x14ac:dyDescent="0.35">
      <c r="B4" s="116"/>
      <c r="C4" s="33" t="s">
        <v>75</v>
      </c>
      <c r="D4" s="33" t="s">
        <v>76</v>
      </c>
      <c r="E4" s="33" t="s">
        <v>77</v>
      </c>
      <c r="F4" s="112"/>
      <c r="G4" s="112"/>
      <c r="H4" s="112"/>
      <c r="I4" s="112"/>
      <c r="J4" s="112"/>
      <c r="K4" s="112"/>
      <c r="L4" s="112"/>
      <c r="M4" s="112"/>
    </row>
    <row r="5" spans="1:26" s="32" customFormat="1" ht="18" hidden="1" customHeight="1" x14ac:dyDescent="0.35">
      <c r="D5" s="34" t="s">
        <v>78</v>
      </c>
      <c r="E5" s="34" t="s">
        <v>79</v>
      </c>
      <c r="F5" s="35" t="s">
        <v>80</v>
      </c>
      <c r="G5" s="35" t="s">
        <v>81</v>
      </c>
      <c r="H5" s="34" t="s">
        <v>82</v>
      </c>
      <c r="I5" s="34" t="s">
        <v>83</v>
      </c>
      <c r="J5" s="36" t="s">
        <v>84</v>
      </c>
      <c r="K5" s="32" t="s">
        <v>85</v>
      </c>
      <c r="L5" s="32" t="s">
        <v>86</v>
      </c>
    </row>
    <row r="6" spans="1:26" s="32" customFormat="1" ht="25.5" customHeight="1" x14ac:dyDescent="0.35">
      <c r="B6" s="37" t="s">
        <v>0</v>
      </c>
      <c r="C6" s="38">
        <v>58827</v>
      </c>
      <c r="D6" s="38">
        <v>39651</v>
      </c>
      <c r="E6" s="38">
        <v>19176</v>
      </c>
      <c r="F6" s="38">
        <v>14549</v>
      </c>
      <c r="G6" s="38">
        <v>1548</v>
      </c>
      <c r="H6" s="38">
        <v>441</v>
      </c>
      <c r="I6" s="38">
        <v>54</v>
      </c>
      <c r="J6" s="38">
        <v>41</v>
      </c>
      <c r="K6" s="38">
        <v>4085</v>
      </c>
      <c r="L6" s="38">
        <f>L7+L48</f>
        <v>1441796.333333333</v>
      </c>
      <c r="M6" s="39"/>
      <c r="N6" s="40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s="37" customFormat="1" ht="26.25" customHeight="1" x14ac:dyDescent="0.35">
      <c r="A7" s="27"/>
      <c r="B7" s="37" t="s">
        <v>52</v>
      </c>
      <c r="C7" s="42">
        <v>32505</v>
      </c>
      <c r="D7" s="42">
        <v>21082</v>
      </c>
      <c r="E7" s="42">
        <v>11423</v>
      </c>
      <c r="F7" s="42">
        <v>8877</v>
      </c>
      <c r="G7" s="42">
        <v>778</v>
      </c>
      <c r="H7" s="42">
        <v>283</v>
      </c>
      <c r="I7" s="42">
        <v>25</v>
      </c>
      <c r="J7" s="42">
        <v>34</v>
      </c>
      <c r="K7" s="42">
        <v>3000</v>
      </c>
      <c r="L7" s="42">
        <f>945917.333333333+L33</f>
        <v>971119.33333333302</v>
      </c>
      <c r="N7" s="41"/>
      <c r="O7" s="41"/>
      <c r="P7" s="41"/>
      <c r="Q7" s="41"/>
      <c r="R7" s="41"/>
      <c r="S7" s="41"/>
      <c r="T7" s="41"/>
      <c r="U7" s="41"/>
      <c r="V7" s="41"/>
      <c r="W7" s="41"/>
    </row>
    <row r="8" spans="1:26" s="32" customFormat="1" ht="12.5" x14ac:dyDescent="0.35">
      <c r="A8" s="28">
        <v>51</v>
      </c>
      <c r="B8" s="32" t="s">
        <v>5</v>
      </c>
      <c r="C8" s="41">
        <v>211</v>
      </c>
      <c r="D8" s="43">
        <v>74</v>
      </c>
      <c r="E8" s="43">
        <v>137</v>
      </c>
      <c r="F8" s="43">
        <v>130</v>
      </c>
      <c r="G8" s="43">
        <v>8</v>
      </c>
      <c r="H8" s="43">
        <v>9</v>
      </c>
      <c r="I8" s="43">
        <v>3</v>
      </c>
      <c r="J8" s="43">
        <v>2</v>
      </c>
      <c r="K8" s="43">
        <v>60</v>
      </c>
      <c r="L8" s="43">
        <v>14886</v>
      </c>
      <c r="N8" s="44"/>
      <c r="O8" s="41"/>
      <c r="P8" s="41"/>
      <c r="Q8" s="41"/>
      <c r="R8" s="41"/>
      <c r="S8" s="41"/>
      <c r="T8" s="41"/>
      <c r="U8" s="41"/>
      <c r="V8" s="41"/>
      <c r="W8" s="41"/>
    </row>
    <row r="9" spans="1:26" s="32" customFormat="1" ht="12.5" x14ac:dyDescent="0.35">
      <c r="A9" s="28">
        <v>52</v>
      </c>
      <c r="B9" s="32" t="s">
        <v>6</v>
      </c>
      <c r="C9" s="41">
        <v>1368</v>
      </c>
      <c r="D9" s="43">
        <v>1170</v>
      </c>
      <c r="E9" s="43">
        <v>198</v>
      </c>
      <c r="F9" s="43">
        <v>0</v>
      </c>
      <c r="G9" s="43">
        <v>0</v>
      </c>
      <c r="H9" s="43">
        <v>5</v>
      </c>
      <c r="I9" s="43">
        <v>0</v>
      </c>
      <c r="J9" s="43">
        <v>0</v>
      </c>
      <c r="K9" s="43">
        <v>38</v>
      </c>
      <c r="L9" s="43">
        <v>19864</v>
      </c>
      <c r="N9" s="41"/>
      <c r="O9" s="41"/>
      <c r="P9" s="41"/>
      <c r="Q9" s="41"/>
      <c r="R9" s="41"/>
      <c r="S9" s="41"/>
      <c r="T9" s="41"/>
      <c r="U9" s="41"/>
      <c r="V9" s="41"/>
      <c r="W9" s="41"/>
    </row>
    <row r="10" spans="1:26" s="32" customFormat="1" ht="12.5" x14ac:dyDescent="0.35">
      <c r="A10" s="28">
        <v>86</v>
      </c>
      <c r="B10" s="32" t="s">
        <v>7</v>
      </c>
      <c r="C10" s="41">
        <v>1650</v>
      </c>
      <c r="D10" s="43">
        <v>1283</v>
      </c>
      <c r="E10" s="43">
        <v>367</v>
      </c>
      <c r="F10" s="43">
        <v>313</v>
      </c>
      <c r="G10" s="43">
        <v>14</v>
      </c>
      <c r="H10" s="43">
        <v>1</v>
      </c>
      <c r="I10" s="43">
        <v>0</v>
      </c>
      <c r="J10" s="43">
        <v>0</v>
      </c>
      <c r="K10" s="43">
        <v>0</v>
      </c>
      <c r="L10" s="43" t="s">
        <v>95</v>
      </c>
      <c r="N10" s="41"/>
      <c r="O10" s="41"/>
      <c r="P10" s="41"/>
      <c r="Q10" s="41"/>
      <c r="R10" s="41"/>
      <c r="S10" s="41"/>
      <c r="T10" s="41"/>
      <c r="U10" s="41"/>
      <c r="V10" s="41"/>
      <c r="W10" s="41"/>
    </row>
    <row r="11" spans="1:26" s="32" customFormat="1" ht="12.5" x14ac:dyDescent="0.35">
      <c r="A11" s="28">
        <v>53</v>
      </c>
      <c r="B11" s="32" t="s">
        <v>8</v>
      </c>
      <c r="C11" s="41">
        <v>491</v>
      </c>
      <c r="D11" s="43">
        <v>162</v>
      </c>
      <c r="E11" s="43">
        <v>329</v>
      </c>
      <c r="F11" s="43">
        <v>325</v>
      </c>
      <c r="G11" s="43">
        <v>2</v>
      </c>
      <c r="H11" s="43">
        <v>3</v>
      </c>
      <c r="I11" s="43">
        <v>0</v>
      </c>
      <c r="J11" s="43">
        <v>0</v>
      </c>
      <c r="K11" s="43">
        <v>67</v>
      </c>
      <c r="L11" s="43">
        <v>11307</v>
      </c>
      <c r="N11" s="41"/>
      <c r="O11" s="41"/>
      <c r="P11" s="41"/>
      <c r="Q11" s="41"/>
      <c r="R11" s="41"/>
      <c r="S11" s="41"/>
      <c r="T11" s="41"/>
      <c r="U11" s="41"/>
      <c r="V11" s="41"/>
      <c r="W11" s="41"/>
    </row>
    <row r="12" spans="1:26" s="32" customFormat="1" ht="12.5" x14ac:dyDescent="0.35">
      <c r="A12" s="28">
        <v>54</v>
      </c>
      <c r="B12" s="32" t="s">
        <v>9</v>
      </c>
      <c r="C12" s="41">
        <v>493</v>
      </c>
      <c r="D12" s="43">
        <v>342</v>
      </c>
      <c r="E12" s="43">
        <v>151</v>
      </c>
      <c r="F12" s="43">
        <v>90</v>
      </c>
      <c r="G12" s="43">
        <v>4</v>
      </c>
      <c r="H12" s="43">
        <v>4</v>
      </c>
      <c r="I12" s="43">
        <v>0</v>
      </c>
      <c r="J12" s="43">
        <v>0</v>
      </c>
      <c r="K12" s="43">
        <v>4</v>
      </c>
      <c r="L12" s="43">
        <v>25230</v>
      </c>
      <c r="N12" s="41"/>
      <c r="O12" s="41"/>
      <c r="P12" s="41"/>
      <c r="Q12" s="41"/>
      <c r="R12" s="41"/>
      <c r="S12" s="41"/>
      <c r="T12" s="41"/>
      <c r="U12" s="41"/>
      <c r="V12" s="41"/>
      <c r="W12" s="41"/>
    </row>
    <row r="13" spans="1:26" s="32" customFormat="1" ht="12.5" x14ac:dyDescent="0.35">
      <c r="A13" s="28">
        <v>55</v>
      </c>
      <c r="B13" s="32" t="s">
        <v>10</v>
      </c>
      <c r="C13" s="41">
        <v>2414</v>
      </c>
      <c r="D13" s="43">
        <v>1718</v>
      </c>
      <c r="E13" s="43">
        <v>696</v>
      </c>
      <c r="F13" s="43">
        <v>597</v>
      </c>
      <c r="G13" s="43">
        <v>93</v>
      </c>
      <c r="H13" s="43">
        <v>9</v>
      </c>
      <c r="I13" s="43">
        <v>1</v>
      </c>
      <c r="J13" s="43">
        <v>1</v>
      </c>
      <c r="K13" s="43">
        <v>257</v>
      </c>
      <c r="L13" s="43">
        <v>26462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</row>
    <row r="14" spans="1:26" s="32" customFormat="1" ht="12.5" x14ac:dyDescent="0.35">
      <c r="A14" s="28">
        <v>56</v>
      </c>
      <c r="B14" s="32" t="s">
        <v>11</v>
      </c>
      <c r="C14" s="41">
        <v>323</v>
      </c>
      <c r="D14" s="43">
        <v>261</v>
      </c>
      <c r="E14" s="43">
        <v>62</v>
      </c>
      <c r="F14" s="43">
        <v>52</v>
      </c>
      <c r="G14" s="43">
        <v>0</v>
      </c>
      <c r="H14" s="43">
        <v>5</v>
      </c>
      <c r="I14" s="43">
        <v>0</v>
      </c>
      <c r="J14" s="43">
        <v>0</v>
      </c>
      <c r="K14" s="43">
        <v>14</v>
      </c>
      <c r="L14" s="43">
        <v>13985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</row>
    <row r="15" spans="1:26" s="32" customFormat="1" ht="12.5" x14ac:dyDescent="0.35">
      <c r="A15" s="28">
        <v>57</v>
      </c>
      <c r="B15" s="32" t="s">
        <v>12</v>
      </c>
      <c r="C15" s="41">
        <v>854</v>
      </c>
      <c r="D15" s="43">
        <v>638</v>
      </c>
      <c r="E15" s="43">
        <v>216</v>
      </c>
      <c r="F15" s="43">
        <v>205</v>
      </c>
      <c r="G15" s="43">
        <v>1</v>
      </c>
      <c r="H15" s="43">
        <v>1</v>
      </c>
      <c r="I15" s="43">
        <v>0</v>
      </c>
      <c r="J15" s="43">
        <v>0</v>
      </c>
      <c r="K15" s="43">
        <v>22</v>
      </c>
      <c r="L15" s="43">
        <v>16765</v>
      </c>
      <c r="N15" s="41"/>
      <c r="O15" s="41"/>
      <c r="P15" s="41"/>
      <c r="Q15" s="41"/>
      <c r="R15" s="41"/>
      <c r="S15" s="41"/>
      <c r="T15" s="41"/>
      <c r="U15" s="41"/>
      <c r="V15" s="41"/>
      <c r="W15" s="41"/>
    </row>
    <row r="16" spans="1:26" s="32" customFormat="1" ht="12.5" x14ac:dyDescent="0.35">
      <c r="A16" s="28">
        <v>59</v>
      </c>
      <c r="B16" s="32" t="s">
        <v>13</v>
      </c>
      <c r="C16" s="41">
        <v>322</v>
      </c>
      <c r="D16" s="43">
        <v>222</v>
      </c>
      <c r="E16" s="43">
        <v>100</v>
      </c>
      <c r="F16" s="43">
        <v>94</v>
      </c>
      <c r="G16" s="43">
        <v>21</v>
      </c>
      <c r="H16" s="43">
        <v>4</v>
      </c>
      <c r="I16" s="43">
        <v>1</v>
      </c>
      <c r="J16" s="43">
        <v>0</v>
      </c>
      <c r="K16" s="43">
        <v>30</v>
      </c>
      <c r="L16" s="43">
        <v>6969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</row>
    <row r="17" spans="1:23" s="32" customFormat="1" ht="12.5" x14ac:dyDescent="0.35">
      <c r="A17" s="28">
        <v>60</v>
      </c>
      <c r="B17" s="32" t="s">
        <v>14</v>
      </c>
      <c r="C17" s="41">
        <v>1114</v>
      </c>
      <c r="D17" s="43">
        <v>698</v>
      </c>
      <c r="E17" s="43">
        <v>416</v>
      </c>
      <c r="F17" s="43">
        <v>378</v>
      </c>
      <c r="G17" s="43">
        <v>37</v>
      </c>
      <c r="H17" s="43">
        <v>11</v>
      </c>
      <c r="I17" s="43">
        <v>1</v>
      </c>
      <c r="J17" s="43">
        <v>1</v>
      </c>
      <c r="K17" s="43">
        <v>464</v>
      </c>
      <c r="L17" s="43">
        <v>34845</v>
      </c>
      <c r="N17" s="41"/>
      <c r="O17" s="41"/>
      <c r="P17" s="41"/>
      <c r="Q17" s="41"/>
      <c r="R17" s="41"/>
      <c r="S17" s="41"/>
      <c r="T17" s="41"/>
      <c r="U17" s="41"/>
      <c r="V17" s="41"/>
      <c r="W17" s="41"/>
    </row>
    <row r="18" spans="1:23" s="32" customFormat="1" ht="12.5" x14ac:dyDescent="0.35">
      <c r="A18" s="28">
        <v>61</v>
      </c>
      <c r="B18" s="45" t="s">
        <v>53</v>
      </c>
      <c r="C18" s="46">
        <v>545</v>
      </c>
      <c r="D18" s="43">
        <v>189</v>
      </c>
      <c r="E18" s="43">
        <v>356</v>
      </c>
      <c r="F18" s="43">
        <v>309</v>
      </c>
      <c r="G18" s="43">
        <v>27</v>
      </c>
      <c r="H18" s="43">
        <v>30</v>
      </c>
      <c r="I18" s="43">
        <v>1</v>
      </c>
      <c r="J18" s="43">
        <v>0</v>
      </c>
      <c r="K18" s="43">
        <v>85</v>
      </c>
      <c r="L18" s="43">
        <v>86234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</row>
    <row r="19" spans="1:23" s="98" customFormat="1" ht="12.5" x14ac:dyDescent="0.35">
      <c r="A19" s="28"/>
      <c r="B19" s="45" t="s">
        <v>113</v>
      </c>
      <c r="C19" s="46" t="s">
        <v>114</v>
      </c>
      <c r="D19" s="46" t="s">
        <v>114</v>
      </c>
      <c r="E19" s="46" t="s">
        <v>114</v>
      </c>
      <c r="F19" s="46" t="s">
        <v>114</v>
      </c>
      <c r="G19" s="46" t="s">
        <v>114</v>
      </c>
      <c r="H19" s="46" t="s">
        <v>114</v>
      </c>
      <c r="I19" s="46" t="s">
        <v>114</v>
      </c>
      <c r="J19" s="46" t="s">
        <v>114</v>
      </c>
      <c r="K19" s="46" t="s">
        <v>114</v>
      </c>
      <c r="L19" s="46" t="s">
        <v>114</v>
      </c>
      <c r="N19" s="41"/>
      <c r="O19" s="41"/>
      <c r="P19" s="41"/>
      <c r="Q19" s="41"/>
      <c r="R19" s="41"/>
      <c r="S19" s="41"/>
      <c r="T19" s="41"/>
      <c r="U19" s="41"/>
      <c r="V19" s="41"/>
      <c r="W19" s="41"/>
    </row>
    <row r="20" spans="1:23" s="32" customFormat="1" ht="12.5" x14ac:dyDescent="0.35">
      <c r="A20" s="28">
        <v>62</v>
      </c>
      <c r="B20" s="32" t="s">
        <v>16</v>
      </c>
      <c r="C20" s="41">
        <v>825</v>
      </c>
      <c r="D20" s="43">
        <v>682</v>
      </c>
      <c r="E20" s="43">
        <v>143</v>
      </c>
      <c r="F20" s="43">
        <v>119</v>
      </c>
      <c r="G20" s="43">
        <v>35</v>
      </c>
      <c r="H20" s="43">
        <v>3</v>
      </c>
      <c r="I20" s="43">
        <v>0</v>
      </c>
      <c r="J20" s="43">
        <v>0</v>
      </c>
      <c r="K20" s="43">
        <v>27</v>
      </c>
      <c r="L20" s="43">
        <v>49242</v>
      </c>
      <c r="N20" s="41"/>
      <c r="O20" s="41"/>
      <c r="P20" s="41"/>
      <c r="Q20" s="41"/>
      <c r="R20" s="41"/>
      <c r="S20" s="41"/>
      <c r="T20" s="41"/>
      <c r="U20" s="41"/>
      <c r="V20" s="41"/>
      <c r="W20" s="41"/>
    </row>
    <row r="21" spans="1:23" s="32" customFormat="1" ht="12.5" x14ac:dyDescent="0.35">
      <c r="A21" s="28">
        <v>58</v>
      </c>
      <c r="B21" s="32" t="s">
        <v>17</v>
      </c>
      <c r="C21" s="41">
        <v>1816</v>
      </c>
      <c r="D21" s="43">
        <v>1196</v>
      </c>
      <c r="E21" s="43">
        <v>620</v>
      </c>
      <c r="F21" s="43">
        <v>616</v>
      </c>
      <c r="G21" s="43">
        <v>1</v>
      </c>
      <c r="H21" s="43">
        <v>6</v>
      </c>
      <c r="I21" s="43">
        <v>0</v>
      </c>
      <c r="J21" s="43">
        <v>0</v>
      </c>
      <c r="K21" s="43">
        <v>108</v>
      </c>
      <c r="L21" s="43">
        <v>15600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</row>
    <row r="22" spans="1:23" s="32" customFormat="1" ht="12.5" x14ac:dyDescent="0.35">
      <c r="A22" s="28">
        <v>63</v>
      </c>
      <c r="B22" s="32" t="s">
        <v>18</v>
      </c>
      <c r="C22" s="41">
        <v>366</v>
      </c>
      <c r="D22" s="43">
        <v>155</v>
      </c>
      <c r="E22" s="43">
        <v>211</v>
      </c>
      <c r="F22" s="43">
        <v>202</v>
      </c>
      <c r="G22" s="43">
        <v>7</v>
      </c>
      <c r="H22" s="43">
        <v>16</v>
      </c>
      <c r="I22" s="43">
        <v>3</v>
      </c>
      <c r="J22" s="43">
        <v>1</v>
      </c>
      <c r="K22" s="43">
        <v>193</v>
      </c>
      <c r="L22" s="43">
        <v>24959</v>
      </c>
      <c r="N22" s="41"/>
      <c r="O22" s="41"/>
      <c r="P22" s="41"/>
      <c r="Q22" s="41"/>
      <c r="R22" s="41"/>
      <c r="S22" s="41"/>
      <c r="T22" s="41"/>
      <c r="U22" s="41"/>
      <c r="V22" s="41"/>
      <c r="W22" s="41"/>
    </row>
    <row r="23" spans="1:23" s="32" customFormat="1" ht="12.5" x14ac:dyDescent="0.35">
      <c r="A23" s="28">
        <v>64</v>
      </c>
      <c r="B23" s="32" t="s">
        <v>19</v>
      </c>
      <c r="C23" s="41">
        <v>3074</v>
      </c>
      <c r="D23" s="43">
        <v>2257</v>
      </c>
      <c r="E23" s="43">
        <v>817</v>
      </c>
      <c r="F23" s="43">
        <v>0</v>
      </c>
      <c r="G23" s="43">
        <v>11</v>
      </c>
      <c r="H23" s="43">
        <v>6</v>
      </c>
      <c r="I23" s="43">
        <v>0</v>
      </c>
      <c r="J23" s="43">
        <v>0</v>
      </c>
      <c r="K23" s="43">
        <v>11</v>
      </c>
      <c r="L23" s="43">
        <v>32290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</row>
    <row r="24" spans="1:23" s="32" customFormat="1" ht="12.5" x14ac:dyDescent="0.35">
      <c r="A24" s="28">
        <v>65</v>
      </c>
      <c r="B24" s="32" t="s">
        <v>20</v>
      </c>
      <c r="C24" s="41">
        <v>732</v>
      </c>
      <c r="D24" s="43">
        <v>576</v>
      </c>
      <c r="E24" s="43">
        <v>156</v>
      </c>
      <c r="F24" s="43">
        <v>146</v>
      </c>
      <c r="G24" s="43">
        <v>9</v>
      </c>
      <c r="H24" s="43">
        <v>9</v>
      </c>
      <c r="I24" s="43">
        <v>0</v>
      </c>
      <c r="J24" s="43">
        <v>0</v>
      </c>
      <c r="K24" s="43">
        <v>12</v>
      </c>
      <c r="L24" s="43">
        <v>15536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</row>
    <row r="25" spans="1:23" s="32" customFormat="1" ht="12.5" x14ac:dyDescent="0.35">
      <c r="A25" s="28">
        <v>67</v>
      </c>
      <c r="B25" s="32" t="s">
        <v>23</v>
      </c>
      <c r="C25" s="41">
        <v>703</v>
      </c>
      <c r="D25" s="43">
        <v>293</v>
      </c>
      <c r="E25" s="43">
        <v>410</v>
      </c>
      <c r="F25" s="43">
        <v>366</v>
      </c>
      <c r="G25" s="43">
        <v>6</v>
      </c>
      <c r="H25" s="43">
        <v>24</v>
      </c>
      <c r="I25" s="43">
        <v>0</v>
      </c>
      <c r="J25" s="43">
        <v>9</v>
      </c>
      <c r="K25" s="43">
        <v>181</v>
      </c>
      <c r="L25" s="43">
        <v>102555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</row>
    <row r="26" spans="1:23" s="32" customFormat="1" ht="12.5" x14ac:dyDescent="0.35">
      <c r="A26" s="28">
        <v>68</v>
      </c>
      <c r="B26" s="32" t="s">
        <v>54</v>
      </c>
      <c r="C26" s="41">
        <v>528</v>
      </c>
      <c r="D26" s="43">
        <v>364</v>
      </c>
      <c r="E26" s="43">
        <v>164</v>
      </c>
      <c r="F26" s="43">
        <v>188</v>
      </c>
      <c r="G26" s="43">
        <v>9</v>
      </c>
      <c r="H26" s="43">
        <v>7</v>
      </c>
      <c r="I26" s="43">
        <v>0</v>
      </c>
      <c r="J26" s="43">
        <v>0</v>
      </c>
      <c r="K26" s="43">
        <v>20</v>
      </c>
      <c r="L26" s="43">
        <v>16591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</row>
    <row r="27" spans="1:23" s="32" customFormat="1" ht="12.5" x14ac:dyDescent="0.35">
      <c r="A27" s="28">
        <v>69</v>
      </c>
      <c r="B27" s="32" t="s">
        <v>25</v>
      </c>
      <c r="C27" s="41">
        <v>404</v>
      </c>
      <c r="D27" s="43">
        <v>178</v>
      </c>
      <c r="E27" s="43">
        <v>226</v>
      </c>
      <c r="F27" s="43">
        <v>40</v>
      </c>
      <c r="G27" s="43">
        <v>40</v>
      </c>
      <c r="H27" s="43">
        <v>6</v>
      </c>
      <c r="I27" s="43">
        <v>0</v>
      </c>
      <c r="J27" s="43">
        <v>0</v>
      </c>
      <c r="K27" s="43">
        <v>105</v>
      </c>
      <c r="L27" s="43">
        <v>21828</v>
      </c>
      <c r="N27" s="41"/>
      <c r="O27" s="41"/>
      <c r="P27" s="41"/>
      <c r="Q27" s="41"/>
      <c r="R27" s="41"/>
      <c r="S27" s="41"/>
      <c r="T27" s="41"/>
      <c r="U27" s="41"/>
      <c r="V27" s="41"/>
      <c r="W27" s="41"/>
    </row>
    <row r="28" spans="1:23" s="32" customFormat="1" ht="12.5" x14ac:dyDescent="0.35">
      <c r="A28" s="28">
        <v>70</v>
      </c>
      <c r="B28" s="32" t="s">
        <v>26</v>
      </c>
      <c r="C28" s="41">
        <v>1397</v>
      </c>
      <c r="D28" s="43">
        <v>1139</v>
      </c>
      <c r="E28" s="43">
        <v>258</v>
      </c>
      <c r="F28" s="43">
        <v>280</v>
      </c>
      <c r="G28" s="43">
        <v>22</v>
      </c>
      <c r="H28" s="43">
        <v>6</v>
      </c>
      <c r="I28" s="43">
        <v>0</v>
      </c>
      <c r="J28" s="43">
        <v>0</v>
      </c>
      <c r="K28" s="43">
        <v>158</v>
      </c>
      <c r="L28" s="43">
        <v>37275</v>
      </c>
      <c r="N28" s="41"/>
      <c r="O28" s="41"/>
      <c r="P28" s="41"/>
      <c r="Q28" s="41"/>
      <c r="R28" s="41"/>
      <c r="S28" s="41"/>
      <c r="T28" s="41"/>
      <c r="U28" s="41"/>
      <c r="V28" s="41"/>
      <c r="W28" s="41"/>
    </row>
    <row r="29" spans="1:23" s="32" customFormat="1" ht="12.5" x14ac:dyDescent="0.35">
      <c r="A29" s="28">
        <v>71</v>
      </c>
      <c r="B29" s="32" t="s">
        <v>55</v>
      </c>
      <c r="C29" s="41">
        <v>199</v>
      </c>
      <c r="D29" s="43">
        <v>111</v>
      </c>
      <c r="E29" s="43">
        <v>88</v>
      </c>
      <c r="F29" s="43">
        <v>86</v>
      </c>
      <c r="G29" s="43">
        <v>2</v>
      </c>
      <c r="H29" s="43">
        <v>2</v>
      </c>
      <c r="I29" s="43">
        <v>1</v>
      </c>
      <c r="J29" s="43">
        <v>0</v>
      </c>
      <c r="K29" s="43">
        <v>1</v>
      </c>
      <c r="L29" s="43">
        <v>6239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</row>
    <row r="30" spans="1:23" s="32" customFormat="1" ht="12.5" x14ac:dyDescent="0.35">
      <c r="A30" s="28">
        <v>73</v>
      </c>
      <c r="B30" s="32" t="s">
        <v>29</v>
      </c>
      <c r="C30" s="41">
        <v>570</v>
      </c>
      <c r="D30" s="43">
        <v>439</v>
      </c>
      <c r="E30" s="43">
        <v>131</v>
      </c>
      <c r="F30" s="43">
        <v>0</v>
      </c>
      <c r="G30" s="43">
        <v>33</v>
      </c>
      <c r="H30" s="43">
        <v>10</v>
      </c>
      <c r="I30" s="43">
        <v>2</v>
      </c>
      <c r="J30" s="43">
        <v>0</v>
      </c>
      <c r="K30" s="43">
        <v>0</v>
      </c>
      <c r="L30" s="43">
        <v>16834</v>
      </c>
      <c r="N30" s="41"/>
      <c r="O30" s="41"/>
      <c r="P30" s="41"/>
      <c r="Q30" s="41"/>
      <c r="R30" s="41"/>
      <c r="S30" s="41"/>
      <c r="T30" s="41"/>
      <c r="U30" s="41"/>
      <c r="V30" s="41"/>
      <c r="W30" s="41"/>
    </row>
    <row r="31" spans="1:23" s="32" customFormat="1" ht="12.5" x14ac:dyDescent="0.35">
      <c r="A31" s="28">
        <v>74</v>
      </c>
      <c r="B31" s="32" t="s">
        <v>30</v>
      </c>
      <c r="C31" s="41">
        <v>2679</v>
      </c>
      <c r="D31" s="43">
        <v>915</v>
      </c>
      <c r="E31" s="43">
        <v>1764</v>
      </c>
      <c r="F31" s="43">
        <v>1248</v>
      </c>
      <c r="G31" s="43">
        <v>276</v>
      </c>
      <c r="H31" s="43">
        <v>17</v>
      </c>
      <c r="I31" s="43">
        <v>0</v>
      </c>
      <c r="J31" s="43">
        <v>20</v>
      </c>
      <c r="K31" s="43">
        <v>171</v>
      </c>
      <c r="L31" s="43">
        <v>32627</v>
      </c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1:23" s="32" customFormat="1" ht="12.5" x14ac:dyDescent="0.35">
      <c r="A32" s="28">
        <v>75</v>
      </c>
      <c r="B32" s="32" t="s">
        <v>31</v>
      </c>
      <c r="C32" s="41">
        <v>621</v>
      </c>
      <c r="D32" s="43">
        <v>469</v>
      </c>
      <c r="E32" s="43">
        <v>152</v>
      </c>
      <c r="F32" s="43">
        <v>281</v>
      </c>
      <c r="G32" s="43">
        <v>23</v>
      </c>
      <c r="H32" s="43">
        <v>4</v>
      </c>
      <c r="I32" s="43">
        <v>1</v>
      </c>
      <c r="J32" s="43">
        <v>0</v>
      </c>
      <c r="K32" s="43">
        <v>163</v>
      </c>
      <c r="L32" s="43">
        <v>21687</v>
      </c>
      <c r="N32" s="41"/>
      <c r="O32" s="41"/>
      <c r="P32" s="41"/>
      <c r="Q32" s="41"/>
      <c r="R32" s="41"/>
      <c r="S32" s="41"/>
      <c r="T32" s="41"/>
      <c r="U32" s="41"/>
      <c r="V32" s="41"/>
      <c r="W32" s="41"/>
    </row>
    <row r="33" spans="1:23" s="32" customFormat="1" ht="14.5" x14ac:dyDescent="0.35">
      <c r="A33" s="28">
        <v>76</v>
      </c>
      <c r="B33" s="32" t="s">
        <v>87</v>
      </c>
      <c r="C33" s="41">
        <v>357</v>
      </c>
      <c r="D33" s="43">
        <v>242</v>
      </c>
      <c r="E33" s="43">
        <v>115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25202</v>
      </c>
      <c r="N33" s="41"/>
      <c r="O33" s="41"/>
      <c r="P33" s="41"/>
      <c r="Q33" s="41"/>
      <c r="R33" s="41"/>
      <c r="S33" s="41"/>
      <c r="T33" s="41"/>
      <c r="U33" s="41"/>
      <c r="V33" s="41"/>
      <c r="W33" s="41"/>
    </row>
    <row r="34" spans="1:23" s="32" customFormat="1" ht="12.5" x14ac:dyDescent="0.35">
      <c r="A34" s="28">
        <v>79</v>
      </c>
      <c r="B34" s="32" t="s">
        <v>34</v>
      </c>
      <c r="C34" s="41">
        <v>940</v>
      </c>
      <c r="D34" s="43">
        <v>738</v>
      </c>
      <c r="E34" s="43">
        <v>202</v>
      </c>
      <c r="F34" s="43">
        <v>197</v>
      </c>
      <c r="G34" s="43">
        <v>5</v>
      </c>
      <c r="H34" s="43">
        <v>5</v>
      </c>
      <c r="I34" s="43">
        <v>1</v>
      </c>
      <c r="J34" s="43">
        <v>0</v>
      </c>
      <c r="K34" s="43">
        <v>222</v>
      </c>
      <c r="L34" s="43">
        <v>21279</v>
      </c>
      <c r="N34" s="41"/>
      <c r="O34" s="41"/>
      <c r="P34" s="41"/>
      <c r="Q34" s="41"/>
      <c r="R34" s="41"/>
      <c r="S34" s="41"/>
      <c r="T34" s="41"/>
      <c r="U34" s="41"/>
      <c r="V34" s="41"/>
      <c r="W34" s="41"/>
    </row>
    <row r="35" spans="1:23" s="32" customFormat="1" ht="12.5" x14ac:dyDescent="0.35">
      <c r="A35" s="28">
        <v>80</v>
      </c>
      <c r="B35" s="32" t="s">
        <v>35</v>
      </c>
      <c r="C35" s="41">
        <v>1613</v>
      </c>
      <c r="D35" s="43">
        <v>796</v>
      </c>
      <c r="E35" s="43">
        <v>817</v>
      </c>
      <c r="F35" s="43">
        <v>789</v>
      </c>
      <c r="G35" s="43">
        <v>16</v>
      </c>
      <c r="H35" s="43">
        <v>12</v>
      </c>
      <c r="I35" s="43">
        <v>9</v>
      </c>
      <c r="J35" s="43">
        <v>0</v>
      </c>
      <c r="K35" s="43">
        <v>100</v>
      </c>
      <c r="L35" s="43">
        <v>43347</v>
      </c>
      <c r="N35" s="41"/>
      <c r="O35" s="41"/>
      <c r="P35" s="41"/>
      <c r="Q35" s="41"/>
      <c r="R35" s="41"/>
      <c r="S35" s="41"/>
      <c r="T35" s="41"/>
      <c r="U35" s="41"/>
      <c r="V35" s="41"/>
      <c r="W35" s="41"/>
    </row>
    <row r="36" spans="1:23" s="32" customFormat="1" ht="12.5" x14ac:dyDescent="0.35">
      <c r="A36" s="28">
        <v>81</v>
      </c>
      <c r="B36" s="32" t="s">
        <v>36</v>
      </c>
      <c r="C36" s="41">
        <v>1069</v>
      </c>
      <c r="D36" s="43">
        <v>690</v>
      </c>
      <c r="E36" s="43">
        <v>379</v>
      </c>
      <c r="F36" s="43">
        <v>324</v>
      </c>
      <c r="G36" s="43">
        <v>18</v>
      </c>
      <c r="H36" s="43">
        <v>18</v>
      </c>
      <c r="I36" s="43">
        <v>0</v>
      </c>
      <c r="J36" s="43">
        <v>0</v>
      </c>
      <c r="K36" s="43">
        <v>37</v>
      </c>
      <c r="L36" s="43">
        <v>19202</v>
      </c>
      <c r="N36" s="41"/>
      <c r="O36" s="41"/>
      <c r="P36" s="41"/>
      <c r="Q36" s="41"/>
      <c r="R36" s="41"/>
      <c r="S36" s="41"/>
      <c r="T36" s="41"/>
      <c r="U36" s="41"/>
      <c r="V36" s="41"/>
      <c r="W36" s="41"/>
    </row>
    <row r="37" spans="1:23" s="32" customFormat="1" ht="12.5" x14ac:dyDescent="0.35">
      <c r="A37" s="28">
        <v>83</v>
      </c>
      <c r="B37" s="32" t="s">
        <v>37</v>
      </c>
      <c r="C37" s="41">
        <v>693</v>
      </c>
      <c r="D37" s="43">
        <v>302</v>
      </c>
      <c r="E37" s="43">
        <v>391</v>
      </c>
      <c r="F37" s="43">
        <v>350</v>
      </c>
      <c r="G37" s="43">
        <v>0</v>
      </c>
      <c r="H37" s="43">
        <v>1</v>
      </c>
      <c r="I37" s="43">
        <v>0</v>
      </c>
      <c r="J37" s="43">
        <v>0</v>
      </c>
      <c r="K37" s="43">
        <v>38</v>
      </c>
      <c r="L37" s="43">
        <v>8465</v>
      </c>
      <c r="N37" s="41"/>
      <c r="O37" s="41"/>
      <c r="P37" s="41"/>
      <c r="Q37" s="41"/>
      <c r="R37" s="41"/>
      <c r="S37" s="41"/>
      <c r="T37" s="41"/>
      <c r="U37" s="41"/>
      <c r="V37" s="41"/>
      <c r="W37" s="41"/>
    </row>
    <row r="38" spans="1:23" s="32" customFormat="1" ht="12.5" x14ac:dyDescent="0.35">
      <c r="A38" s="28">
        <v>84</v>
      </c>
      <c r="B38" s="32" t="s">
        <v>38</v>
      </c>
      <c r="C38" s="41">
        <v>614</v>
      </c>
      <c r="D38" s="43">
        <v>398</v>
      </c>
      <c r="E38" s="43">
        <v>216</v>
      </c>
      <c r="F38" s="43">
        <v>200</v>
      </c>
      <c r="G38" s="43">
        <v>11</v>
      </c>
      <c r="H38" s="43">
        <v>11</v>
      </c>
      <c r="I38" s="43">
        <v>1</v>
      </c>
      <c r="J38" s="43">
        <v>0</v>
      </c>
      <c r="K38" s="43">
        <v>122</v>
      </c>
      <c r="L38" s="43">
        <v>24890</v>
      </c>
      <c r="N38" s="41"/>
      <c r="O38" s="41"/>
      <c r="P38" s="41"/>
      <c r="Q38" s="41"/>
      <c r="R38" s="41"/>
      <c r="S38" s="41"/>
      <c r="T38" s="41"/>
      <c r="U38" s="41"/>
      <c r="V38" s="41"/>
      <c r="W38" s="41"/>
    </row>
    <row r="39" spans="1:23" s="32" customFormat="1" ht="12.5" x14ac:dyDescent="0.35">
      <c r="A39" s="28">
        <v>85</v>
      </c>
      <c r="B39" s="32" t="s">
        <v>39</v>
      </c>
      <c r="C39" s="41">
        <v>341</v>
      </c>
      <c r="D39" s="43">
        <v>110</v>
      </c>
      <c r="E39" s="43">
        <v>231</v>
      </c>
      <c r="F39" s="43">
        <v>222</v>
      </c>
      <c r="G39" s="43">
        <v>8</v>
      </c>
      <c r="H39" s="43">
        <v>6</v>
      </c>
      <c r="I39" s="43">
        <v>0</v>
      </c>
      <c r="J39" s="43">
        <v>0</v>
      </c>
      <c r="K39" s="43">
        <v>58</v>
      </c>
      <c r="L39" s="43">
        <v>19804</v>
      </c>
      <c r="N39" s="41"/>
      <c r="O39" s="41"/>
      <c r="P39" s="41"/>
      <c r="Q39" s="41"/>
      <c r="R39" s="41"/>
      <c r="S39" s="41"/>
      <c r="T39" s="41"/>
      <c r="U39" s="41"/>
      <c r="V39" s="41"/>
      <c r="W39" s="41"/>
    </row>
    <row r="40" spans="1:23" s="32" customFormat="1" ht="12.5" x14ac:dyDescent="0.35">
      <c r="A40" s="28">
        <v>87</v>
      </c>
      <c r="B40" s="32" t="s">
        <v>40</v>
      </c>
      <c r="C40" s="41">
        <v>505</v>
      </c>
      <c r="D40" s="43">
        <v>402</v>
      </c>
      <c r="E40" s="43">
        <v>103</v>
      </c>
      <c r="F40" s="43">
        <v>114</v>
      </c>
      <c r="G40" s="43">
        <v>3</v>
      </c>
      <c r="H40" s="43">
        <v>11</v>
      </c>
      <c r="I40" s="43">
        <v>0</v>
      </c>
      <c r="J40" s="43">
        <v>0</v>
      </c>
      <c r="K40" s="43">
        <v>1</v>
      </c>
      <c r="L40" s="43">
        <v>12633</v>
      </c>
      <c r="N40" s="41"/>
      <c r="O40" s="41"/>
      <c r="P40" s="41"/>
      <c r="Q40" s="41"/>
      <c r="R40" s="41"/>
      <c r="S40" s="41"/>
      <c r="T40" s="41"/>
      <c r="U40" s="41"/>
      <c r="V40" s="41"/>
      <c r="W40" s="41"/>
    </row>
    <row r="41" spans="1:23" s="32" customFormat="1" ht="14.5" x14ac:dyDescent="0.35">
      <c r="A41" s="28">
        <v>90</v>
      </c>
      <c r="B41" s="32" t="s">
        <v>88</v>
      </c>
      <c r="C41" s="41">
        <v>145</v>
      </c>
      <c r="D41" s="43">
        <v>103</v>
      </c>
      <c r="E41" s="43">
        <v>42</v>
      </c>
      <c r="F41" s="43">
        <v>109</v>
      </c>
      <c r="G41" s="43">
        <v>8</v>
      </c>
      <c r="H41" s="43">
        <v>1</v>
      </c>
      <c r="I41" s="43">
        <v>0</v>
      </c>
      <c r="J41" s="43">
        <v>0</v>
      </c>
      <c r="K41" s="43">
        <v>0</v>
      </c>
      <c r="L41" s="43">
        <v>24848</v>
      </c>
      <c r="N41" s="41"/>
      <c r="O41" s="41"/>
      <c r="P41" s="41"/>
      <c r="Q41" s="41"/>
      <c r="R41" s="41"/>
      <c r="S41" s="41"/>
      <c r="T41" s="41"/>
      <c r="U41" s="41"/>
      <c r="V41" s="41"/>
      <c r="W41" s="41"/>
    </row>
    <row r="42" spans="1:23" s="32" customFormat="1" ht="12.5" x14ac:dyDescent="0.35">
      <c r="A42" s="28">
        <v>91</v>
      </c>
      <c r="B42" s="32" t="s">
        <v>43</v>
      </c>
      <c r="C42" s="41">
        <v>836</v>
      </c>
      <c r="D42" s="43">
        <v>708</v>
      </c>
      <c r="E42" s="43">
        <v>128</v>
      </c>
      <c r="F42" s="43">
        <v>127</v>
      </c>
      <c r="G42" s="43">
        <v>1</v>
      </c>
      <c r="H42" s="43">
        <v>0</v>
      </c>
      <c r="I42" s="43">
        <v>0</v>
      </c>
      <c r="J42" s="43">
        <v>0</v>
      </c>
      <c r="K42" s="43">
        <v>131</v>
      </c>
      <c r="L42" s="43">
        <v>37144.333333333336</v>
      </c>
      <c r="N42" s="41"/>
      <c r="O42" s="41"/>
      <c r="P42" s="41"/>
      <c r="Q42" s="41"/>
      <c r="R42" s="41"/>
      <c r="S42" s="41"/>
      <c r="T42" s="41"/>
      <c r="U42" s="41"/>
      <c r="V42" s="41"/>
      <c r="W42" s="41"/>
    </row>
    <row r="43" spans="1:23" s="32" customFormat="1" ht="12.5" x14ac:dyDescent="0.35">
      <c r="A43" s="28">
        <v>92</v>
      </c>
      <c r="B43" s="32" t="s">
        <v>44</v>
      </c>
      <c r="C43" s="41">
        <v>310</v>
      </c>
      <c r="D43" s="43">
        <v>69</v>
      </c>
      <c r="E43" s="43">
        <v>241</v>
      </c>
      <c r="F43" s="43">
        <v>0</v>
      </c>
      <c r="G43" s="43">
        <v>14</v>
      </c>
      <c r="H43" s="43">
        <v>3</v>
      </c>
      <c r="I43" s="43">
        <v>0</v>
      </c>
      <c r="J43" s="43">
        <v>0</v>
      </c>
      <c r="K43" s="43">
        <v>0</v>
      </c>
      <c r="L43" s="43">
        <v>25134</v>
      </c>
      <c r="N43" s="41"/>
      <c r="O43" s="41"/>
      <c r="P43" s="41"/>
      <c r="Q43" s="41"/>
      <c r="R43" s="41"/>
      <c r="S43" s="41"/>
      <c r="T43" s="41"/>
      <c r="U43" s="41"/>
      <c r="V43" s="41"/>
      <c r="W43" s="41"/>
    </row>
    <row r="44" spans="1:23" s="32" customFormat="1" ht="12.5" x14ac:dyDescent="0.35">
      <c r="A44" s="28">
        <v>94</v>
      </c>
      <c r="B44" s="32" t="s">
        <v>46</v>
      </c>
      <c r="C44" s="41">
        <v>297</v>
      </c>
      <c r="D44" s="43">
        <v>140</v>
      </c>
      <c r="E44" s="43">
        <v>157</v>
      </c>
      <c r="F44" s="43">
        <v>124</v>
      </c>
      <c r="G44" s="43">
        <v>3</v>
      </c>
      <c r="H44" s="43">
        <v>7</v>
      </c>
      <c r="I44" s="43">
        <v>0</v>
      </c>
      <c r="J44" s="43">
        <v>0</v>
      </c>
      <c r="K44" s="43">
        <v>7</v>
      </c>
      <c r="L44" s="43">
        <v>12800</v>
      </c>
      <c r="N44" s="41"/>
      <c r="O44" s="41"/>
      <c r="P44" s="41"/>
      <c r="Q44" s="41"/>
      <c r="R44" s="41"/>
      <c r="S44" s="41"/>
      <c r="T44" s="41"/>
      <c r="U44" s="41"/>
      <c r="V44" s="41"/>
      <c r="W44" s="41"/>
    </row>
    <row r="45" spans="1:23" s="32" customFormat="1" ht="12.5" x14ac:dyDescent="0.35">
      <c r="A45" s="28">
        <v>96</v>
      </c>
      <c r="B45" s="32" t="s">
        <v>48</v>
      </c>
      <c r="C45" s="41">
        <v>794</v>
      </c>
      <c r="D45" s="43">
        <v>704</v>
      </c>
      <c r="E45" s="43">
        <v>90</v>
      </c>
      <c r="F45" s="43">
        <v>122</v>
      </c>
      <c r="G45" s="43">
        <v>7</v>
      </c>
      <c r="H45" s="43">
        <v>1</v>
      </c>
      <c r="I45" s="43">
        <v>0</v>
      </c>
      <c r="J45" s="43">
        <v>0</v>
      </c>
      <c r="K45" s="43">
        <v>75</v>
      </c>
      <c r="L45" s="43">
        <v>19662</v>
      </c>
      <c r="N45" s="41"/>
      <c r="O45" s="41"/>
      <c r="P45" s="41"/>
      <c r="Q45" s="41"/>
      <c r="R45" s="41"/>
      <c r="S45" s="41"/>
      <c r="T45" s="41"/>
      <c r="U45" s="41"/>
      <c r="V45" s="41"/>
      <c r="W45" s="41"/>
    </row>
    <row r="46" spans="1:23" s="32" customFormat="1" ht="12.5" x14ac:dyDescent="0.35">
      <c r="A46" s="28">
        <v>98</v>
      </c>
      <c r="B46" s="32" t="s">
        <v>50</v>
      </c>
      <c r="C46" s="41">
        <v>223</v>
      </c>
      <c r="D46" s="43">
        <v>82</v>
      </c>
      <c r="E46" s="43">
        <v>141</v>
      </c>
      <c r="F46" s="43">
        <v>132</v>
      </c>
      <c r="G46" s="43">
        <v>3</v>
      </c>
      <c r="H46" s="43">
        <v>9</v>
      </c>
      <c r="I46" s="43">
        <v>0</v>
      </c>
      <c r="J46" s="43">
        <v>0</v>
      </c>
      <c r="K46" s="43">
        <v>17</v>
      </c>
      <c r="L46" s="43">
        <v>26566</v>
      </c>
      <c r="N46" s="41"/>
      <c r="O46" s="41"/>
      <c r="P46" s="41"/>
      <c r="Q46" s="41"/>
      <c r="R46" s="41"/>
      <c r="S46" s="41"/>
      <c r="T46" s="41"/>
      <c r="U46" s="41"/>
      <c r="V46" s="41"/>
      <c r="W46" s="41"/>
    </row>
    <row r="47" spans="1:23" s="32" customFormat="1" ht="12.5" x14ac:dyDescent="0.35">
      <c r="A47" s="28">
        <v>72</v>
      </c>
      <c r="B47" s="32" t="s">
        <v>28</v>
      </c>
      <c r="C47" s="41">
        <v>69</v>
      </c>
      <c r="D47" s="43">
        <v>67</v>
      </c>
      <c r="E47" s="43">
        <v>2</v>
      </c>
      <c r="F47" s="43">
        <v>2</v>
      </c>
      <c r="G47" s="43">
        <v>0</v>
      </c>
      <c r="H47" s="43">
        <v>0</v>
      </c>
      <c r="I47" s="43">
        <v>0</v>
      </c>
      <c r="J47" s="43">
        <v>0</v>
      </c>
      <c r="K47" s="43">
        <v>1</v>
      </c>
      <c r="L47" s="43">
        <v>333</v>
      </c>
      <c r="N47" s="41"/>
      <c r="O47" s="41"/>
      <c r="P47" s="41"/>
      <c r="Q47" s="41"/>
      <c r="R47" s="41"/>
      <c r="S47" s="41"/>
      <c r="T47" s="41"/>
      <c r="U47" s="41"/>
      <c r="V47" s="41"/>
      <c r="W47" s="41"/>
    </row>
    <row r="48" spans="1:23" s="37" customFormat="1" ht="26.25" customHeight="1" x14ac:dyDescent="0.35">
      <c r="B48" s="37" t="s">
        <v>56</v>
      </c>
      <c r="C48" s="42">
        <v>26322</v>
      </c>
      <c r="D48" s="42">
        <v>18569</v>
      </c>
      <c r="E48" s="42">
        <v>7753</v>
      </c>
      <c r="F48" s="42">
        <v>5672</v>
      </c>
      <c r="G48" s="42">
        <v>770</v>
      </c>
      <c r="H48" s="42">
        <v>158</v>
      </c>
      <c r="I48" s="42">
        <v>29</v>
      </c>
      <c r="J48" s="42">
        <v>7</v>
      </c>
      <c r="K48" s="42">
        <v>1085</v>
      </c>
      <c r="L48" s="42">
        <v>470677</v>
      </c>
      <c r="N48" s="41"/>
      <c r="O48" s="41"/>
      <c r="P48" s="41"/>
      <c r="Q48" s="41"/>
      <c r="R48" s="41"/>
      <c r="S48" s="41"/>
      <c r="T48" s="41"/>
      <c r="U48" s="41"/>
      <c r="V48" s="41"/>
      <c r="W48" s="41"/>
    </row>
    <row r="49" spans="1:23" s="32" customFormat="1" ht="12.5" x14ac:dyDescent="0.35">
      <c r="A49" s="28">
        <v>66</v>
      </c>
      <c r="B49" s="32" t="s">
        <v>22</v>
      </c>
      <c r="C49" s="41">
        <v>6744</v>
      </c>
      <c r="D49" s="43">
        <v>4157</v>
      </c>
      <c r="E49" s="43">
        <v>2587</v>
      </c>
      <c r="F49" s="43">
        <v>1241</v>
      </c>
      <c r="G49" s="43">
        <v>198</v>
      </c>
      <c r="H49" s="43">
        <v>48</v>
      </c>
      <c r="I49" s="43">
        <v>0</v>
      </c>
      <c r="J49" s="43">
        <v>0</v>
      </c>
      <c r="K49" s="43">
        <v>208</v>
      </c>
      <c r="L49" s="43">
        <v>64604</v>
      </c>
      <c r="N49" s="41"/>
      <c r="O49" s="41"/>
      <c r="P49" s="41"/>
      <c r="Q49" s="41"/>
      <c r="R49" s="41"/>
      <c r="S49" s="41"/>
      <c r="T49" s="41"/>
      <c r="U49" s="41"/>
      <c r="V49" s="41"/>
      <c r="W49" s="41"/>
    </row>
    <row r="50" spans="1:23" s="32" customFormat="1" ht="12.5" x14ac:dyDescent="0.35">
      <c r="A50" s="28">
        <v>78</v>
      </c>
      <c r="B50" s="32" t="s">
        <v>33</v>
      </c>
      <c r="C50" s="41">
        <v>1865</v>
      </c>
      <c r="D50" s="43">
        <v>1432</v>
      </c>
      <c r="E50" s="43">
        <v>433</v>
      </c>
      <c r="F50" s="43">
        <v>393</v>
      </c>
      <c r="G50" s="43">
        <v>21</v>
      </c>
      <c r="H50" s="43">
        <v>19</v>
      </c>
      <c r="I50" s="43">
        <v>3</v>
      </c>
      <c r="J50" s="43">
        <v>1</v>
      </c>
      <c r="K50" s="43">
        <v>41</v>
      </c>
      <c r="L50" s="43">
        <v>26996</v>
      </c>
      <c r="N50" s="41"/>
      <c r="O50" s="41"/>
      <c r="P50" s="41"/>
      <c r="Q50" s="41"/>
      <c r="R50" s="41"/>
      <c r="S50" s="41"/>
      <c r="T50" s="41"/>
      <c r="U50" s="41"/>
      <c r="V50" s="41"/>
      <c r="W50" s="41"/>
    </row>
    <row r="51" spans="1:23" s="32" customFormat="1" ht="12.5" x14ac:dyDescent="0.35">
      <c r="A51" s="28">
        <v>89</v>
      </c>
      <c r="B51" s="32" t="s">
        <v>41</v>
      </c>
      <c r="C51" s="41">
        <v>2238</v>
      </c>
      <c r="D51" s="43">
        <v>1117</v>
      </c>
      <c r="E51" s="43">
        <v>1121</v>
      </c>
      <c r="F51" s="43">
        <v>998</v>
      </c>
      <c r="G51" s="43">
        <v>48</v>
      </c>
      <c r="H51" s="43">
        <v>6</v>
      </c>
      <c r="I51" s="43">
        <v>0</v>
      </c>
      <c r="J51" s="43">
        <v>0</v>
      </c>
      <c r="K51" s="43">
        <v>108</v>
      </c>
      <c r="L51" s="43">
        <v>37924</v>
      </c>
      <c r="N51" s="41"/>
      <c r="O51" s="41"/>
      <c r="P51" s="41"/>
      <c r="Q51" s="41"/>
      <c r="R51" s="41"/>
      <c r="S51" s="41"/>
      <c r="T51" s="41"/>
      <c r="U51" s="41"/>
      <c r="V51" s="41"/>
      <c r="W51" s="41"/>
    </row>
    <row r="52" spans="1:23" s="32" customFormat="1" ht="12.5" x14ac:dyDescent="0.35">
      <c r="A52" s="28">
        <v>93</v>
      </c>
      <c r="B52" s="32" t="s">
        <v>57</v>
      </c>
      <c r="C52" s="41">
        <v>2667</v>
      </c>
      <c r="D52" s="43">
        <v>1775</v>
      </c>
      <c r="E52" s="43">
        <v>892</v>
      </c>
      <c r="F52" s="43">
        <v>873</v>
      </c>
      <c r="G52" s="43">
        <v>15</v>
      </c>
      <c r="H52" s="43">
        <v>8</v>
      </c>
      <c r="I52" s="43">
        <v>1</v>
      </c>
      <c r="J52" s="43">
        <v>4</v>
      </c>
      <c r="K52" s="43">
        <v>11</v>
      </c>
      <c r="L52" s="43">
        <v>31800</v>
      </c>
      <c r="N52" s="41"/>
      <c r="O52" s="41"/>
      <c r="P52" s="41"/>
      <c r="Q52" s="41"/>
      <c r="R52" s="41"/>
      <c r="S52" s="41"/>
      <c r="T52" s="41"/>
      <c r="U52" s="41"/>
      <c r="V52" s="41"/>
      <c r="W52" s="41"/>
    </row>
    <row r="53" spans="1:23" s="32" customFormat="1" ht="12.5" x14ac:dyDescent="0.35">
      <c r="A53" s="28">
        <v>95</v>
      </c>
      <c r="B53" s="32" t="s">
        <v>47</v>
      </c>
      <c r="C53" s="41">
        <v>1492</v>
      </c>
      <c r="D53" s="43">
        <v>953</v>
      </c>
      <c r="E53" s="43">
        <v>539</v>
      </c>
      <c r="F53" s="43">
        <v>570</v>
      </c>
      <c r="G53" s="43">
        <v>27</v>
      </c>
      <c r="H53" s="43">
        <v>22</v>
      </c>
      <c r="I53" s="43">
        <v>21</v>
      </c>
      <c r="J53" s="43">
        <v>2</v>
      </c>
      <c r="K53" s="43">
        <v>30</v>
      </c>
      <c r="L53" s="43">
        <v>86681</v>
      </c>
      <c r="N53" s="41"/>
      <c r="O53" s="41"/>
      <c r="P53" s="41"/>
      <c r="Q53" s="41"/>
      <c r="R53" s="41"/>
      <c r="S53" s="41"/>
      <c r="T53" s="41"/>
      <c r="U53" s="41"/>
      <c r="V53" s="41"/>
      <c r="W53" s="41"/>
    </row>
    <row r="54" spans="1:23" s="32" customFormat="1" ht="12.5" x14ac:dyDescent="0.35">
      <c r="A54" s="28">
        <v>97</v>
      </c>
      <c r="B54" s="32" t="s">
        <v>49</v>
      </c>
      <c r="C54" s="41">
        <v>2020</v>
      </c>
      <c r="D54" s="43">
        <v>1648</v>
      </c>
      <c r="E54" s="43">
        <v>372</v>
      </c>
      <c r="F54" s="43">
        <v>200</v>
      </c>
      <c r="G54" s="43">
        <v>79</v>
      </c>
      <c r="H54" s="43">
        <v>15</v>
      </c>
      <c r="I54" s="43">
        <v>0</v>
      </c>
      <c r="J54" s="43">
        <v>0</v>
      </c>
      <c r="K54" s="43">
        <v>282</v>
      </c>
      <c r="L54" s="43">
        <v>77743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</row>
    <row r="55" spans="1:23" s="32" customFormat="1" ht="12.5" x14ac:dyDescent="0.35">
      <c r="A55" s="28">
        <v>77</v>
      </c>
      <c r="B55" s="47" t="s">
        <v>21</v>
      </c>
      <c r="C55" s="48">
        <v>9296</v>
      </c>
      <c r="D55" s="49">
        <v>7487</v>
      </c>
      <c r="E55" s="49">
        <v>1809</v>
      </c>
      <c r="F55" s="49">
        <v>1397</v>
      </c>
      <c r="G55" s="49">
        <v>382</v>
      </c>
      <c r="H55" s="49">
        <v>40</v>
      </c>
      <c r="I55" s="49">
        <v>4</v>
      </c>
      <c r="J55" s="49">
        <v>0</v>
      </c>
      <c r="K55" s="49">
        <v>405</v>
      </c>
      <c r="L55" s="49">
        <v>144929</v>
      </c>
      <c r="N55" s="41"/>
      <c r="O55" s="41"/>
      <c r="P55" s="41"/>
      <c r="Q55" s="41"/>
      <c r="R55" s="41"/>
      <c r="S55" s="41"/>
      <c r="T55" s="41"/>
      <c r="U55" s="41"/>
      <c r="V55" s="41"/>
      <c r="W55" s="41"/>
    </row>
    <row r="56" spans="1:23" s="32" customFormat="1" ht="6" customHeight="1" x14ac:dyDescent="0.35">
      <c r="B56" s="50"/>
      <c r="C56" s="50"/>
      <c r="I56" s="51"/>
    </row>
    <row r="57" spans="1:23" s="32" customFormat="1" ht="14.25" customHeight="1" x14ac:dyDescent="0.35">
      <c r="B57" s="52" t="s">
        <v>89</v>
      </c>
      <c r="C57" s="50"/>
      <c r="I57" s="51"/>
    </row>
    <row r="58" spans="1:23" s="32" customFormat="1" ht="14.25" customHeight="1" x14ac:dyDescent="0.35">
      <c r="B58" s="52" t="s">
        <v>90</v>
      </c>
      <c r="C58" s="50"/>
      <c r="I58" s="51"/>
    </row>
    <row r="59" spans="1:23" s="32" customFormat="1" ht="14.25" customHeight="1" x14ac:dyDescent="0.35">
      <c r="B59" s="50"/>
      <c r="C59" s="50"/>
      <c r="I59" s="51"/>
    </row>
    <row r="60" spans="1:23" s="32" customFormat="1" x14ac:dyDescent="0.35">
      <c r="B60" s="53" t="s">
        <v>91</v>
      </c>
      <c r="C60" s="53"/>
      <c r="I60" s="54"/>
    </row>
    <row r="61" spans="1:23" s="32" customFormat="1" ht="9.75" customHeight="1" x14ac:dyDescent="0.35">
      <c r="I61" s="51"/>
    </row>
  </sheetData>
  <mergeCells count="11">
    <mergeCell ref="M3:M4"/>
    <mergeCell ref="B2:L2"/>
    <mergeCell ref="B3:B4"/>
    <mergeCell ref="C3:E3"/>
    <mergeCell ref="F3:F4"/>
    <mergeCell ref="G3:G4"/>
    <mergeCell ref="H3:H4"/>
    <mergeCell ref="I3:I4"/>
    <mergeCell ref="J3:J4"/>
    <mergeCell ref="K3:K4"/>
    <mergeCell ref="L3:L4"/>
  </mergeCells>
  <pageMargins left="0.48" right="0.31" top="0.24" bottom="0.16" header="0.5" footer="0.16"/>
  <pageSetup paperSize="9" scale="6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0000"/>
    <pageSetUpPr fitToPage="1"/>
  </sheetPr>
  <dimension ref="A2:Z61"/>
  <sheetViews>
    <sheetView showGridLines="0" zoomScale="85" zoomScaleNormal="85" workbookViewId="0">
      <pane xSplit="2" ySplit="4" topLeftCell="C14" activePane="bottomRight" state="frozen"/>
      <selection activeCell="B1" sqref="B1"/>
      <selection pane="topRight" activeCell="C1" sqref="C1"/>
      <selection pane="bottomLeft" activeCell="B4" sqref="B4"/>
      <selection pane="bottomRight" activeCell="F33" sqref="F33"/>
    </sheetView>
  </sheetViews>
  <sheetFormatPr defaultRowHeight="13" x14ac:dyDescent="0.3"/>
  <cols>
    <col min="1" max="1" width="3" style="31" hidden="1" customWidth="1"/>
    <col min="2" max="2" width="25.54296875" style="31" customWidth="1"/>
    <col min="3" max="3" width="17" style="31" customWidth="1"/>
    <col min="4" max="4" width="11.453125" style="31" customWidth="1"/>
    <col min="5" max="5" width="14.453125" style="55" customWidth="1"/>
    <col min="6" max="6" width="12.54296875" style="55" customWidth="1"/>
    <col min="7" max="9" width="13.6328125" style="55" customWidth="1"/>
    <col min="10" max="11" width="13.6328125" style="31" customWidth="1"/>
    <col min="12" max="12" width="13.453125" style="31" customWidth="1"/>
    <col min="13" max="256" width="9.08984375" style="31"/>
    <col min="257" max="257" width="0" style="31" hidden="1" customWidth="1"/>
    <col min="258" max="258" width="25.54296875" style="31" customWidth="1"/>
    <col min="259" max="259" width="17" style="31" customWidth="1"/>
    <col min="260" max="260" width="11.453125" style="31" customWidth="1"/>
    <col min="261" max="261" width="14.453125" style="31" customWidth="1"/>
    <col min="262" max="262" width="12.54296875" style="31" customWidth="1"/>
    <col min="263" max="267" width="13.6328125" style="31" customWidth="1"/>
    <col min="268" max="268" width="13.453125" style="31" customWidth="1"/>
    <col min="269" max="512" width="9.08984375" style="31"/>
    <col min="513" max="513" width="0" style="31" hidden="1" customWidth="1"/>
    <col min="514" max="514" width="25.54296875" style="31" customWidth="1"/>
    <col min="515" max="515" width="17" style="31" customWidth="1"/>
    <col min="516" max="516" width="11.453125" style="31" customWidth="1"/>
    <col min="517" max="517" width="14.453125" style="31" customWidth="1"/>
    <col min="518" max="518" width="12.54296875" style="31" customWidth="1"/>
    <col min="519" max="523" width="13.6328125" style="31" customWidth="1"/>
    <col min="524" max="524" width="13.453125" style="31" customWidth="1"/>
    <col min="525" max="768" width="9.08984375" style="31"/>
    <col min="769" max="769" width="0" style="31" hidden="1" customWidth="1"/>
    <col min="770" max="770" width="25.54296875" style="31" customWidth="1"/>
    <col min="771" max="771" width="17" style="31" customWidth="1"/>
    <col min="772" max="772" width="11.453125" style="31" customWidth="1"/>
    <col min="773" max="773" width="14.453125" style="31" customWidth="1"/>
    <col min="774" max="774" width="12.54296875" style="31" customWidth="1"/>
    <col min="775" max="779" width="13.6328125" style="31" customWidth="1"/>
    <col min="780" max="780" width="13.453125" style="31" customWidth="1"/>
    <col min="781" max="1024" width="9.08984375" style="31"/>
    <col min="1025" max="1025" width="0" style="31" hidden="1" customWidth="1"/>
    <col min="1026" max="1026" width="25.54296875" style="31" customWidth="1"/>
    <col min="1027" max="1027" width="17" style="31" customWidth="1"/>
    <col min="1028" max="1028" width="11.453125" style="31" customWidth="1"/>
    <col min="1029" max="1029" width="14.453125" style="31" customWidth="1"/>
    <col min="1030" max="1030" width="12.54296875" style="31" customWidth="1"/>
    <col min="1031" max="1035" width="13.6328125" style="31" customWidth="1"/>
    <col min="1036" max="1036" width="13.453125" style="31" customWidth="1"/>
    <col min="1037" max="1280" width="9.08984375" style="31"/>
    <col min="1281" max="1281" width="0" style="31" hidden="1" customWidth="1"/>
    <col min="1282" max="1282" width="25.54296875" style="31" customWidth="1"/>
    <col min="1283" max="1283" width="17" style="31" customWidth="1"/>
    <col min="1284" max="1284" width="11.453125" style="31" customWidth="1"/>
    <col min="1285" max="1285" width="14.453125" style="31" customWidth="1"/>
    <col min="1286" max="1286" width="12.54296875" style="31" customWidth="1"/>
    <col min="1287" max="1291" width="13.6328125" style="31" customWidth="1"/>
    <col min="1292" max="1292" width="13.453125" style="31" customWidth="1"/>
    <col min="1293" max="1536" width="9.08984375" style="31"/>
    <col min="1537" max="1537" width="0" style="31" hidden="1" customWidth="1"/>
    <col min="1538" max="1538" width="25.54296875" style="31" customWidth="1"/>
    <col min="1539" max="1539" width="17" style="31" customWidth="1"/>
    <col min="1540" max="1540" width="11.453125" style="31" customWidth="1"/>
    <col min="1541" max="1541" width="14.453125" style="31" customWidth="1"/>
    <col min="1542" max="1542" width="12.54296875" style="31" customWidth="1"/>
    <col min="1543" max="1547" width="13.6328125" style="31" customWidth="1"/>
    <col min="1548" max="1548" width="13.453125" style="31" customWidth="1"/>
    <col min="1549" max="1792" width="9.08984375" style="31"/>
    <col min="1793" max="1793" width="0" style="31" hidden="1" customWidth="1"/>
    <col min="1794" max="1794" width="25.54296875" style="31" customWidth="1"/>
    <col min="1795" max="1795" width="17" style="31" customWidth="1"/>
    <col min="1796" max="1796" width="11.453125" style="31" customWidth="1"/>
    <col min="1797" max="1797" width="14.453125" style="31" customWidth="1"/>
    <col min="1798" max="1798" width="12.54296875" style="31" customWidth="1"/>
    <col min="1799" max="1803" width="13.6328125" style="31" customWidth="1"/>
    <col min="1804" max="1804" width="13.453125" style="31" customWidth="1"/>
    <col min="1805" max="2048" width="9.08984375" style="31"/>
    <col min="2049" max="2049" width="0" style="31" hidden="1" customWidth="1"/>
    <col min="2050" max="2050" width="25.54296875" style="31" customWidth="1"/>
    <col min="2051" max="2051" width="17" style="31" customWidth="1"/>
    <col min="2052" max="2052" width="11.453125" style="31" customWidth="1"/>
    <col min="2053" max="2053" width="14.453125" style="31" customWidth="1"/>
    <col min="2054" max="2054" width="12.54296875" style="31" customWidth="1"/>
    <col min="2055" max="2059" width="13.6328125" style="31" customWidth="1"/>
    <col min="2060" max="2060" width="13.453125" style="31" customWidth="1"/>
    <col min="2061" max="2304" width="9.08984375" style="31"/>
    <col min="2305" max="2305" width="0" style="31" hidden="1" customWidth="1"/>
    <col min="2306" max="2306" width="25.54296875" style="31" customWidth="1"/>
    <col min="2307" max="2307" width="17" style="31" customWidth="1"/>
    <col min="2308" max="2308" width="11.453125" style="31" customWidth="1"/>
    <col min="2309" max="2309" width="14.453125" style="31" customWidth="1"/>
    <col min="2310" max="2310" width="12.54296875" style="31" customWidth="1"/>
    <col min="2311" max="2315" width="13.6328125" style="31" customWidth="1"/>
    <col min="2316" max="2316" width="13.453125" style="31" customWidth="1"/>
    <col min="2317" max="2560" width="9.08984375" style="31"/>
    <col min="2561" max="2561" width="0" style="31" hidden="1" customWidth="1"/>
    <col min="2562" max="2562" width="25.54296875" style="31" customWidth="1"/>
    <col min="2563" max="2563" width="17" style="31" customWidth="1"/>
    <col min="2564" max="2564" width="11.453125" style="31" customWidth="1"/>
    <col min="2565" max="2565" width="14.453125" style="31" customWidth="1"/>
    <col min="2566" max="2566" width="12.54296875" style="31" customWidth="1"/>
    <col min="2567" max="2571" width="13.6328125" style="31" customWidth="1"/>
    <col min="2572" max="2572" width="13.453125" style="31" customWidth="1"/>
    <col min="2573" max="2816" width="9.08984375" style="31"/>
    <col min="2817" max="2817" width="0" style="31" hidden="1" customWidth="1"/>
    <col min="2818" max="2818" width="25.54296875" style="31" customWidth="1"/>
    <col min="2819" max="2819" width="17" style="31" customWidth="1"/>
    <col min="2820" max="2820" width="11.453125" style="31" customWidth="1"/>
    <col min="2821" max="2821" width="14.453125" style="31" customWidth="1"/>
    <col min="2822" max="2822" width="12.54296875" style="31" customWidth="1"/>
    <col min="2823" max="2827" width="13.6328125" style="31" customWidth="1"/>
    <col min="2828" max="2828" width="13.453125" style="31" customWidth="1"/>
    <col min="2829" max="3072" width="9.08984375" style="31"/>
    <col min="3073" max="3073" width="0" style="31" hidden="1" customWidth="1"/>
    <col min="3074" max="3074" width="25.54296875" style="31" customWidth="1"/>
    <col min="3075" max="3075" width="17" style="31" customWidth="1"/>
    <col min="3076" max="3076" width="11.453125" style="31" customWidth="1"/>
    <col min="3077" max="3077" width="14.453125" style="31" customWidth="1"/>
    <col min="3078" max="3078" width="12.54296875" style="31" customWidth="1"/>
    <col min="3079" max="3083" width="13.6328125" style="31" customWidth="1"/>
    <col min="3084" max="3084" width="13.453125" style="31" customWidth="1"/>
    <col min="3085" max="3328" width="9.08984375" style="31"/>
    <col min="3329" max="3329" width="0" style="31" hidden="1" customWidth="1"/>
    <col min="3330" max="3330" width="25.54296875" style="31" customWidth="1"/>
    <col min="3331" max="3331" width="17" style="31" customWidth="1"/>
    <col min="3332" max="3332" width="11.453125" style="31" customWidth="1"/>
    <col min="3333" max="3333" width="14.453125" style="31" customWidth="1"/>
    <col min="3334" max="3334" width="12.54296875" style="31" customWidth="1"/>
    <col min="3335" max="3339" width="13.6328125" style="31" customWidth="1"/>
    <col min="3340" max="3340" width="13.453125" style="31" customWidth="1"/>
    <col min="3341" max="3584" width="9.08984375" style="31"/>
    <col min="3585" max="3585" width="0" style="31" hidden="1" customWidth="1"/>
    <col min="3586" max="3586" width="25.54296875" style="31" customWidth="1"/>
    <col min="3587" max="3587" width="17" style="31" customWidth="1"/>
    <col min="3588" max="3588" width="11.453125" style="31" customWidth="1"/>
    <col min="3589" max="3589" width="14.453125" style="31" customWidth="1"/>
    <col min="3590" max="3590" width="12.54296875" style="31" customWidth="1"/>
    <col min="3591" max="3595" width="13.6328125" style="31" customWidth="1"/>
    <col min="3596" max="3596" width="13.453125" style="31" customWidth="1"/>
    <col min="3597" max="3840" width="9.08984375" style="31"/>
    <col min="3841" max="3841" width="0" style="31" hidden="1" customWidth="1"/>
    <col min="3842" max="3842" width="25.54296875" style="31" customWidth="1"/>
    <col min="3843" max="3843" width="17" style="31" customWidth="1"/>
    <col min="3844" max="3844" width="11.453125" style="31" customWidth="1"/>
    <col min="3845" max="3845" width="14.453125" style="31" customWidth="1"/>
    <col min="3846" max="3846" width="12.54296875" style="31" customWidth="1"/>
    <col min="3847" max="3851" width="13.6328125" style="31" customWidth="1"/>
    <col min="3852" max="3852" width="13.453125" style="31" customWidth="1"/>
    <col min="3853" max="4096" width="9.08984375" style="31"/>
    <col min="4097" max="4097" width="0" style="31" hidden="1" customWidth="1"/>
    <col min="4098" max="4098" width="25.54296875" style="31" customWidth="1"/>
    <col min="4099" max="4099" width="17" style="31" customWidth="1"/>
    <col min="4100" max="4100" width="11.453125" style="31" customWidth="1"/>
    <col min="4101" max="4101" width="14.453125" style="31" customWidth="1"/>
    <col min="4102" max="4102" width="12.54296875" style="31" customWidth="1"/>
    <col min="4103" max="4107" width="13.6328125" style="31" customWidth="1"/>
    <col min="4108" max="4108" width="13.453125" style="31" customWidth="1"/>
    <col min="4109" max="4352" width="9.08984375" style="31"/>
    <col min="4353" max="4353" width="0" style="31" hidden="1" customWidth="1"/>
    <col min="4354" max="4354" width="25.54296875" style="31" customWidth="1"/>
    <col min="4355" max="4355" width="17" style="31" customWidth="1"/>
    <col min="4356" max="4356" width="11.453125" style="31" customWidth="1"/>
    <col min="4357" max="4357" width="14.453125" style="31" customWidth="1"/>
    <col min="4358" max="4358" width="12.54296875" style="31" customWidth="1"/>
    <col min="4359" max="4363" width="13.6328125" style="31" customWidth="1"/>
    <col min="4364" max="4364" width="13.453125" style="31" customWidth="1"/>
    <col min="4365" max="4608" width="9.08984375" style="31"/>
    <col min="4609" max="4609" width="0" style="31" hidden="1" customWidth="1"/>
    <col min="4610" max="4610" width="25.54296875" style="31" customWidth="1"/>
    <col min="4611" max="4611" width="17" style="31" customWidth="1"/>
    <col min="4612" max="4612" width="11.453125" style="31" customWidth="1"/>
    <col min="4613" max="4613" width="14.453125" style="31" customWidth="1"/>
    <col min="4614" max="4614" width="12.54296875" style="31" customWidth="1"/>
    <col min="4615" max="4619" width="13.6328125" style="31" customWidth="1"/>
    <col min="4620" max="4620" width="13.453125" style="31" customWidth="1"/>
    <col min="4621" max="4864" width="9.08984375" style="31"/>
    <col min="4865" max="4865" width="0" style="31" hidden="1" customWidth="1"/>
    <col min="4866" max="4866" width="25.54296875" style="31" customWidth="1"/>
    <col min="4867" max="4867" width="17" style="31" customWidth="1"/>
    <col min="4868" max="4868" width="11.453125" style="31" customWidth="1"/>
    <col min="4869" max="4869" width="14.453125" style="31" customWidth="1"/>
    <col min="4870" max="4870" width="12.54296875" style="31" customWidth="1"/>
    <col min="4871" max="4875" width="13.6328125" style="31" customWidth="1"/>
    <col min="4876" max="4876" width="13.453125" style="31" customWidth="1"/>
    <col min="4877" max="5120" width="9.08984375" style="31"/>
    <col min="5121" max="5121" width="0" style="31" hidden="1" customWidth="1"/>
    <col min="5122" max="5122" width="25.54296875" style="31" customWidth="1"/>
    <col min="5123" max="5123" width="17" style="31" customWidth="1"/>
    <col min="5124" max="5124" width="11.453125" style="31" customWidth="1"/>
    <col min="5125" max="5125" width="14.453125" style="31" customWidth="1"/>
    <col min="5126" max="5126" width="12.54296875" style="31" customWidth="1"/>
    <col min="5127" max="5131" width="13.6328125" style="31" customWidth="1"/>
    <col min="5132" max="5132" width="13.453125" style="31" customWidth="1"/>
    <col min="5133" max="5376" width="9.08984375" style="31"/>
    <col min="5377" max="5377" width="0" style="31" hidden="1" customWidth="1"/>
    <col min="5378" max="5378" width="25.54296875" style="31" customWidth="1"/>
    <col min="5379" max="5379" width="17" style="31" customWidth="1"/>
    <col min="5380" max="5380" width="11.453125" style="31" customWidth="1"/>
    <col min="5381" max="5381" width="14.453125" style="31" customWidth="1"/>
    <col min="5382" max="5382" width="12.54296875" style="31" customWidth="1"/>
    <col min="5383" max="5387" width="13.6328125" style="31" customWidth="1"/>
    <col min="5388" max="5388" width="13.453125" style="31" customWidth="1"/>
    <col min="5389" max="5632" width="9.08984375" style="31"/>
    <col min="5633" max="5633" width="0" style="31" hidden="1" customWidth="1"/>
    <col min="5634" max="5634" width="25.54296875" style="31" customWidth="1"/>
    <col min="5635" max="5635" width="17" style="31" customWidth="1"/>
    <col min="5636" max="5636" width="11.453125" style="31" customWidth="1"/>
    <col min="5637" max="5637" width="14.453125" style="31" customWidth="1"/>
    <col min="5638" max="5638" width="12.54296875" style="31" customWidth="1"/>
    <col min="5639" max="5643" width="13.6328125" style="31" customWidth="1"/>
    <col min="5644" max="5644" width="13.453125" style="31" customWidth="1"/>
    <col min="5645" max="5888" width="9.08984375" style="31"/>
    <col min="5889" max="5889" width="0" style="31" hidden="1" customWidth="1"/>
    <col min="5890" max="5890" width="25.54296875" style="31" customWidth="1"/>
    <col min="5891" max="5891" width="17" style="31" customWidth="1"/>
    <col min="5892" max="5892" width="11.453125" style="31" customWidth="1"/>
    <col min="5893" max="5893" width="14.453125" style="31" customWidth="1"/>
    <col min="5894" max="5894" width="12.54296875" style="31" customWidth="1"/>
    <col min="5895" max="5899" width="13.6328125" style="31" customWidth="1"/>
    <col min="5900" max="5900" width="13.453125" style="31" customWidth="1"/>
    <col min="5901" max="6144" width="9.08984375" style="31"/>
    <col min="6145" max="6145" width="0" style="31" hidden="1" customWidth="1"/>
    <col min="6146" max="6146" width="25.54296875" style="31" customWidth="1"/>
    <col min="6147" max="6147" width="17" style="31" customWidth="1"/>
    <col min="6148" max="6148" width="11.453125" style="31" customWidth="1"/>
    <col min="6149" max="6149" width="14.453125" style="31" customWidth="1"/>
    <col min="6150" max="6150" width="12.54296875" style="31" customWidth="1"/>
    <col min="6151" max="6155" width="13.6328125" style="31" customWidth="1"/>
    <col min="6156" max="6156" width="13.453125" style="31" customWidth="1"/>
    <col min="6157" max="6400" width="9.08984375" style="31"/>
    <col min="6401" max="6401" width="0" style="31" hidden="1" customWidth="1"/>
    <col min="6402" max="6402" width="25.54296875" style="31" customWidth="1"/>
    <col min="6403" max="6403" width="17" style="31" customWidth="1"/>
    <col min="6404" max="6404" width="11.453125" style="31" customWidth="1"/>
    <col min="6405" max="6405" width="14.453125" style="31" customWidth="1"/>
    <col min="6406" max="6406" width="12.54296875" style="31" customWidth="1"/>
    <col min="6407" max="6411" width="13.6328125" style="31" customWidth="1"/>
    <col min="6412" max="6412" width="13.453125" style="31" customWidth="1"/>
    <col min="6413" max="6656" width="9.08984375" style="31"/>
    <col min="6657" max="6657" width="0" style="31" hidden="1" customWidth="1"/>
    <col min="6658" max="6658" width="25.54296875" style="31" customWidth="1"/>
    <col min="6659" max="6659" width="17" style="31" customWidth="1"/>
    <col min="6660" max="6660" width="11.453125" style="31" customWidth="1"/>
    <col min="6661" max="6661" width="14.453125" style="31" customWidth="1"/>
    <col min="6662" max="6662" width="12.54296875" style="31" customWidth="1"/>
    <col min="6663" max="6667" width="13.6328125" style="31" customWidth="1"/>
    <col min="6668" max="6668" width="13.453125" style="31" customWidth="1"/>
    <col min="6669" max="6912" width="9.08984375" style="31"/>
    <col min="6913" max="6913" width="0" style="31" hidden="1" customWidth="1"/>
    <col min="6914" max="6914" width="25.54296875" style="31" customWidth="1"/>
    <col min="6915" max="6915" width="17" style="31" customWidth="1"/>
    <col min="6916" max="6916" width="11.453125" style="31" customWidth="1"/>
    <col min="6917" max="6917" width="14.453125" style="31" customWidth="1"/>
    <col min="6918" max="6918" width="12.54296875" style="31" customWidth="1"/>
    <col min="6919" max="6923" width="13.6328125" style="31" customWidth="1"/>
    <col min="6924" max="6924" width="13.453125" style="31" customWidth="1"/>
    <col min="6925" max="7168" width="9.08984375" style="31"/>
    <col min="7169" max="7169" width="0" style="31" hidden="1" customWidth="1"/>
    <col min="7170" max="7170" width="25.54296875" style="31" customWidth="1"/>
    <col min="7171" max="7171" width="17" style="31" customWidth="1"/>
    <col min="7172" max="7172" width="11.453125" style="31" customWidth="1"/>
    <col min="7173" max="7173" width="14.453125" style="31" customWidth="1"/>
    <col min="7174" max="7174" width="12.54296875" style="31" customWidth="1"/>
    <col min="7175" max="7179" width="13.6328125" style="31" customWidth="1"/>
    <col min="7180" max="7180" width="13.453125" style="31" customWidth="1"/>
    <col min="7181" max="7424" width="9.08984375" style="31"/>
    <col min="7425" max="7425" width="0" style="31" hidden="1" customWidth="1"/>
    <col min="7426" max="7426" width="25.54296875" style="31" customWidth="1"/>
    <col min="7427" max="7427" width="17" style="31" customWidth="1"/>
    <col min="7428" max="7428" width="11.453125" style="31" customWidth="1"/>
    <col min="7429" max="7429" width="14.453125" style="31" customWidth="1"/>
    <col min="7430" max="7430" width="12.54296875" style="31" customWidth="1"/>
    <col min="7431" max="7435" width="13.6328125" style="31" customWidth="1"/>
    <col min="7436" max="7436" width="13.453125" style="31" customWidth="1"/>
    <col min="7437" max="7680" width="9.08984375" style="31"/>
    <col min="7681" max="7681" width="0" style="31" hidden="1" customWidth="1"/>
    <col min="7682" max="7682" width="25.54296875" style="31" customWidth="1"/>
    <col min="7683" max="7683" width="17" style="31" customWidth="1"/>
    <col min="7684" max="7684" width="11.453125" style="31" customWidth="1"/>
    <col min="7685" max="7685" width="14.453125" style="31" customWidth="1"/>
    <col min="7686" max="7686" width="12.54296875" style="31" customWidth="1"/>
    <col min="7687" max="7691" width="13.6328125" style="31" customWidth="1"/>
    <col min="7692" max="7692" width="13.453125" style="31" customWidth="1"/>
    <col min="7693" max="7936" width="9.08984375" style="31"/>
    <col min="7937" max="7937" width="0" style="31" hidden="1" customWidth="1"/>
    <col min="7938" max="7938" width="25.54296875" style="31" customWidth="1"/>
    <col min="7939" max="7939" width="17" style="31" customWidth="1"/>
    <col min="7940" max="7940" width="11.453125" style="31" customWidth="1"/>
    <col min="7941" max="7941" width="14.453125" style="31" customWidth="1"/>
    <col min="7942" max="7942" width="12.54296875" style="31" customWidth="1"/>
    <col min="7943" max="7947" width="13.6328125" style="31" customWidth="1"/>
    <col min="7948" max="7948" width="13.453125" style="31" customWidth="1"/>
    <col min="7949" max="8192" width="9.08984375" style="31"/>
    <col min="8193" max="8193" width="0" style="31" hidden="1" customWidth="1"/>
    <col min="8194" max="8194" width="25.54296875" style="31" customWidth="1"/>
    <col min="8195" max="8195" width="17" style="31" customWidth="1"/>
    <col min="8196" max="8196" width="11.453125" style="31" customWidth="1"/>
    <col min="8197" max="8197" width="14.453125" style="31" customWidth="1"/>
    <col min="8198" max="8198" width="12.54296875" style="31" customWidth="1"/>
    <col min="8199" max="8203" width="13.6328125" style="31" customWidth="1"/>
    <col min="8204" max="8204" width="13.453125" style="31" customWidth="1"/>
    <col min="8205" max="8448" width="9.08984375" style="31"/>
    <col min="8449" max="8449" width="0" style="31" hidden="1" customWidth="1"/>
    <col min="8450" max="8450" width="25.54296875" style="31" customWidth="1"/>
    <col min="8451" max="8451" width="17" style="31" customWidth="1"/>
    <col min="8452" max="8452" width="11.453125" style="31" customWidth="1"/>
    <col min="8453" max="8453" width="14.453125" style="31" customWidth="1"/>
    <col min="8454" max="8454" width="12.54296875" style="31" customWidth="1"/>
    <col min="8455" max="8459" width="13.6328125" style="31" customWidth="1"/>
    <col min="8460" max="8460" width="13.453125" style="31" customWidth="1"/>
    <col min="8461" max="8704" width="9.08984375" style="31"/>
    <col min="8705" max="8705" width="0" style="31" hidden="1" customWidth="1"/>
    <col min="8706" max="8706" width="25.54296875" style="31" customWidth="1"/>
    <col min="8707" max="8707" width="17" style="31" customWidth="1"/>
    <col min="8708" max="8708" width="11.453125" style="31" customWidth="1"/>
    <col min="8709" max="8709" width="14.453125" style="31" customWidth="1"/>
    <col min="8710" max="8710" width="12.54296875" style="31" customWidth="1"/>
    <col min="8711" max="8715" width="13.6328125" style="31" customWidth="1"/>
    <col min="8716" max="8716" width="13.453125" style="31" customWidth="1"/>
    <col min="8717" max="8960" width="9.08984375" style="31"/>
    <col min="8961" max="8961" width="0" style="31" hidden="1" customWidth="1"/>
    <col min="8962" max="8962" width="25.54296875" style="31" customWidth="1"/>
    <col min="8963" max="8963" width="17" style="31" customWidth="1"/>
    <col min="8964" max="8964" width="11.453125" style="31" customWidth="1"/>
    <col min="8965" max="8965" width="14.453125" style="31" customWidth="1"/>
    <col min="8966" max="8966" width="12.54296875" style="31" customWidth="1"/>
    <col min="8967" max="8971" width="13.6328125" style="31" customWidth="1"/>
    <col min="8972" max="8972" width="13.453125" style="31" customWidth="1"/>
    <col min="8973" max="9216" width="9.08984375" style="31"/>
    <col min="9217" max="9217" width="0" style="31" hidden="1" customWidth="1"/>
    <col min="9218" max="9218" width="25.54296875" style="31" customWidth="1"/>
    <col min="9219" max="9219" width="17" style="31" customWidth="1"/>
    <col min="9220" max="9220" width="11.453125" style="31" customWidth="1"/>
    <col min="9221" max="9221" width="14.453125" style="31" customWidth="1"/>
    <col min="9222" max="9222" width="12.54296875" style="31" customWidth="1"/>
    <col min="9223" max="9227" width="13.6328125" style="31" customWidth="1"/>
    <col min="9228" max="9228" width="13.453125" style="31" customWidth="1"/>
    <col min="9229" max="9472" width="9.08984375" style="31"/>
    <col min="9473" max="9473" width="0" style="31" hidden="1" customWidth="1"/>
    <col min="9474" max="9474" width="25.54296875" style="31" customWidth="1"/>
    <col min="9475" max="9475" width="17" style="31" customWidth="1"/>
    <col min="9476" max="9476" width="11.453125" style="31" customWidth="1"/>
    <col min="9477" max="9477" width="14.453125" style="31" customWidth="1"/>
    <col min="9478" max="9478" width="12.54296875" style="31" customWidth="1"/>
    <col min="9479" max="9483" width="13.6328125" style="31" customWidth="1"/>
    <col min="9484" max="9484" width="13.453125" style="31" customWidth="1"/>
    <col min="9485" max="9728" width="9.08984375" style="31"/>
    <col min="9729" max="9729" width="0" style="31" hidden="1" customWidth="1"/>
    <col min="9730" max="9730" width="25.54296875" style="31" customWidth="1"/>
    <col min="9731" max="9731" width="17" style="31" customWidth="1"/>
    <col min="9732" max="9732" width="11.453125" style="31" customWidth="1"/>
    <col min="9733" max="9733" width="14.453125" style="31" customWidth="1"/>
    <col min="9734" max="9734" width="12.54296875" style="31" customWidth="1"/>
    <col min="9735" max="9739" width="13.6328125" style="31" customWidth="1"/>
    <col min="9740" max="9740" width="13.453125" style="31" customWidth="1"/>
    <col min="9741" max="9984" width="9.08984375" style="31"/>
    <col min="9985" max="9985" width="0" style="31" hidden="1" customWidth="1"/>
    <col min="9986" max="9986" width="25.54296875" style="31" customWidth="1"/>
    <col min="9987" max="9987" width="17" style="31" customWidth="1"/>
    <col min="9988" max="9988" width="11.453125" style="31" customWidth="1"/>
    <col min="9989" max="9989" width="14.453125" style="31" customWidth="1"/>
    <col min="9990" max="9990" width="12.54296875" style="31" customWidth="1"/>
    <col min="9991" max="9995" width="13.6328125" style="31" customWidth="1"/>
    <col min="9996" max="9996" width="13.453125" style="31" customWidth="1"/>
    <col min="9997" max="10240" width="9.08984375" style="31"/>
    <col min="10241" max="10241" width="0" style="31" hidden="1" customWidth="1"/>
    <col min="10242" max="10242" width="25.54296875" style="31" customWidth="1"/>
    <col min="10243" max="10243" width="17" style="31" customWidth="1"/>
    <col min="10244" max="10244" width="11.453125" style="31" customWidth="1"/>
    <col min="10245" max="10245" width="14.453125" style="31" customWidth="1"/>
    <col min="10246" max="10246" width="12.54296875" style="31" customWidth="1"/>
    <col min="10247" max="10251" width="13.6328125" style="31" customWidth="1"/>
    <col min="10252" max="10252" width="13.453125" style="31" customWidth="1"/>
    <col min="10253" max="10496" width="9.08984375" style="31"/>
    <col min="10497" max="10497" width="0" style="31" hidden="1" customWidth="1"/>
    <col min="10498" max="10498" width="25.54296875" style="31" customWidth="1"/>
    <col min="10499" max="10499" width="17" style="31" customWidth="1"/>
    <col min="10500" max="10500" width="11.453125" style="31" customWidth="1"/>
    <col min="10501" max="10501" width="14.453125" style="31" customWidth="1"/>
    <col min="10502" max="10502" width="12.54296875" style="31" customWidth="1"/>
    <col min="10503" max="10507" width="13.6328125" style="31" customWidth="1"/>
    <col min="10508" max="10508" width="13.453125" style="31" customWidth="1"/>
    <col min="10509" max="10752" width="9.08984375" style="31"/>
    <col min="10753" max="10753" width="0" style="31" hidden="1" customWidth="1"/>
    <col min="10754" max="10754" width="25.54296875" style="31" customWidth="1"/>
    <col min="10755" max="10755" width="17" style="31" customWidth="1"/>
    <col min="10756" max="10756" width="11.453125" style="31" customWidth="1"/>
    <col min="10757" max="10757" width="14.453125" style="31" customWidth="1"/>
    <col min="10758" max="10758" width="12.54296875" style="31" customWidth="1"/>
    <col min="10759" max="10763" width="13.6328125" style="31" customWidth="1"/>
    <col min="10764" max="10764" width="13.453125" style="31" customWidth="1"/>
    <col min="10765" max="11008" width="9.08984375" style="31"/>
    <col min="11009" max="11009" width="0" style="31" hidden="1" customWidth="1"/>
    <col min="11010" max="11010" width="25.54296875" style="31" customWidth="1"/>
    <col min="11011" max="11011" width="17" style="31" customWidth="1"/>
    <col min="11012" max="11012" width="11.453125" style="31" customWidth="1"/>
    <col min="11013" max="11013" width="14.453125" style="31" customWidth="1"/>
    <col min="11014" max="11014" width="12.54296875" style="31" customWidth="1"/>
    <col min="11015" max="11019" width="13.6328125" style="31" customWidth="1"/>
    <col min="11020" max="11020" width="13.453125" style="31" customWidth="1"/>
    <col min="11021" max="11264" width="9.08984375" style="31"/>
    <col min="11265" max="11265" width="0" style="31" hidden="1" customWidth="1"/>
    <col min="11266" max="11266" width="25.54296875" style="31" customWidth="1"/>
    <col min="11267" max="11267" width="17" style="31" customWidth="1"/>
    <col min="11268" max="11268" width="11.453125" style="31" customWidth="1"/>
    <col min="11269" max="11269" width="14.453125" style="31" customWidth="1"/>
    <col min="11270" max="11270" width="12.54296875" style="31" customWidth="1"/>
    <col min="11271" max="11275" width="13.6328125" style="31" customWidth="1"/>
    <col min="11276" max="11276" width="13.453125" style="31" customWidth="1"/>
    <col min="11277" max="11520" width="9.08984375" style="31"/>
    <col min="11521" max="11521" width="0" style="31" hidden="1" customWidth="1"/>
    <col min="11522" max="11522" width="25.54296875" style="31" customWidth="1"/>
    <col min="11523" max="11523" width="17" style="31" customWidth="1"/>
    <col min="11524" max="11524" width="11.453125" style="31" customWidth="1"/>
    <col min="11525" max="11525" width="14.453125" style="31" customWidth="1"/>
    <col min="11526" max="11526" width="12.54296875" style="31" customWidth="1"/>
    <col min="11527" max="11531" width="13.6328125" style="31" customWidth="1"/>
    <col min="11532" max="11532" width="13.453125" style="31" customWidth="1"/>
    <col min="11533" max="11776" width="9.08984375" style="31"/>
    <col min="11777" max="11777" width="0" style="31" hidden="1" customWidth="1"/>
    <col min="11778" max="11778" width="25.54296875" style="31" customWidth="1"/>
    <col min="11779" max="11779" width="17" style="31" customWidth="1"/>
    <col min="11780" max="11780" width="11.453125" style="31" customWidth="1"/>
    <col min="11781" max="11781" width="14.453125" style="31" customWidth="1"/>
    <col min="11782" max="11782" width="12.54296875" style="31" customWidth="1"/>
    <col min="11783" max="11787" width="13.6328125" style="31" customWidth="1"/>
    <col min="11788" max="11788" width="13.453125" style="31" customWidth="1"/>
    <col min="11789" max="12032" width="9.08984375" style="31"/>
    <col min="12033" max="12033" width="0" style="31" hidden="1" customWidth="1"/>
    <col min="12034" max="12034" width="25.54296875" style="31" customWidth="1"/>
    <col min="12035" max="12035" width="17" style="31" customWidth="1"/>
    <col min="12036" max="12036" width="11.453125" style="31" customWidth="1"/>
    <col min="12037" max="12037" width="14.453125" style="31" customWidth="1"/>
    <col min="12038" max="12038" width="12.54296875" style="31" customWidth="1"/>
    <col min="12039" max="12043" width="13.6328125" style="31" customWidth="1"/>
    <col min="12044" max="12044" width="13.453125" style="31" customWidth="1"/>
    <col min="12045" max="12288" width="9.08984375" style="31"/>
    <col min="12289" max="12289" width="0" style="31" hidden="1" customWidth="1"/>
    <col min="12290" max="12290" width="25.54296875" style="31" customWidth="1"/>
    <col min="12291" max="12291" width="17" style="31" customWidth="1"/>
    <col min="12292" max="12292" width="11.453125" style="31" customWidth="1"/>
    <col min="12293" max="12293" width="14.453125" style="31" customWidth="1"/>
    <col min="12294" max="12294" width="12.54296875" style="31" customWidth="1"/>
    <col min="12295" max="12299" width="13.6328125" style="31" customWidth="1"/>
    <col min="12300" max="12300" width="13.453125" style="31" customWidth="1"/>
    <col min="12301" max="12544" width="9.08984375" style="31"/>
    <col min="12545" max="12545" width="0" style="31" hidden="1" customWidth="1"/>
    <col min="12546" max="12546" width="25.54296875" style="31" customWidth="1"/>
    <col min="12547" max="12547" width="17" style="31" customWidth="1"/>
    <col min="12548" max="12548" width="11.453125" style="31" customWidth="1"/>
    <col min="12549" max="12549" width="14.453125" style="31" customWidth="1"/>
    <col min="12550" max="12550" width="12.54296875" style="31" customWidth="1"/>
    <col min="12551" max="12555" width="13.6328125" style="31" customWidth="1"/>
    <col min="12556" max="12556" width="13.453125" style="31" customWidth="1"/>
    <col min="12557" max="12800" width="9.08984375" style="31"/>
    <col min="12801" max="12801" width="0" style="31" hidden="1" customWidth="1"/>
    <col min="12802" max="12802" width="25.54296875" style="31" customWidth="1"/>
    <col min="12803" max="12803" width="17" style="31" customWidth="1"/>
    <col min="12804" max="12804" width="11.453125" style="31" customWidth="1"/>
    <col min="12805" max="12805" width="14.453125" style="31" customWidth="1"/>
    <col min="12806" max="12806" width="12.54296875" style="31" customWidth="1"/>
    <col min="12807" max="12811" width="13.6328125" style="31" customWidth="1"/>
    <col min="12812" max="12812" width="13.453125" style="31" customWidth="1"/>
    <col min="12813" max="13056" width="9.08984375" style="31"/>
    <col min="13057" max="13057" width="0" style="31" hidden="1" customWidth="1"/>
    <col min="13058" max="13058" width="25.54296875" style="31" customWidth="1"/>
    <col min="13059" max="13059" width="17" style="31" customWidth="1"/>
    <col min="13060" max="13060" width="11.453125" style="31" customWidth="1"/>
    <col min="13061" max="13061" width="14.453125" style="31" customWidth="1"/>
    <col min="13062" max="13062" width="12.54296875" style="31" customWidth="1"/>
    <col min="13063" max="13067" width="13.6328125" style="31" customWidth="1"/>
    <col min="13068" max="13068" width="13.453125" style="31" customWidth="1"/>
    <col min="13069" max="13312" width="9.08984375" style="31"/>
    <col min="13313" max="13313" width="0" style="31" hidden="1" customWidth="1"/>
    <col min="13314" max="13314" width="25.54296875" style="31" customWidth="1"/>
    <col min="13315" max="13315" width="17" style="31" customWidth="1"/>
    <col min="13316" max="13316" width="11.453125" style="31" customWidth="1"/>
    <col min="13317" max="13317" width="14.453125" style="31" customWidth="1"/>
    <col min="13318" max="13318" width="12.54296875" style="31" customWidth="1"/>
    <col min="13319" max="13323" width="13.6328125" style="31" customWidth="1"/>
    <col min="13324" max="13324" width="13.453125" style="31" customWidth="1"/>
    <col min="13325" max="13568" width="9.08984375" style="31"/>
    <col min="13569" max="13569" width="0" style="31" hidden="1" customWidth="1"/>
    <col min="13570" max="13570" width="25.54296875" style="31" customWidth="1"/>
    <col min="13571" max="13571" width="17" style="31" customWidth="1"/>
    <col min="13572" max="13572" width="11.453125" style="31" customWidth="1"/>
    <col min="13573" max="13573" width="14.453125" style="31" customWidth="1"/>
    <col min="13574" max="13574" width="12.54296875" style="31" customWidth="1"/>
    <col min="13575" max="13579" width="13.6328125" style="31" customWidth="1"/>
    <col min="13580" max="13580" width="13.453125" style="31" customWidth="1"/>
    <col min="13581" max="13824" width="9.08984375" style="31"/>
    <col min="13825" max="13825" width="0" style="31" hidden="1" customWidth="1"/>
    <col min="13826" max="13826" width="25.54296875" style="31" customWidth="1"/>
    <col min="13827" max="13827" width="17" style="31" customWidth="1"/>
    <col min="13828" max="13828" width="11.453125" style="31" customWidth="1"/>
    <col min="13829" max="13829" width="14.453125" style="31" customWidth="1"/>
    <col min="13830" max="13830" width="12.54296875" style="31" customWidth="1"/>
    <col min="13831" max="13835" width="13.6328125" style="31" customWidth="1"/>
    <col min="13836" max="13836" width="13.453125" style="31" customWidth="1"/>
    <col min="13837" max="14080" width="9.08984375" style="31"/>
    <col min="14081" max="14081" width="0" style="31" hidden="1" customWidth="1"/>
    <col min="14082" max="14082" width="25.54296875" style="31" customWidth="1"/>
    <col min="14083" max="14083" width="17" style="31" customWidth="1"/>
    <col min="14084" max="14084" width="11.453125" style="31" customWidth="1"/>
    <col min="14085" max="14085" width="14.453125" style="31" customWidth="1"/>
    <col min="14086" max="14086" width="12.54296875" style="31" customWidth="1"/>
    <col min="14087" max="14091" width="13.6328125" style="31" customWidth="1"/>
    <col min="14092" max="14092" width="13.453125" style="31" customWidth="1"/>
    <col min="14093" max="14336" width="9.08984375" style="31"/>
    <col min="14337" max="14337" width="0" style="31" hidden="1" customWidth="1"/>
    <col min="14338" max="14338" width="25.54296875" style="31" customWidth="1"/>
    <col min="14339" max="14339" width="17" style="31" customWidth="1"/>
    <col min="14340" max="14340" width="11.453125" style="31" customWidth="1"/>
    <col min="14341" max="14341" width="14.453125" style="31" customWidth="1"/>
    <col min="14342" max="14342" width="12.54296875" style="31" customWidth="1"/>
    <col min="14343" max="14347" width="13.6328125" style="31" customWidth="1"/>
    <col min="14348" max="14348" width="13.453125" style="31" customWidth="1"/>
    <col min="14349" max="14592" width="9.08984375" style="31"/>
    <col min="14593" max="14593" width="0" style="31" hidden="1" customWidth="1"/>
    <col min="14594" max="14594" width="25.54296875" style="31" customWidth="1"/>
    <col min="14595" max="14595" width="17" style="31" customWidth="1"/>
    <col min="14596" max="14596" width="11.453125" style="31" customWidth="1"/>
    <col min="14597" max="14597" width="14.453125" style="31" customWidth="1"/>
    <col min="14598" max="14598" width="12.54296875" style="31" customWidth="1"/>
    <col min="14599" max="14603" width="13.6328125" style="31" customWidth="1"/>
    <col min="14604" max="14604" width="13.453125" style="31" customWidth="1"/>
    <col min="14605" max="14848" width="9.08984375" style="31"/>
    <col min="14849" max="14849" width="0" style="31" hidden="1" customWidth="1"/>
    <col min="14850" max="14850" width="25.54296875" style="31" customWidth="1"/>
    <col min="14851" max="14851" width="17" style="31" customWidth="1"/>
    <col min="14852" max="14852" width="11.453125" style="31" customWidth="1"/>
    <col min="14853" max="14853" width="14.453125" style="31" customWidth="1"/>
    <col min="14854" max="14854" width="12.54296875" style="31" customWidth="1"/>
    <col min="14855" max="14859" width="13.6328125" style="31" customWidth="1"/>
    <col min="14860" max="14860" width="13.453125" style="31" customWidth="1"/>
    <col min="14861" max="15104" width="9.08984375" style="31"/>
    <col min="15105" max="15105" width="0" style="31" hidden="1" customWidth="1"/>
    <col min="15106" max="15106" width="25.54296875" style="31" customWidth="1"/>
    <col min="15107" max="15107" width="17" style="31" customWidth="1"/>
    <col min="15108" max="15108" width="11.453125" style="31" customWidth="1"/>
    <col min="15109" max="15109" width="14.453125" style="31" customWidth="1"/>
    <col min="15110" max="15110" width="12.54296875" style="31" customWidth="1"/>
    <col min="15111" max="15115" width="13.6328125" style="31" customWidth="1"/>
    <col min="15116" max="15116" width="13.453125" style="31" customWidth="1"/>
    <col min="15117" max="15360" width="9.08984375" style="31"/>
    <col min="15361" max="15361" width="0" style="31" hidden="1" customWidth="1"/>
    <col min="15362" max="15362" width="25.54296875" style="31" customWidth="1"/>
    <col min="15363" max="15363" width="17" style="31" customWidth="1"/>
    <col min="15364" max="15364" width="11.453125" style="31" customWidth="1"/>
    <col min="15365" max="15365" width="14.453125" style="31" customWidth="1"/>
    <col min="15366" max="15366" width="12.54296875" style="31" customWidth="1"/>
    <col min="15367" max="15371" width="13.6328125" style="31" customWidth="1"/>
    <col min="15372" max="15372" width="13.453125" style="31" customWidth="1"/>
    <col min="15373" max="15616" width="9.08984375" style="31"/>
    <col min="15617" max="15617" width="0" style="31" hidden="1" customWidth="1"/>
    <col min="15618" max="15618" width="25.54296875" style="31" customWidth="1"/>
    <col min="15619" max="15619" width="17" style="31" customWidth="1"/>
    <col min="15620" max="15620" width="11.453125" style="31" customWidth="1"/>
    <col min="15621" max="15621" width="14.453125" style="31" customWidth="1"/>
    <col min="15622" max="15622" width="12.54296875" style="31" customWidth="1"/>
    <col min="15623" max="15627" width="13.6328125" style="31" customWidth="1"/>
    <col min="15628" max="15628" width="13.453125" style="31" customWidth="1"/>
    <col min="15629" max="15872" width="9.08984375" style="31"/>
    <col min="15873" max="15873" width="0" style="31" hidden="1" customWidth="1"/>
    <col min="15874" max="15874" width="25.54296875" style="31" customWidth="1"/>
    <col min="15875" max="15875" width="17" style="31" customWidth="1"/>
    <col min="15876" max="15876" width="11.453125" style="31" customWidth="1"/>
    <col min="15877" max="15877" width="14.453125" style="31" customWidth="1"/>
    <col min="15878" max="15878" width="12.54296875" style="31" customWidth="1"/>
    <col min="15879" max="15883" width="13.6328125" style="31" customWidth="1"/>
    <col min="15884" max="15884" width="13.453125" style="31" customWidth="1"/>
    <col min="15885" max="16128" width="9.08984375" style="31"/>
    <col min="16129" max="16129" width="0" style="31" hidden="1" customWidth="1"/>
    <col min="16130" max="16130" width="25.54296875" style="31" customWidth="1"/>
    <col min="16131" max="16131" width="17" style="31" customWidth="1"/>
    <col min="16132" max="16132" width="11.453125" style="31" customWidth="1"/>
    <col min="16133" max="16133" width="14.453125" style="31" customWidth="1"/>
    <col min="16134" max="16134" width="12.54296875" style="31" customWidth="1"/>
    <col min="16135" max="16139" width="13.6328125" style="31" customWidth="1"/>
    <col min="16140" max="16140" width="13.453125" style="31" customWidth="1"/>
    <col min="16141" max="16384" width="9.08984375" style="31"/>
  </cols>
  <sheetData>
    <row r="2" spans="1:26" ht="40.5" customHeight="1" x14ac:dyDescent="0.3">
      <c r="B2" s="120" t="s">
        <v>66</v>
      </c>
      <c r="C2" s="121"/>
      <c r="D2" s="122"/>
      <c r="E2" s="122"/>
      <c r="F2" s="122"/>
      <c r="G2" s="122"/>
      <c r="H2" s="122"/>
      <c r="I2" s="122"/>
      <c r="J2" s="122"/>
      <c r="K2" s="122"/>
      <c r="L2" s="123"/>
    </row>
    <row r="3" spans="1:26" s="60" customFormat="1" ht="43.5" customHeight="1" x14ac:dyDescent="0.35">
      <c r="B3" s="125"/>
      <c r="C3" s="117" t="s">
        <v>67</v>
      </c>
      <c r="D3" s="117"/>
      <c r="E3" s="117"/>
      <c r="F3" s="111" t="s">
        <v>68</v>
      </c>
      <c r="G3" s="111" t="s">
        <v>69</v>
      </c>
      <c r="H3" s="111" t="s">
        <v>70</v>
      </c>
      <c r="I3" s="111" t="s">
        <v>71</v>
      </c>
      <c r="J3" s="111" t="s">
        <v>72</v>
      </c>
      <c r="K3" s="111" t="s">
        <v>73</v>
      </c>
      <c r="L3" s="111" t="s">
        <v>74</v>
      </c>
      <c r="M3" s="111"/>
    </row>
    <row r="4" spans="1:26" s="60" customFormat="1" ht="47.25" customHeight="1" x14ac:dyDescent="0.35">
      <c r="B4" s="116"/>
      <c r="C4" s="33" t="s">
        <v>75</v>
      </c>
      <c r="D4" s="33" t="s">
        <v>76</v>
      </c>
      <c r="E4" s="33" t="s">
        <v>77</v>
      </c>
      <c r="F4" s="112"/>
      <c r="G4" s="112"/>
      <c r="H4" s="112"/>
      <c r="I4" s="112"/>
      <c r="J4" s="112"/>
      <c r="K4" s="112"/>
      <c r="L4" s="112"/>
      <c r="M4" s="112"/>
    </row>
    <row r="5" spans="1:26" s="60" customFormat="1" ht="18" hidden="1" customHeight="1" x14ac:dyDescent="0.35">
      <c r="D5" s="34" t="s">
        <v>78</v>
      </c>
      <c r="E5" s="34" t="s">
        <v>79</v>
      </c>
      <c r="F5" s="35" t="s">
        <v>80</v>
      </c>
      <c r="G5" s="35" t="s">
        <v>81</v>
      </c>
      <c r="H5" s="34" t="s">
        <v>82</v>
      </c>
      <c r="I5" s="34" t="s">
        <v>83</v>
      </c>
      <c r="J5" s="36" t="s">
        <v>84</v>
      </c>
      <c r="K5" s="60" t="s">
        <v>85</v>
      </c>
      <c r="L5" s="60" t="s">
        <v>86</v>
      </c>
    </row>
    <row r="6" spans="1:26" s="60" customFormat="1" ht="25.5" customHeight="1" x14ac:dyDescent="0.35">
      <c r="B6" s="37" t="s">
        <v>0</v>
      </c>
      <c r="C6" s="38">
        <f>C7+C48</f>
        <v>63201.2</v>
      </c>
      <c r="D6" s="38">
        <f t="shared" ref="D6:L6" si="0">D7+D48</f>
        <v>43705</v>
      </c>
      <c r="E6" s="38">
        <f t="shared" si="0"/>
        <v>19496.2</v>
      </c>
      <c r="F6" s="38">
        <f t="shared" si="0"/>
        <v>14469</v>
      </c>
      <c r="G6" s="38">
        <f t="shared" si="0"/>
        <v>1518</v>
      </c>
      <c r="H6" s="38">
        <f t="shared" si="0"/>
        <v>496</v>
      </c>
      <c r="I6" s="38">
        <f t="shared" si="0"/>
        <v>99</v>
      </c>
      <c r="J6" s="38">
        <f t="shared" si="0"/>
        <v>65</v>
      </c>
      <c r="K6" s="38">
        <f t="shared" si="0"/>
        <v>3181</v>
      </c>
      <c r="L6" s="38">
        <f t="shared" si="0"/>
        <v>1484061</v>
      </c>
      <c r="M6" s="39"/>
      <c r="N6" s="40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s="37" customFormat="1" ht="26.25" customHeight="1" x14ac:dyDescent="0.35">
      <c r="A7" s="27"/>
      <c r="B7" s="37" t="s">
        <v>52</v>
      </c>
      <c r="C7" s="42">
        <f>SUM(C8:C47)</f>
        <v>31258.2</v>
      </c>
      <c r="D7" s="42">
        <f t="shared" ref="D7:L7" si="1">SUM(D8:D47)</f>
        <v>20832</v>
      </c>
      <c r="E7" s="42">
        <f t="shared" si="1"/>
        <v>10426.200000000001</v>
      </c>
      <c r="F7" s="42">
        <f t="shared" si="1"/>
        <v>8199</v>
      </c>
      <c r="G7" s="42">
        <f t="shared" si="1"/>
        <v>776</v>
      </c>
      <c r="H7" s="42">
        <f t="shared" si="1"/>
        <v>347</v>
      </c>
      <c r="I7" s="42">
        <f t="shared" si="1"/>
        <v>55</v>
      </c>
      <c r="J7" s="42">
        <f t="shared" si="1"/>
        <v>49</v>
      </c>
      <c r="K7" s="42">
        <f t="shared" si="1"/>
        <v>2546</v>
      </c>
      <c r="L7" s="42">
        <f t="shared" si="1"/>
        <v>995407</v>
      </c>
      <c r="N7" s="41"/>
      <c r="O7" s="41"/>
      <c r="P7" s="41"/>
      <c r="Q7" s="41"/>
      <c r="R7" s="41"/>
      <c r="S7" s="41"/>
      <c r="T7" s="41"/>
      <c r="U7" s="41"/>
      <c r="V7" s="41"/>
      <c r="W7" s="41"/>
    </row>
    <row r="8" spans="1:26" s="60" customFormat="1" ht="12.5" x14ac:dyDescent="0.35">
      <c r="A8" s="28">
        <v>51</v>
      </c>
      <c r="B8" s="60" t="s">
        <v>5</v>
      </c>
      <c r="C8" s="41">
        <v>610</v>
      </c>
      <c r="D8" s="43">
        <v>306</v>
      </c>
      <c r="E8" s="43">
        <v>304</v>
      </c>
      <c r="F8" s="43">
        <v>280</v>
      </c>
      <c r="G8" s="43">
        <v>10</v>
      </c>
      <c r="H8" s="43">
        <v>11</v>
      </c>
      <c r="I8" s="43">
        <v>3</v>
      </c>
      <c r="J8" s="43">
        <v>2</v>
      </c>
      <c r="K8" s="43">
        <v>99</v>
      </c>
      <c r="L8" s="43">
        <v>16020</v>
      </c>
      <c r="N8" s="44"/>
      <c r="O8" s="41"/>
      <c r="P8" s="41"/>
      <c r="Q8" s="41"/>
      <c r="R8" s="41"/>
      <c r="S8" s="41"/>
      <c r="T8" s="41"/>
      <c r="U8" s="41"/>
      <c r="V8" s="41"/>
      <c r="W8" s="41"/>
    </row>
    <row r="9" spans="1:26" s="60" customFormat="1" ht="12.5" x14ac:dyDescent="0.35">
      <c r="A9" s="28">
        <v>52</v>
      </c>
      <c r="B9" s="60" t="s">
        <v>6</v>
      </c>
      <c r="C9" s="41">
        <v>1358</v>
      </c>
      <c r="D9" s="43">
        <v>1176</v>
      </c>
      <c r="E9" s="43">
        <v>182</v>
      </c>
      <c r="F9" s="43">
        <v>0</v>
      </c>
      <c r="G9" s="43">
        <v>2</v>
      </c>
      <c r="H9" s="43">
        <v>3</v>
      </c>
      <c r="I9" s="43">
        <v>0</v>
      </c>
      <c r="J9" s="43">
        <v>0</v>
      </c>
      <c r="K9" s="43">
        <v>23</v>
      </c>
      <c r="L9" s="43">
        <v>19766</v>
      </c>
      <c r="N9" s="41"/>
      <c r="O9" s="41"/>
      <c r="P9" s="41"/>
      <c r="Q9" s="41"/>
      <c r="R9" s="41"/>
      <c r="S9" s="41"/>
      <c r="T9" s="41"/>
      <c r="U9" s="41"/>
      <c r="V9" s="41"/>
      <c r="W9" s="41"/>
    </row>
    <row r="10" spans="1:26" s="60" customFormat="1" ht="12.5" x14ac:dyDescent="0.35">
      <c r="A10" s="28">
        <v>86</v>
      </c>
      <c r="B10" s="60" t="s">
        <v>7</v>
      </c>
      <c r="C10" s="41">
        <v>2056</v>
      </c>
      <c r="D10" s="43">
        <v>1478</v>
      </c>
      <c r="E10" s="43">
        <v>578</v>
      </c>
      <c r="F10" s="43">
        <v>467</v>
      </c>
      <c r="G10" s="43">
        <v>21</v>
      </c>
      <c r="H10" s="43">
        <v>1</v>
      </c>
      <c r="I10" s="43">
        <v>4</v>
      </c>
      <c r="J10" s="43">
        <v>0</v>
      </c>
      <c r="K10" s="43">
        <v>16</v>
      </c>
      <c r="L10" s="43">
        <v>0</v>
      </c>
      <c r="N10" s="41"/>
      <c r="O10" s="41"/>
      <c r="P10" s="41"/>
      <c r="Q10" s="41"/>
      <c r="R10" s="41"/>
      <c r="S10" s="41"/>
      <c r="T10" s="41"/>
      <c r="U10" s="41"/>
      <c r="V10" s="41"/>
      <c r="W10" s="41"/>
    </row>
    <row r="11" spans="1:26" s="60" customFormat="1" ht="12.5" x14ac:dyDescent="0.35">
      <c r="A11" s="28">
        <v>53</v>
      </c>
      <c r="B11" s="60" t="s">
        <v>8</v>
      </c>
      <c r="C11" s="41">
        <v>856.2</v>
      </c>
      <c r="D11" s="43">
        <v>156</v>
      </c>
      <c r="E11" s="43">
        <v>700.2</v>
      </c>
      <c r="F11" s="43">
        <v>423</v>
      </c>
      <c r="G11" s="43">
        <v>5</v>
      </c>
      <c r="H11" s="43">
        <v>5</v>
      </c>
      <c r="I11" s="43">
        <v>2</v>
      </c>
      <c r="J11" s="43">
        <v>5</v>
      </c>
      <c r="K11" s="43">
        <v>14</v>
      </c>
      <c r="L11" s="43">
        <v>11752</v>
      </c>
      <c r="N11" s="41"/>
      <c r="O11" s="41"/>
      <c r="P11" s="41"/>
      <c r="Q11" s="41"/>
      <c r="R11" s="41"/>
      <c r="S11" s="41"/>
      <c r="T11" s="41"/>
      <c r="U11" s="41"/>
      <c r="V11" s="41"/>
      <c r="W11" s="41"/>
    </row>
    <row r="12" spans="1:26" s="60" customFormat="1" ht="12.5" x14ac:dyDescent="0.35">
      <c r="A12" s="28">
        <v>54</v>
      </c>
      <c r="B12" s="60" t="s">
        <v>9</v>
      </c>
      <c r="C12" s="41">
        <v>482</v>
      </c>
      <c r="D12" s="43">
        <v>358</v>
      </c>
      <c r="E12" s="43">
        <v>124</v>
      </c>
      <c r="F12" s="43">
        <v>86</v>
      </c>
      <c r="G12" s="43">
        <v>7</v>
      </c>
      <c r="H12" s="43">
        <v>8</v>
      </c>
      <c r="I12" s="43">
        <v>0</v>
      </c>
      <c r="J12" s="43">
        <v>0</v>
      </c>
      <c r="K12" s="43">
        <v>31</v>
      </c>
      <c r="L12" s="43">
        <v>35597</v>
      </c>
      <c r="N12" s="41"/>
      <c r="O12" s="41"/>
      <c r="P12" s="41"/>
      <c r="Q12" s="41"/>
      <c r="R12" s="41"/>
      <c r="S12" s="41"/>
      <c r="T12" s="41"/>
      <c r="U12" s="41"/>
      <c r="V12" s="41"/>
      <c r="W12" s="41"/>
    </row>
    <row r="13" spans="1:26" s="60" customFormat="1" ht="12.5" x14ac:dyDescent="0.35">
      <c r="A13" s="28">
        <v>55</v>
      </c>
      <c r="B13" s="60" t="s">
        <v>10</v>
      </c>
      <c r="C13" s="41">
        <v>2408</v>
      </c>
      <c r="D13" s="43">
        <v>1719</v>
      </c>
      <c r="E13" s="43">
        <v>689</v>
      </c>
      <c r="F13" s="43">
        <v>603</v>
      </c>
      <c r="G13" s="43">
        <v>105</v>
      </c>
      <c r="H13" s="43">
        <v>19</v>
      </c>
      <c r="I13" s="43">
        <v>1</v>
      </c>
      <c r="J13" s="43">
        <v>0</v>
      </c>
      <c r="K13" s="43">
        <v>274</v>
      </c>
      <c r="L13" s="43">
        <v>26978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</row>
    <row r="14" spans="1:26" s="60" customFormat="1" ht="12.5" x14ac:dyDescent="0.35">
      <c r="A14" s="28">
        <v>56</v>
      </c>
      <c r="B14" s="60" t="s">
        <v>11</v>
      </c>
      <c r="C14" s="41">
        <v>922</v>
      </c>
      <c r="D14" s="43">
        <v>780</v>
      </c>
      <c r="E14" s="43">
        <v>142</v>
      </c>
      <c r="F14" s="43">
        <v>126</v>
      </c>
      <c r="G14" s="43">
        <v>2</v>
      </c>
      <c r="H14" s="43">
        <v>5</v>
      </c>
      <c r="I14" s="43">
        <v>0</v>
      </c>
      <c r="J14" s="43">
        <v>0</v>
      </c>
      <c r="K14" s="43">
        <v>49</v>
      </c>
      <c r="L14" s="43">
        <v>14182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</row>
    <row r="15" spans="1:26" s="60" customFormat="1" ht="12.5" x14ac:dyDescent="0.35">
      <c r="A15" s="28">
        <v>57</v>
      </c>
      <c r="B15" s="60" t="s">
        <v>12</v>
      </c>
      <c r="C15" s="41">
        <v>577</v>
      </c>
      <c r="D15" s="43">
        <v>455</v>
      </c>
      <c r="E15" s="43">
        <v>122</v>
      </c>
      <c r="F15" s="43">
        <v>113</v>
      </c>
      <c r="G15" s="43">
        <v>6</v>
      </c>
      <c r="H15" s="43">
        <v>3</v>
      </c>
      <c r="I15" s="43">
        <v>0</v>
      </c>
      <c r="J15" s="43">
        <v>0</v>
      </c>
      <c r="K15" s="43">
        <v>33</v>
      </c>
      <c r="L15" s="43">
        <v>17257</v>
      </c>
      <c r="N15" s="41"/>
      <c r="O15" s="41"/>
      <c r="P15" s="41"/>
      <c r="Q15" s="41"/>
      <c r="R15" s="41"/>
      <c r="S15" s="41"/>
      <c r="T15" s="41"/>
      <c r="U15" s="41"/>
      <c r="V15" s="41"/>
      <c r="W15" s="41"/>
    </row>
    <row r="16" spans="1:26" s="60" customFormat="1" ht="12.5" x14ac:dyDescent="0.35">
      <c r="A16" s="28">
        <v>59</v>
      </c>
      <c r="B16" s="60" t="s">
        <v>13</v>
      </c>
      <c r="C16" s="41">
        <v>700</v>
      </c>
      <c r="D16" s="43">
        <v>553</v>
      </c>
      <c r="E16" s="43">
        <v>147</v>
      </c>
      <c r="F16" s="43">
        <v>128</v>
      </c>
      <c r="G16" s="43">
        <v>39</v>
      </c>
      <c r="H16" s="43">
        <v>8</v>
      </c>
      <c r="I16" s="43">
        <v>0</v>
      </c>
      <c r="J16" s="43">
        <v>0</v>
      </c>
      <c r="K16" s="43">
        <v>47</v>
      </c>
      <c r="L16" s="43">
        <v>7508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</row>
    <row r="17" spans="1:23" s="60" customFormat="1" ht="12.5" x14ac:dyDescent="0.35">
      <c r="A17" s="28">
        <v>60</v>
      </c>
      <c r="B17" s="60" t="s">
        <v>14</v>
      </c>
      <c r="C17" s="41">
        <v>909</v>
      </c>
      <c r="D17" s="43">
        <v>544</v>
      </c>
      <c r="E17" s="43">
        <v>365</v>
      </c>
      <c r="F17" s="43">
        <v>300</v>
      </c>
      <c r="G17" s="43">
        <v>28</v>
      </c>
      <c r="H17" s="43">
        <v>12</v>
      </c>
      <c r="I17" s="43">
        <v>3</v>
      </c>
      <c r="J17" s="43">
        <v>2</v>
      </c>
      <c r="K17" s="43">
        <v>384</v>
      </c>
      <c r="L17" s="43">
        <v>34845</v>
      </c>
      <c r="N17" s="41"/>
      <c r="O17" s="41"/>
      <c r="P17" s="41"/>
      <c r="Q17" s="41"/>
      <c r="R17" s="41"/>
      <c r="S17" s="41"/>
      <c r="T17" s="41"/>
      <c r="U17" s="41"/>
      <c r="V17" s="41"/>
      <c r="W17" s="41"/>
    </row>
    <row r="18" spans="1:23" s="60" customFormat="1" ht="12.5" x14ac:dyDescent="0.35">
      <c r="A18" s="28">
        <v>61</v>
      </c>
      <c r="B18" s="45" t="s">
        <v>53</v>
      </c>
      <c r="C18" s="41">
        <v>605</v>
      </c>
      <c r="D18" s="43">
        <v>221</v>
      </c>
      <c r="E18" s="43">
        <v>384</v>
      </c>
      <c r="F18" s="43">
        <v>333</v>
      </c>
      <c r="G18" s="43">
        <v>41</v>
      </c>
      <c r="H18" s="43">
        <v>38</v>
      </c>
      <c r="I18" s="43">
        <v>5</v>
      </c>
      <c r="J18" s="43">
        <v>2</v>
      </c>
      <c r="K18" s="43">
        <v>48</v>
      </c>
      <c r="L18" s="43">
        <v>95482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</row>
    <row r="19" spans="1:23" s="98" customFormat="1" ht="12.5" x14ac:dyDescent="0.35">
      <c r="A19" s="28"/>
      <c r="B19" s="45" t="s">
        <v>113</v>
      </c>
      <c r="C19" s="41" t="s">
        <v>114</v>
      </c>
      <c r="D19" s="41" t="s">
        <v>114</v>
      </c>
      <c r="E19" s="41" t="s">
        <v>114</v>
      </c>
      <c r="F19" s="41" t="s">
        <v>114</v>
      </c>
      <c r="G19" s="41" t="s">
        <v>114</v>
      </c>
      <c r="H19" s="41" t="s">
        <v>114</v>
      </c>
      <c r="I19" s="41" t="s">
        <v>114</v>
      </c>
      <c r="J19" s="41" t="s">
        <v>114</v>
      </c>
      <c r="K19" s="41" t="s">
        <v>114</v>
      </c>
      <c r="L19" s="41" t="s">
        <v>114</v>
      </c>
      <c r="N19" s="41"/>
      <c r="O19" s="41"/>
      <c r="P19" s="41"/>
      <c r="Q19" s="41"/>
      <c r="R19" s="41"/>
      <c r="S19" s="41"/>
      <c r="T19" s="41"/>
      <c r="U19" s="41"/>
      <c r="V19" s="41"/>
      <c r="W19" s="41"/>
    </row>
    <row r="20" spans="1:23" s="60" customFormat="1" ht="12.5" x14ac:dyDescent="0.35">
      <c r="A20" s="28">
        <v>62</v>
      </c>
      <c r="B20" s="60" t="s">
        <v>16</v>
      </c>
      <c r="C20" s="41">
        <v>853</v>
      </c>
      <c r="D20" s="43">
        <v>659</v>
      </c>
      <c r="E20" s="43">
        <v>194</v>
      </c>
      <c r="F20" s="43">
        <v>175</v>
      </c>
      <c r="G20" s="43">
        <v>21</v>
      </c>
      <c r="H20" s="43">
        <v>4</v>
      </c>
      <c r="I20" s="43">
        <v>0</v>
      </c>
      <c r="J20" s="43">
        <v>0</v>
      </c>
      <c r="K20" s="43">
        <v>31</v>
      </c>
      <c r="L20" s="43">
        <v>44228</v>
      </c>
      <c r="N20" s="41"/>
      <c r="O20" s="41"/>
      <c r="P20" s="41"/>
      <c r="Q20" s="41"/>
      <c r="R20" s="41"/>
      <c r="S20" s="41"/>
      <c r="T20" s="41"/>
      <c r="U20" s="41"/>
      <c r="V20" s="41"/>
      <c r="W20" s="41"/>
    </row>
    <row r="21" spans="1:23" s="60" customFormat="1" ht="12.5" x14ac:dyDescent="0.35">
      <c r="A21" s="28">
        <v>58</v>
      </c>
      <c r="B21" s="60" t="s">
        <v>17</v>
      </c>
      <c r="C21" s="41">
        <v>2283</v>
      </c>
      <c r="D21" s="43">
        <v>1655</v>
      </c>
      <c r="E21" s="43">
        <v>628</v>
      </c>
      <c r="F21" s="43">
        <v>531</v>
      </c>
      <c r="G21" s="43">
        <v>0</v>
      </c>
      <c r="H21" s="43">
        <v>3</v>
      </c>
      <c r="I21" s="43">
        <v>0</v>
      </c>
      <c r="J21" s="43">
        <v>1</v>
      </c>
      <c r="K21" s="43">
        <v>52</v>
      </c>
      <c r="L21" s="43">
        <v>15364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</row>
    <row r="22" spans="1:23" s="60" customFormat="1" ht="12.5" x14ac:dyDescent="0.35">
      <c r="A22" s="28">
        <v>63</v>
      </c>
      <c r="B22" s="60" t="s">
        <v>18</v>
      </c>
      <c r="C22" s="41">
        <v>272</v>
      </c>
      <c r="D22" s="43">
        <v>156</v>
      </c>
      <c r="E22" s="43">
        <v>116</v>
      </c>
      <c r="F22" s="43">
        <v>104</v>
      </c>
      <c r="G22" s="43">
        <v>6</v>
      </c>
      <c r="H22" s="43">
        <v>13</v>
      </c>
      <c r="I22" s="43">
        <v>2</v>
      </c>
      <c r="J22" s="43">
        <v>0</v>
      </c>
      <c r="K22" s="43">
        <v>96</v>
      </c>
      <c r="L22" s="43">
        <v>25747</v>
      </c>
      <c r="N22" s="41"/>
      <c r="O22" s="41"/>
      <c r="P22" s="41"/>
      <c r="Q22" s="41"/>
      <c r="R22" s="41"/>
      <c r="S22" s="41"/>
      <c r="T22" s="41"/>
      <c r="U22" s="41"/>
      <c r="V22" s="41"/>
      <c r="W22" s="41"/>
    </row>
    <row r="23" spans="1:23" s="60" customFormat="1" ht="12.5" x14ac:dyDescent="0.35">
      <c r="A23" s="28">
        <v>64</v>
      </c>
      <c r="B23" s="60" t="s">
        <v>19</v>
      </c>
      <c r="C23" s="41">
        <v>1270</v>
      </c>
      <c r="D23" s="43">
        <v>927</v>
      </c>
      <c r="E23" s="43">
        <v>343</v>
      </c>
      <c r="F23" s="43">
        <v>0</v>
      </c>
      <c r="G23" s="43">
        <v>7</v>
      </c>
      <c r="H23" s="43">
        <v>11</v>
      </c>
      <c r="I23" s="43">
        <v>0</v>
      </c>
      <c r="J23" s="43">
        <v>0</v>
      </c>
      <c r="K23" s="43">
        <v>3</v>
      </c>
      <c r="L23" s="43">
        <v>32954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</row>
    <row r="24" spans="1:23" s="60" customFormat="1" ht="12.5" x14ac:dyDescent="0.35">
      <c r="A24" s="28">
        <v>65</v>
      </c>
      <c r="B24" s="60" t="s">
        <v>20</v>
      </c>
      <c r="C24" s="41">
        <v>397</v>
      </c>
      <c r="D24" s="43">
        <v>314</v>
      </c>
      <c r="E24" s="43">
        <v>83</v>
      </c>
      <c r="F24" s="43">
        <v>75</v>
      </c>
      <c r="G24" s="43">
        <v>10</v>
      </c>
      <c r="H24" s="43">
        <v>4</v>
      </c>
      <c r="I24" s="43">
        <v>0</v>
      </c>
      <c r="J24" s="43">
        <v>1</v>
      </c>
      <c r="K24" s="43">
        <v>14</v>
      </c>
      <c r="L24" s="43">
        <v>15987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</row>
    <row r="25" spans="1:23" s="60" customFormat="1" ht="12.5" x14ac:dyDescent="0.35">
      <c r="A25" s="28">
        <v>67</v>
      </c>
      <c r="B25" s="60" t="s">
        <v>23</v>
      </c>
      <c r="C25" s="41">
        <v>631</v>
      </c>
      <c r="D25" s="43">
        <v>312</v>
      </c>
      <c r="E25" s="43">
        <v>319</v>
      </c>
      <c r="F25" s="43">
        <v>283</v>
      </c>
      <c r="G25" s="43">
        <v>25</v>
      </c>
      <c r="H25" s="43">
        <v>13</v>
      </c>
      <c r="I25" s="43">
        <v>0</v>
      </c>
      <c r="J25" s="43">
        <v>21</v>
      </c>
      <c r="K25" s="43">
        <v>0</v>
      </c>
      <c r="L25" s="43">
        <v>104352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</row>
    <row r="26" spans="1:23" s="60" customFormat="1" ht="12.5" x14ac:dyDescent="0.35">
      <c r="A26" s="28">
        <v>68</v>
      </c>
      <c r="B26" s="60" t="s">
        <v>54</v>
      </c>
      <c r="C26" s="41">
        <v>718</v>
      </c>
      <c r="D26" s="43">
        <v>540</v>
      </c>
      <c r="E26" s="43">
        <v>178</v>
      </c>
      <c r="F26" s="43">
        <v>222</v>
      </c>
      <c r="G26" s="43">
        <v>9</v>
      </c>
      <c r="H26" s="43">
        <v>8</v>
      </c>
      <c r="I26" s="43">
        <v>0</v>
      </c>
      <c r="J26" s="43">
        <v>0</v>
      </c>
      <c r="K26" s="43">
        <v>6</v>
      </c>
      <c r="L26" s="43">
        <v>17477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</row>
    <row r="27" spans="1:23" s="60" customFormat="1" ht="12.5" x14ac:dyDescent="0.35">
      <c r="A27" s="28">
        <v>69</v>
      </c>
      <c r="B27" s="60" t="s">
        <v>25</v>
      </c>
      <c r="C27" s="41">
        <v>333</v>
      </c>
      <c r="D27" s="43">
        <v>255</v>
      </c>
      <c r="E27" s="43">
        <v>78</v>
      </c>
      <c r="F27" s="43">
        <v>34</v>
      </c>
      <c r="G27" s="43">
        <v>25</v>
      </c>
      <c r="H27" s="43">
        <v>7</v>
      </c>
      <c r="I27" s="43">
        <v>0</v>
      </c>
      <c r="J27" s="43">
        <v>0</v>
      </c>
      <c r="K27" s="43">
        <v>75</v>
      </c>
      <c r="L27" s="43">
        <v>23661</v>
      </c>
      <c r="N27" s="41"/>
      <c r="O27" s="41"/>
      <c r="P27" s="41"/>
      <c r="Q27" s="41"/>
      <c r="R27" s="41"/>
      <c r="S27" s="41"/>
      <c r="T27" s="41"/>
      <c r="U27" s="41"/>
      <c r="V27" s="41"/>
      <c r="W27" s="41"/>
    </row>
    <row r="28" spans="1:23" s="60" customFormat="1" ht="12.5" x14ac:dyDescent="0.35">
      <c r="A28" s="28">
        <v>70</v>
      </c>
      <c r="B28" s="60" t="s">
        <v>26</v>
      </c>
      <c r="C28" s="41">
        <v>1238</v>
      </c>
      <c r="D28" s="43">
        <v>957</v>
      </c>
      <c r="E28" s="43">
        <v>281</v>
      </c>
      <c r="F28" s="43">
        <v>264</v>
      </c>
      <c r="G28" s="43">
        <v>19</v>
      </c>
      <c r="H28" s="43">
        <v>19</v>
      </c>
      <c r="I28" s="43">
        <v>1</v>
      </c>
      <c r="J28" s="43">
        <v>3</v>
      </c>
      <c r="K28" s="43">
        <v>178</v>
      </c>
      <c r="L28" s="43">
        <v>38334</v>
      </c>
      <c r="N28" s="41"/>
      <c r="O28" s="41"/>
      <c r="P28" s="41"/>
      <c r="Q28" s="41"/>
      <c r="R28" s="41"/>
      <c r="S28" s="41"/>
      <c r="T28" s="41"/>
      <c r="U28" s="41"/>
      <c r="V28" s="41"/>
      <c r="W28" s="41"/>
    </row>
    <row r="29" spans="1:23" s="60" customFormat="1" ht="12.5" x14ac:dyDescent="0.35">
      <c r="A29" s="28">
        <v>71</v>
      </c>
      <c r="B29" s="60" t="s">
        <v>55</v>
      </c>
      <c r="C29" s="41">
        <v>152</v>
      </c>
      <c r="D29" s="43">
        <v>103</v>
      </c>
      <c r="E29" s="43">
        <v>49</v>
      </c>
      <c r="F29" s="43">
        <v>48</v>
      </c>
      <c r="G29" s="43">
        <v>3</v>
      </c>
      <c r="H29" s="43">
        <v>0</v>
      </c>
      <c r="I29" s="43">
        <v>0</v>
      </c>
      <c r="J29" s="43">
        <v>0</v>
      </c>
      <c r="K29" s="43">
        <v>5</v>
      </c>
      <c r="L29" s="43">
        <v>6341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</row>
    <row r="30" spans="1:23" s="60" customFormat="1" ht="12.5" x14ac:dyDescent="0.35">
      <c r="A30" s="28">
        <v>73</v>
      </c>
      <c r="B30" s="60" t="s">
        <v>29</v>
      </c>
      <c r="C30" s="41">
        <v>445</v>
      </c>
      <c r="D30" s="43">
        <v>333</v>
      </c>
      <c r="E30" s="43">
        <v>112</v>
      </c>
      <c r="F30" s="43">
        <v>0</v>
      </c>
      <c r="G30" s="43">
        <v>34</v>
      </c>
      <c r="H30" s="43">
        <v>15</v>
      </c>
      <c r="I30" s="43">
        <v>1</v>
      </c>
      <c r="J30" s="43">
        <v>0</v>
      </c>
      <c r="K30" s="43">
        <v>0</v>
      </c>
      <c r="L30" s="43">
        <v>0</v>
      </c>
      <c r="N30" s="41"/>
      <c r="O30" s="41"/>
      <c r="P30" s="41"/>
      <c r="Q30" s="41"/>
      <c r="R30" s="41"/>
      <c r="S30" s="41"/>
      <c r="T30" s="41"/>
      <c r="U30" s="41"/>
      <c r="V30" s="41"/>
      <c r="W30" s="41"/>
    </row>
    <row r="31" spans="1:23" s="60" customFormat="1" ht="12.5" x14ac:dyDescent="0.35">
      <c r="A31" s="28">
        <v>74</v>
      </c>
      <c r="B31" s="60" t="s">
        <v>30</v>
      </c>
      <c r="C31" s="41">
        <v>2100</v>
      </c>
      <c r="D31" s="43">
        <v>829</v>
      </c>
      <c r="E31" s="43">
        <v>1271</v>
      </c>
      <c r="F31" s="43">
        <v>943</v>
      </c>
      <c r="G31" s="43">
        <v>152</v>
      </c>
      <c r="H31" s="43">
        <v>10</v>
      </c>
      <c r="I31" s="43">
        <v>19</v>
      </c>
      <c r="J31" s="43">
        <v>10</v>
      </c>
      <c r="K31" s="43">
        <v>102</v>
      </c>
      <c r="L31" s="43">
        <v>33576</v>
      </c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1:23" s="60" customFormat="1" ht="12.5" x14ac:dyDescent="0.35">
      <c r="A32" s="28">
        <v>75</v>
      </c>
      <c r="B32" s="60" t="s">
        <v>31</v>
      </c>
      <c r="C32" s="41">
        <v>540</v>
      </c>
      <c r="D32" s="43">
        <v>414</v>
      </c>
      <c r="E32" s="43">
        <v>126</v>
      </c>
      <c r="F32" s="43">
        <v>250</v>
      </c>
      <c r="G32" s="43">
        <v>36</v>
      </c>
      <c r="H32" s="43">
        <v>23</v>
      </c>
      <c r="I32" s="43">
        <v>0</v>
      </c>
      <c r="J32" s="43">
        <v>0</v>
      </c>
      <c r="K32" s="43">
        <v>122</v>
      </c>
      <c r="L32" s="43">
        <v>24190</v>
      </c>
      <c r="N32" s="41"/>
      <c r="O32" s="41"/>
      <c r="P32" s="41"/>
      <c r="Q32" s="41"/>
      <c r="R32" s="41"/>
      <c r="S32" s="41"/>
      <c r="T32" s="41"/>
      <c r="U32" s="41"/>
      <c r="V32" s="41"/>
      <c r="W32" s="41"/>
    </row>
    <row r="33" spans="1:23" s="60" customFormat="1" ht="14.5" x14ac:dyDescent="0.35">
      <c r="A33" s="28">
        <v>76</v>
      </c>
      <c r="B33" s="60" t="s">
        <v>87</v>
      </c>
      <c r="C33" s="41">
        <v>243</v>
      </c>
      <c r="D33" s="43">
        <v>157</v>
      </c>
      <c r="E33" s="43">
        <v>86</v>
      </c>
      <c r="F33" s="43">
        <v>71</v>
      </c>
      <c r="G33" s="43">
        <v>18</v>
      </c>
      <c r="H33" s="43">
        <v>6</v>
      </c>
      <c r="I33" s="43">
        <v>1</v>
      </c>
      <c r="J33" s="43">
        <v>0</v>
      </c>
      <c r="K33" s="43">
        <v>13</v>
      </c>
      <c r="L33" s="43">
        <v>27598</v>
      </c>
      <c r="N33" s="41"/>
      <c r="O33" s="41"/>
      <c r="P33" s="41"/>
      <c r="Q33" s="41"/>
      <c r="R33" s="41"/>
      <c r="S33" s="41"/>
      <c r="T33" s="41"/>
      <c r="U33" s="41"/>
      <c r="V33" s="41"/>
      <c r="W33" s="41"/>
    </row>
    <row r="34" spans="1:23" s="60" customFormat="1" ht="12.5" x14ac:dyDescent="0.35">
      <c r="A34" s="28">
        <v>79</v>
      </c>
      <c r="B34" s="60" t="s">
        <v>34</v>
      </c>
      <c r="C34" s="41">
        <v>949</v>
      </c>
      <c r="D34" s="43">
        <v>802</v>
      </c>
      <c r="E34" s="43">
        <v>147</v>
      </c>
      <c r="F34" s="43">
        <v>135</v>
      </c>
      <c r="G34" s="43">
        <v>14</v>
      </c>
      <c r="H34" s="43">
        <v>6</v>
      </c>
      <c r="I34" s="43">
        <v>0</v>
      </c>
      <c r="J34" s="43">
        <v>0</v>
      </c>
      <c r="K34" s="43">
        <v>156</v>
      </c>
      <c r="L34" s="43">
        <v>22003</v>
      </c>
      <c r="N34" s="41"/>
      <c r="O34" s="41"/>
      <c r="P34" s="41"/>
      <c r="Q34" s="41"/>
      <c r="R34" s="41"/>
      <c r="S34" s="41"/>
      <c r="T34" s="41"/>
      <c r="U34" s="41"/>
      <c r="V34" s="41"/>
      <c r="W34" s="41"/>
    </row>
    <row r="35" spans="1:23" s="60" customFormat="1" ht="12.5" x14ac:dyDescent="0.35">
      <c r="A35" s="28">
        <v>80</v>
      </c>
      <c r="B35" s="60" t="s">
        <v>35</v>
      </c>
      <c r="C35" s="41">
        <v>1830</v>
      </c>
      <c r="D35" s="43">
        <v>1003</v>
      </c>
      <c r="E35" s="43">
        <v>827</v>
      </c>
      <c r="F35" s="43">
        <v>791</v>
      </c>
      <c r="G35" s="43">
        <v>25</v>
      </c>
      <c r="H35" s="43">
        <v>11</v>
      </c>
      <c r="I35" s="43">
        <v>4</v>
      </c>
      <c r="J35" s="43">
        <v>0</v>
      </c>
      <c r="K35" s="43">
        <v>120</v>
      </c>
      <c r="L35" s="43">
        <v>45874</v>
      </c>
      <c r="N35" s="41"/>
      <c r="O35" s="41"/>
      <c r="P35" s="41"/>
      <c r="Q35" s="41"/>
      <c r="R35" s="41"/>
      <c r="S35" s="41"/>
      <c r="T35" s="41"/>
      <c r="U35" s="41"/>
      <c r="V35" s="41"/>
      <c r="W35" s="41"/>
    </row>
    <row r="36" spans="1:23" s="60" customFormat="1" ht="12.5" x14ac:dyDescent="0.35">
      <c r="A36" s="28">
        <v>81</v>
      </c>
      <c r="B36" s="60" t="s">
        <v>36</v>
      </c>
      <c r="C36" s="41">
        <v>1141</v>
      </c>
      <c r="D36" s="43">
        <v>720</v>
      </c>
      <c r="E36" s="43">
        <v>421</v>
      </c>
      <c r="F36" s="43">
        <v>224</v>
      </c>
      <c r="G36" s="43">
        <v>42</v>
      </c>
      <c r="H36" s="43">
        <v>27</v>
      </c>
      <c r="I36" s="43">
        <v>0</v>
      </c>
      <c r="J36" s="43">
        <v>0</v>
      </c>
      <c r="K36" s="43">
        <v>36</v>
      </c>
      <c r="L36" s="43">
        <v>19469</v>
      </c>
      <c r="N36" s="41"/>
      <c r="O36" s="41"/>
      <c r="P36" s="41"/>
      <c r="Q36" s="41"/>
      <c r="R36" s="41"/>
      <c r="S36" s="41"/>
      <c r="T36" s="41"/>
      <c r="U36" s="41"/>
      <c r="V36" s="41"/>
      <c r="W36" s="41"/>
    </row>
    <row r="37" spans="1:23" s="60" customFormat="1" ht="12.5" x14ac:dyDescent="0.35">
      <c r="A37" s="28">
        <v>83</v>
      </c>
      <c r="B37" s="60" t="s">
        <v>37</v>
      </c>
      <c r="C37" s="41">
        <v>351</v>
      </c>
      <c r="D37" s="43">
        <v>161</v>
      </c>
      <c r="E37" s="43">
        <v>190</v>
      </c>
      <c r="F37" s="43">
        <v>186</v>
      </c>
      <c r="G37" s="43">
        <v>5</v>
      </c>
      <c r="H37" s="43">
        <v>1</v>
      </c>
      <c r="I37" s="43">
        <v>0</v>
      </c>
      <c r="J37" s="43">
        <v>0</v>
      </c>
      <c r="K37" s="43">
        <v>34</v>
      </c>
      <c r="L37" s="43">
        <v>8484</v>
      </c>
      <c r="N37" s="41"/>
      <c r="O37" s="41"/>
      <c r="P37" s="41"/>
      <c r="Q37" s="41"/>
      <c r="R37" s="41"/>
      <c r="S37" s="41"/>
      <c r="T37" s="41"/>
      <c r="U37" s="41"/>
      <c r="V37" s="41"/>
      <c r="W37" s="41"/>
    </row>
    <row r="38" spans="1:23" s="60" customFormat="1" ht="12.5" x14ac:dyDescent="0.35">
      <c r="A38" s="28">
        <v>84</v>
      </c>
      <c r="B38" s="60" t="s">
        <v>38</v>
      </c>
      <c r="C38" s="41">
        <v>392</v>
      </c>
      <c r="D38" s="43">
        <v>260</v>
      </c>
      <c r="E38" s="43">
        <v>132</v>
      </c>
      <c r="F38" s="43">
        <v>123</v>
      </c>
      <c r="G38" s="43">
        <v>10</v>
      </c>
      <c r="H38" s="43">
        <v>14</v>
      </c>
      <c r="I38" s="43">
        <v>1</v>
      </c>
      <c r="J38" s="43">
        <v>0</v>
      </c>
      <c r="K38" s="43">
        <v>68</v>
      </c>
      <c r="L38" s="43">
        <v>25078</v>
      </c>
      <c r="N38" s="41"/>
      <c r="O38" s="41"/>
      <c r="P38" s="41"/>
      <c r="Q38" s="41"/>
      <c r="R38" s="41"/>
      <c r="S38" s="41"/>
      <c r="T38" s="41"/>
      <c r="U38" s="41"/>
      <c r="V38" s="41"/>
      <c r="W38" s="41"/>
    </row>
    <row r="39" spans="1:23" s="60" customFormat="1" ht="12.5" x14ac:dyDescent="0.35">
      <c r="A39" s="28">
        <v>85</v>
      </c>
      <c r="B39" s="60" t="s">
        <v>39</v>
      </c>
      <c r="C39" s="41">
        <v>419</v>
      </c>
      <c r="D39" s="43">
        <v>211</v>
      </c>
      <c r="E39" s="43">
        <v>208</v>
      </c>
      <c r="F39" s="43">
        <v>197</v>
      </c>
      <c r="G39" s="43">
        <v>7</v>
      </c>
      <c r="H39" s="43">
        <v>13</v>
      </c>
      <c r="I39" s="43">
        <v>7</v>
      </c>
      <c r="J39" s="43">
        <v>0</v>
      </c>
      <c r="K39" s="43">
        <v>198</v>
      </c>
      <c r="L39" s="43">
        <v>19804</v>
      </c>
      <c r="N39" s="41"/>
      <c r="O39" s="41"/>
      <c r="P39" s="41"/>
      <c r="Q39" s="41"/>
      <c r="R39" s="41"/>
      <c r="S39" s="41"/>
      <c r="T39" s="41"/>
      <c r="U39" s="41"/>
      <c r="V39" s="41"/>
      <c r="W39" s="41"/>
    </row>
    <row r="40" spans="1:23" s="60" customFormat="1" ht="12.5" x14ac:dyDescent="0.35">
      <c r="A40" s="28">
        <v>87</v>
      </c>
      <c r="B40" s="60" t="s">
        <v>40</v>
      </c>
      <c r="C40" s="41">
        <v>401</v>
      </c>
      <c r="D40" s="43">
        <v>256</v>
      </c>
      <c r="E40" s="43">
        <v>145</v>
      </c>
      <c r="F40" s="43">
        <v>98</v>
      </c>
      <c r="G40" s="43">
        <v>1</v>
      </c>
      <c r="H40" s="43">
        <v>8</v>
      </c>
      <c r="I40" s="43">
        <v>0</v>
      </c>
      <c r="J40" s="43">
        <v>0</v>
      </c>
      <c r="K40" s="43">
        <v>2</v>
      </c>
      <c r="L40" s="43">
        <v>14010</v>
      </c>
      <c r="N40" s="41"/>
      <c r="O40" s="41"/>
      <c r="P40" s="41"/>
      <c r="Q40" s="41"/>
      <c r="R40" s="41"/>
      <c r="S40" s="41"/>
      <c r="T40" s="41"/>
      <c r="U40" s="41"/>
      <c r="V40" s="41"/>
      <c r="W40" s="41"/>
    </row>
    <row r="41" spans="1:23" s="60" customFormat="1" ht="14.5" x14ac:dyDescent="0.35">
      <c r="A41" s="28">
        <v>90</v>
      </c>
      <c r="B41" s="60" t="s">
        <v>88</v>
      </c>
      <c r="C41" s="41">
        <v>167</v>
      </c>
      <c r="D41" s="43">
        <v>120</v>
      </c>
      <c r="E41" s="43">
        <v>47</v>
      </c>
      <c r="F41" s="43">
        <v>122</v>
      </c>
      <c r="G41" s="43">
        <v>2</v>
      </c>
      <c r="H41" s="43">
        <v>4</v>
      </c>
      <c r="I41" s="43">
        <v>0</v>
      </c>
      <c r="J41" s="43">
        <v>1</v>
      </c>
      <c r="K41" s="43">
        <v>0</v>
      </c>
      <c r="L41" s="43">
        <v>25327</v>
      </c>
      <c r="N41" s="41"/>
      <c r="O41" s="41"/>
      <c r="P41" s="41"/>
      <c r="Q41" s="41"/>
      <c r="R41" s="41"/>
      <c r="S41" s="41"/>
      <c r="T41" s="41"/>
      <c r="U41" s="41"/>
      <c r="V41" s="41"/>
      <c r="W41" s="41"/>
    </row>
    <row r="42" spans="1:23" s="60" customFormat="1" ht="12.5" x14ac:dyDescent="0.35">
      <c r="A42" s="28">
        <v>91</v>
      </c>
      <c r="B42" s="60" t="s">
        <v>43</v>
      </c>
      <c r="C42" s="41">
        <v>743</v>
      </c>
      <c r="D42" s="43">
        <v>611</v>
      </c>
      <c r="E42" s="43">
        <v>132</v>
      </c>
      <c r="F42" s="43">
        <v>130</v>
      </c>
      <c r="G42" s="43">
        <v>2</v>
      </c>
      <c r="H42" s="43">
        <v>0</v>
      </c>
      <c r="I42" s="43">
        <v>1</v>
      </c>
      <c r="J42" s="43">
        <v>0</v>
      </c>
      <c r="K42" s="43">
        <v>137</v>
      </c>
      <c r="L42" s="43">
        <v>37964</v>
      </c>
      <c r="N42" s="41"/>
      <c r="O42" s="41"/>
      <c r="P42" s="41"/>
      <c r="Q42" s="41"/>
      <c r="R42" s="41"/>
      <c r="S42" s="41"/>
      <c r="T42" s="41"/>
      <c r="U42" s="41"/>
      <c r="V42" s="41"/>
      <c r="W42" s="41"/>
    </row>
    <row r="43" spans="1:23" s="60" customFormat="1" ht="12.5" x14ac:dyDescent="0.35">
      <c r="A43" s="28">
        <v>92</v>
      </c>
      <c r="B43" s="60" t="s">
        <v>44</v>
      </c>
      <c r="C43" s="41">
        <v>519</v>
      </c>
      <c r="D43" s="43">
        <v>293</v>
      </c>
      <c r="E43" s="43">
        <v>226</v>
      </c>
      <c r="F43" s="43">
        <v>0</v>
      </c>
      <c r="G43" s="43">
        <v>11</v>
      </c>
      <c r="H43" s="43">
        <v>2</v>
      </c>
      <c r="I43" s="43">
        <v>0</v>
      </c>
      <c r="J43" s="43">
        <v>0</v>
      </c>
      <c r="K43" s="43">
        <v>0</v>
      </c>
      <c r="L43" s="43">
        <v>26384</v>
      </c>
      <c r="N43" s="41"/>
      <c r="O43" s="41"/>
      <c r="P43" s="41"/>
      <c r="Q43" s="41"/>
      <c r="R43" s="41"/>
      <c r="S43" s="41"/>
      <c r="T43" s="41"/>
      <c r="U43" s="41"/>
      <c r="V43" s="41"/>
      <c r="W43" s="41"/>
    </row>
    <row r="44" spans="1:23" s="60" customFormat="1" ht="12.5" x14ac:dyDescent="0.35">
      <c r="A44" s="28">
        <v>94</v>
      </c>
      <c r="B44" s="60" t="s">
        <v>46</v>
      </c>
      <c r="C44" s="41">
        <v>452</v>
      </c>
      <c r="D44" s="43">
        <v>244</v>
      </c>
      <c r="E44" s="43">
        <v>208</v>
      </c>
      <c r="F44" s="43">
        <v>175</v>
      </c>
      <c r="G44" s="43">
        <v>21</v>
      </c>
      <c r="H44" s="43">
        <v>8</v>
      </c>
      <c r="I44" s="43">
        <v>0</v>
      </c>
      <c r="J44" s="43">
        <v>0</v>
      </c>
      <c r="K44" s="43">
        <v>19</v>
      </c>
      <c r="L44" s="43">
        <v>13530</v>
      </c>
      <c r="N44" s="41"/>
      <c r="O44" s="41"/>
      <c r="P44" s="41"/>
      <c r="Q44" s="41"/>
      <c r="R44" s="41"/>
      <c r="S44" s="41"/>
      <c r="T44" s="41"/>
      <c r="U44" s="41"/>
      <c r="V44" s="41"/>
      <c r="W44" s="41"/>
    </row>
    <row r="45" spans="1:23" s="60" customFormat="1" ht="12.5" x14ac:dyDescent="0.35">
      <c r="A45" s="28">
        <v>96</v>
      </c>
      <c r="B45" s="60" t="s">
        <v>48</v>
      </c>
      <c r="C45" s="41">
        <v>739</v>
      </c>
      <c r="D45" s="43">
        <v>675</v>
      </c>
      <c r="E45" s="43">
        <v>64</v>
      </c>
      <c r="F45" s="43">
        <v>79</v>
      </c>
      <c r="G45" s="43">
        <v>4</v>
      </c>
      <c r="H45" s="43">
        <v>1</v>
      </c>
      <c r="I45" s="43">
        <v>0</v>
      </c>
      <c r="J45" s="43">
        <v>0</v>
      </c>
      <c r="K45" s="43">
        <v>59</v>
      </c>
      <c r="L45" s="43">
        <v>19899</v>
      </c>
      <c r="N45" s="41"/>
      <c r="O45" s="41"/>
      <c r="P45" s="41"/>
      <c r="Q45" s="41"/>
      <c r="R45" s="41"/>
      <c r="S45" s="41"/>
      <c r="T45" s="41"/>
      <c r="U45" s="41"/>
      <c r="V45" s="41"/>
      <c r="W45" s="41"/>
    </row>
    <row r="46" spans="1:23" s="60" customFormat="1" ht="12.5" x14ac:dyDescent="0.35">
      <c r="A46" s="28">
        <v>98</v>
      </c>
      <c r="B46" s="60" t="s">
        <v>50</v>
      </c>
      <c r="C46" s="41">
        <v>172</v>
      </c>
      <c r="D46" s="43">
        <v>94</v>
      </c>
      <c r="E46" s="43">
        <v>78</v>
      </c>
      <c r="F46" s="43">
        <v>80</v>
      </c>
      <c r="G46" s="43">
        <v>1</v>
      </c>
      <c r="H46" s="43">
        <v>3</v>
      </c>
      <c r="I46" s="43">
        <v>0</v>
      </c>
      <c r="J46" s="43">
        <v>1</v>
      </c>
      <c r="K46" s="43">
        <v>1</v>
      </c>
      <c r="L46" s="43">
        <v>28052</v>
      </c>
      <c r="N46" s="41"/>
      <c r="O46" s="41"/>
      <c r="P46" s="41"/>
      <c r="Q46" s="41"/>
      <c r="R46" s="41"/>
      <c r="S46" s="41"/>
      <c r="T46" s="41"/>
      <c r="U46" s="41"/>
      <c r="V46" s="41"/>
      <c r="W46" s="41"/>
    </row>
    <row r="47" spans="1:23" s="60" customFormat="1" ht="12.5" x14ac:dyDescent="0.35">
      <c r="A47" s="28">
        <v>72</v>
      </c>
      <c r="B47" s="60" t="s">
        <v>28</v>
      </c>
      <c r="C47" s="41">
        <v>25</v>
      </c>
      <c r="D47" s="43">
        <v>25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1</v>
      </c>
      <c r="L47" s="43">
        <v>333</v>
      </c>
      <c r="N47" s="41"/>
      <c r="O47" s="41"/>
      <c r="P47" s="41"/>
      <c r="Q47" s="41"/>
      <c r="R47" s="41"/>
      <c r="S47" s="41"/>
      <c r="T47" s="41"/>
      <c r="U47" s="41"/>
      <c r="V47" s="41"/>
      <c r="W47" s="41"/>
    </row>
    <row r="48" spans="1:23" s="37" customFormat="1" ht="26.25" customHeight="1" x14ac:dyDescent="0.35">
      <c r="B48" s="37" t="s">
        <v>56</v>
      </c>
      <c r="C48" s="42">
        <f>SUM(C49:C55)</f>
        <v>31943</v>
      </c>
      <c r="D48" s="42">
        <f t="shared" ref="D48:L48" si="2">SUM(D49:D55)</f>
        <v>22873</v>
      </c>
      <c r="E48" s="42">
        <f t="shared" si="2"/>
        <v>9070</v>
      </c>
      <c r="F48" s="42">
        <f t="shared" si="2"/>
        <v>6270</v>
      </c>
      <c r="G48" s="42">
        <f t="shared" si="2"/>
        <v>742</v>
      </c>
      <c r="H48" s="42">
        <f t="shared" si="2"/>
        <v>149</v>
      </c>
      <c r="I48" s="42">
        <f t="shared" si="2"/>
        <v>44</v>
      </c>
      <c r="J48" s="42">
        <f t="shared" si="2"/>
        <v>16</v>
      </c>
      <c r="K48" s="42">
        <f t="shared" si="2"/>
        <v>635</v>
      </c>
      <c r="L48" s="42">
        <f t="shared" si="2"/>
        <v>488654</v>
      </c>
      <c r="N48" s="41"/>
      <c r="O48" s="41"/>
      <c r="P48" s="41"/>
      <c r="Q48" s="41"/>
      <c r="R48" s="41"/>
      <c r="S48" s="41"/>
      <c r="T48" s="41"/>
      <c r="U48" s="41"/>
      <c r="V48" s="41"/>
      <c r="W48" s="41"/>
    </row>
    <row r="49" spans="1:23" s="60" customFormat="1" ht="12.5" x14ac:dyDescent="0.35">
      <c r="A49" s="28">
        <v>66</v>
      </c>
      <c r="B49" s="60" t="s">
        <v>22</v>
      </c>
      <c r="C49" s="41">
        <v>8336</v>
      </c>
      <c r="D49" s="43">
        <v>5537</v>
      </c>
      <c r="E49" s="43">
        <v>2799</v>
      </c>
      <c r="F49" s="43">
        <v>1222</v>
      </c>
      <c r="G49" s="43">
        <v>116</v>
      </c>
      <c r="H49" s="43">
        <v>42</v>
      </c>
      <c r="I49" s="43">
        <v>13</v>
      </c>
      <c r="J49" s="43">
        <v>0</v>
      </c>
      <c r="K49" s="43">
        <v>20</v>
      </c>
      <c r="L49" s="43">
        <v>67103</v>
      </c>
      <c r="N49" s="41"/>
      <c r="O49" s="41"/>
      <c r="P49" s="41"/>
      <c r="Q49" s="41"/>
      <c r="R49" s="41"/>
      <c r="S49" s="41"/>
      <c r="T49" s="41"/>
      <c r="U49" s="41"/>
      <c r="V49" s="41"/>
      <c r="W49" s="41"/>
    </row>
    <row r="50" spans="1:23" s="60" customFormat="1" ht="12.5" x14ac:dyDescent="0.35">
      <c r="A50" s="28">
        <v>78</v>
      </c>
      <c r="B50" s="60" t="s">
        <v>33</v>
      </c>
      <c r="C50" s="41">
        <v>1854</v>
      </c>
      <c r="D50" s="43">
        <v>1417</v>
      </c>
      <c r="E50" s="43">
        <v>437</v>
      </c>
      <c r="F50" s="43">
        <v>381</v>
      </c>
      <c r="G50" s="43">
        <v>25</v>
      </c>
      <c r="H50" s="43">
        <v>27</v>
      </c>
      <c r="I50" s="43">
        <v>1</v>
      </c>
      <c r="J50" s="43">
        <v>4</v>
      </c>
      <c r="K50" s="43">
        <v>36</v>
      </c>
      <c r="L50" s="43">
        <v>27858</v>
      </c>
      <c r="N50" s="41"/>
      <c r="O50" s="41"/>
      <c r="P50" s="41"/>
      <c r="Q50" s="41"/>
      <c r="R50" s="41"/>
      <c r="S50" s="41"/>
      <c r="T50" s="41"/>
      <c r="U50" s="41"/>
      <c r="V50" s="41"/>
      <c r="W50" s="41"/>
    </row>
    <row r="51" spans="1:23" s="60" customFormat="1" ht="12.5" x14ac:dyDescent="0.35">
      <c r="A51" s="28">
        <v>89</v>
      </c>
      <c r="B51" s="60" t="s">
        <v>41</v>
      </c>
      <c r="C51" s="41">
        <v>2632</v>
      </c>
      <c r="D51" s="43">
        <v>1264</v>
      </c>
      <c r="E51" s="43">
        <v>1368</v>
      </c>
      <c r="F51" s="43">
        <v>1229</v>
      </c>
      <c r="G51" s="43">
        <v>36</v>
      </c>
      <c r="H51" s="43">
        <v>9</v>
      </c>
      <c r="I51" s="43">
        <v>0</v>
      </c>
      <c r="J51" s="43">
        <v>0</v>
      </c>
      <c r="K51" s="43">
        <v>106</v>
      </c>
      <c r="L51" s="43">
        <v>38277</v>
      </c>
      <c r="N51" s="41"/>
      <c r="O51" s="41"/>
      <c r="P51" s="41"/>
      <c r="Q51" s="41"/>
      <c r="R51" s="41"/>
      <c r="S51" s="41"/>
      <c r="T51" s="41"/>
      <c r="U51" s="41"/>
      <c r="V51" s="41"/>
      <c r="W51" s="41"/>
    </row>
    <row r="52" spans="1:23" s="60" customFormat="1" ht="12.5" x14ac:dyDescent="0.35">
      <c r="A52" s="28">
        <v>93</v>
      </c>
      <c r="B52" s="60" t="s">
        <v>57</v>
      </c>
      <c r="C52" s="41">
        <v>2354</v>
      </c>
      <c r="D52" s="43">
        <v>1614</v>
      </c>
      <c r="E52" s="43">
        <v>740</v>
      </c>
      <c r="F52" s="43">
        <v>716</v>
      </c>
      <c r="G52" s="43">
        <v>12</v>
      </c>
      <c r="H52" s="43">
        <v>8</v>
      </c>
      <c r="I52" s="43">
        <v>1</v>
      </c>
      <c r="J52" s="43">
        <v>7</v>
      </c>
      <c r="K52" s="43">
        <v>21</v>
      </c>
      <c r="L52" s="43">
        <v>31719</v>
      </c>
      <c r="N52" s="41"/>
      <c r="O52" s="41"/>
      <c r="P52" s="41"/>
      <c r="Q52" s="41"/>
      <c r="R52" s="41"/>
      <c r="S52" s="41"/>
      <c r="T52" s="41"/>
      <c r="U52" s="41"/>
      <c r="V52" s="41"/>
      <c r="W52" s="41"/>
    </row>
    <row r="53" spans="1:23" s="60" customFormat="1" ht="12.5" x14ac:dyDescent="0.35">
      <c r="A53" s="28">
        <v>95</v>
      </c>
      <c r="B53" s="60" t="s">
        <v>47</v>
      </c>
      <c r="C53" s="41">
        <v>1526</v>
      </c>
      <c r="D53" s="43">
        <v>732</v>
      </c>
      <c r="E53" s="43">
        <v>794</v>
      </c>
      <c r="F53" s="43">
        <v>426</v>
      </c>
      <c r="G53" s="43">
        <v>24</v>
      </c>
      <c r="H53" s="43">
        <v>26</v>
      </c>
      <c r="I53" s="43">
        <v>20</v>
      </c>
      <c r="J53" s="43">
        <v>5</v>
      </c>
      <c r="K53" s="43">
        <v>167</v>
      </c>
      <c r="L53" s="43">
        <v>89103</v>
      </c>
      <c r="N53" s="41"/>
      <c r="O53" s="41"/>
      <c r="P53" s="41"/>
      <c r="Q53" s="41"/>
      <c r="R53" s="41"/>
      <c r="S53" s="41"/>
      <c r="T53" s="41"/>
      <c r="U53" s="41"/>
      <c r="V53" s="41"/>
      <c r="W53" s="41"/>
    </row>
    <row r="54" spans="1:23" s="60" customFormat="1" ht="12.5" x14ac:dyDescent="0.35">
      <c r="A54" s="28">
        <v>97</v>
      </c>
      <c r="B54" s="60" t="s">
        <v>49</v>
      </c>
      <c r="C54" s="41">
        <v>1532</v>
      </c>
      <c r="D54" s="43">
        <v>1024</v>
      </c>
      <c r="E54" s="43">
        <v>508</v>
      </c>
      <c r="F54" s="43">
        <v>348</v>
      </c>
      <c r="G54" s="43">
        <v>114</v>
      </c>
      <c r="H54" s="43">
        <v>7</v>
      </c>
      <c r="I54" s="43">
        <v>6</v>
      </c>
      <c r="J54" s="43">
        <v>0</v>
      </c>
      <c r="K54" s="43">
        <v>285</v>
      </c>
      <c r="L54" s="43">
        <v>78482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</row>
    <row r="55" spans="1:23" s="60" customFormat="1" ht="12.5" x14ac:dyDescent="0.35">
      <c r="A55" s="28">
        <v>77</v>
      </c>
      <c r="B55" s="61" t="s">
        <v>21</v>
      </c>
      <c r="C55" s="41">
        <v>13709</v>
      </c>
      <c r="D55" s="43">
        <v>11285</v>
      </c>
      <c r="E55" s="43">
        <v>2424</v>
      </c>
      <c r="F55" s="43">
        <v>1948</v>
      </c>
      <c r="G55" s="43">
        <v>415</v>
      </c>
      <c r="H55" s="43">
        <v>30</v>
      </c>
      <c r="I55" s="43">
        <v>3</v>
      </c>
      <c r="J55" s="43">
        <v>0</v>
      </c>
      <c r="K55" s="43">
        <v>0</v>
      </c>
      <c r="L55" s="43">
        <v>156112</v>
      </c>
      <c r="N55" s="41"/>
      <c r="O55" s="41"/>
      <c r="P55" s="41"/>
      <c r="Q55" s="41"/>
      <c r="R55" s="41"/>
      <c r="S55" s="41"/>
      <c r="T55" s="41"/>
      <c r="U55" s="41"/>
      <c r="V55" s="41"/>
      <c r="W55" s="41"/>
    </row>
    <row r="56" spans="1:23" s="60" customFormat="1" ht="6" customHeight="1" x14ac:dyDescent="0.35">
      <c r="B56" s="50"/>
      <c r="C56" s="50"/>
      <c r="I56" s="51"/>
    </row>
    <row r="57" spans="1:23" s="60" customFormat="1" ht="14.25" customHeight="1" x14ac:dyDescent="0.35">
      <c r="B57" s="52" t="s">
        <v>89</v>
      </c>
      <c r="C57" s="50"/>
      <c r="I57" s="51"/>
    </row>
    <row r="58" spans="1:23" s="60" customFormat="1" ht="14.25" customHeight="1" x14ac:dyDescent="0.35">
      <c r="B58" s="52" t="s">
        <v>90</v>
      </c>
      <c r="C58" s="50"/>
      <c r="I58" s="51"/>
    </row>
    <row r="59" spans="1:23" s="60" customFormat="1" ht="14.25" customHeight="1" x14ac:dyDescent="0.35">
      <c r="B59" s="50"/>
      <c r="C59" s="50"/>
      <c r="I59" s="51"/>
    </row>
    <row r="60" spans="1:23" s="60" customFormat="1" x14ac:dyDescent="0.35">
      <c r="B60" s="53" t="s">
        <v>91</v>
      </c>
      <c r="C60" s="53"/>
      <c r="I60" s="54"/>
    </row>
    <row r="61" spans="1:23" s="60" customFormat="1" ht="9.75" customHeight="1" x14ac:dyDescent="0.35">
      <c r="I61" s="51"/>
    </row>
  </sheetData>
  <mergeCells count="11">
    <mergeCell ref="M3:M4"/>
    <mergeCell ref="B2:L2"/>
    <mergeCell ref="B3:B4"/>
    <mergeCell ref="C3:E3"/>
    <mergeCell ref="F3:F4"/>
    <mergeCell ref="G3:G4"/>
    <mergeCell ref="H3:H4"/>
    <mergeCell ref="I3:I4"/>
    <mergeCell ref="J3:J4"/>
    <mergeCell ref="K3:K4"/>
    <mergeCell ref="L3:L4"/>
  </mergeCells>
  <pageMargins left="0.48" right="0.31" top="0.24" bottom="0.16" header="0.5" footer="0.16"/>
  <pageSetup paperSize="9" scale="6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0000"/>
    <pageSetUpPr fitToPage="1"/>
  </sheetPr>
  <dimension ref="A2:Z61"/>
  <sheetViews>
    <sheetView showGridLines="0" zoomScale="85" zoomScaleNormal="85" workbookViewId="0">
      <pane xSplit="2" ySplit="4" topLeftCell="C5" activePane="bottomRight" state="frozen"/>
      <selection activeCell="B1" sqref="B1"/>
      <selection pane="topRight" activeCell="C1" sqref="C1"/>
      <selection pane="bottomLeft" activeCell="B4" sqref="B4"/>
      <selection pane="bottomRight" activeCell="A34" sqref="A34:XFD34"/>
    </sheetView>
  </sheetViews>
  <sheetFormatPr defaultRowHeight="13" x14ac:dyDescent="0.3"/>
  <cols>
    <col min="1" max="1" width="3" style="31" hidden="1" customWidth="1"/>
    <col min="2" max="2" width="25.54296875" style="31" customWidth="1"/>
    <col min="3" max="3" width="17" style="31" customWidth="1"/>
    <col min="4" max="4" width="11.453125" style="31" customWidth="1"/>
    <col min="5" max="5" width="14.453125" style="55" customWidth="1"/>
    <col min="6" max="6" width="12.54296875" style="55" customWidth="1"/>
    <col min="7" max="9" width="13.6328125" style="55" customWidth="1"/>
    <col min="10" max="11" width="13.6328125" style="31" customWidth="1"/>
    <col min="12" max="12" width="13.453125" style="31" customWidth="1"/>
    <col min="13" max="256" width="9.08984375" style="31"/>
    <col min="257" max="257" width="0" style="31" hidden="1" customWidth="1"/>
    <col min="258" max="258" width="25.54296875" style="31" customWidth="1"/>
    <col min="259" max="259" width="17" style="31" customWidth="1"/>
    <col min="260" max="260" width="11.453125" style="31" customWidth="1"/>
    <col min="261" max="261" width="14.453125" style="31" customWidth="1"/>
    <col min="262" max="262" width="12.54296875" style="31" customWidth="1"/>
    <col min="263" max="267" width="13.6328125" style="31" customWidth="1"/>
    <col min="268" max="268" width="13.453125" style="31" customWidth="1"/>
    <col min="269" max="512" width="9.08984375" style="31"/>
    <col min="513" max="513" width="0" style="31" hidden="1" customWidth="1"/>
    <col min="514" max="514" width="25.54296875" style="31" customWidth="1"/>
    <col min="515" max="515" width="17" style="31" customWidth="1"/>
    <col min="516" max="516" width="11.453125" style="31" customWidth="1"/>
    <col min="517" max="517" width="14.453125" style="31" customWidth="1"/>
    <col min="518" max="518" width="12.54296875" style="31" customWidth="1"/>
    <col min="519" max="523" width="13.6328125" style="31" customWidth="1"/>
    <col min="524" max="524" width="13.453125" style="31" customWidth="1"/>
    <col min="525" max="768" width="9.08984375" style="31"/>
    <col min="769" max="769" width="0" style="31" hidden="1" customWidth="1"/>
    <col min="770" max="770" width="25.54296875" style="31" customWidth="1"/>
    <col min="771" max="771" width="17" style="31" customWidth="1"/>
    <col min="772" max="772" width="11.453125" style="31" customWidth="1"/>
    <col min="773" max="773" width="14.453125" style="31" customWidth="1"/>
    <col min="774" max="774" width="12.54296875" style="31" customWidth="1"/>
    <col min="775" max="779" width="13.6328125" style="31" customWidth="1"/>
    <col min="780" max="780" width="13.453125" style="31" customWidth="1"/>
    <col min="781" max="1024" width="9.08984375" style="31"/>
    <col min="1025" max="1025" width="0" style="31" hidden="1" customWidth="1"/>
    <col min="1026" max="1026" width="25.54296875" style="31" customWidth="1"/>
    <col min="1027" max="1027" width="17" style="31" customWidth="1"/>
    <col min="1028" max="1028" width="11.453125" style="31" customWidth="1"/>
    <col min="1029" max="1029" width="14.453125" style="31" customWidth="1"/>
    <col min="1030" max="1030" width="12.54296875" style="31" customWidth="1"/>
    <col min="1031" max="1035" width="13.6328125" style="31" customWidth="1"/>
    <col min="1036" max="1036" width="13.453125" style="31" customWidth="1"/>
    <col min="1037" max="1280" width="9.08984375" style="31"/>
    <col min="1281" max="1281" width="0" style="31" hidden="1" customWidth="1"/>
    <col min="1282" max="1282" width="25.54296875" style="31" customWidth="1"/>
    <col min="1283" max="1283" width="17" style="31" customWidth="1"/>
    <col min="1284" max="1284" width="11.453125" style="31" customWidth="1"/>
    <col min="1285" max="1285" width="14.453125" style="31" customWidth="1"/>
    <col min="1286" max="1286" width="12.54296875" style="31" customWidth="1"/>
    <col min="1287" max="1291" width="13.6328125" style="31" customWidth="1"/>
    <col min="1292" max="1292" width="13.453125" style="31" customWidth="1"/>
    <col min="1293" max="1536" width="9.08984375" style="31"/>
    <col min="1537" max="1537" width="0" style="31" hidden="1" customWidth="1"/>
    <col min="1538" max="1538" width="25.54296875" style="31" customWidth="1"/>
    <col min="1539" max="1539" width="17" style="31" customWidth="1"/>
    <col min="1540" max="1540" width="11.453125" style="31" customWidth="1"/>
    <col min="1541" max="1541" width="14.453125" style="31" customWidth="1"/>
    <col min="1542" max="1542" width="12.54296875" style="31" customWidth="1"/>
    <col min="1543" max="1547" width="13.6328125" style="31" customWidth="1"/>
    <col min="1548" max="1548" width="13.453125" style="31" customWidth="1"/>
    <col min="1549" max="1792" width="9.08984375" style="31"/>
    <col min="1793" max="1793" width="0" style="31" hidden="1" customWidth="1"/>
    <col min="1794" max="1794" width="25.54296875" style="31" customWidth="1"/>
    <col min="1795" max="1795" width="17" style="31" customWidth="1"/>
    <col min="1796" max="1796" width="11.453125" style="31" customWidth="1"/>
    <col min="1797" max="1797" width="14.453125" style="31" customWidth="1"/>
    <col min="1798" max="1798" width="12.54296875" style="31" customWidth="1"/>
    <col min="1799" max="1803" width="13.6328125" style="31" customWidth="1"/>
    <col min="1804" max="1804" width="13.453125" style="31" customWidth="1"/>
    <col min="1805" max="2048" width="9.08984375" style="31"/>
    <col min="2049" max="2049" width="0" style="31" hidden="1" customWidth="1"/>
    <col min="2050" max="2050" width="25.54296875" style="31" customWidth="1"/>
    <col min="2051" max="2051" width="17" style="31" customWidth="1"/>
    <col min="2052" max="2052" width="11.453125" style="31" customWidth="1"/>
    <col min="2053" max="2053" width="14.453125" style="31" customWidth="1"/>
    <col min="2054" max="2054" width="12.54296875" style="31" customWidth="1"/>
    <col min="2055" max="2059" width="13.6328125" style="31" customWidth="1"/>
    <col min="2060" max="2060" width="13.453125" style="31" customWidth="1"/>
    <col min="2061" max="2304" width="9.08984375" style="31"/>
    <col min="2305" max="2305" width="0" style="31" hidden="1" customWidth="1"/>
    <col min="2306" max="2306" width="25.54296875" style="31" customWidth="1"/>
    <col min="2307" max="2307" width="17" style="31" customWidth="1"/>
    <col min="2308" max="2308" width="11.453125" style="31" customWidth="1"/>
    <col min="2309" max="2309" width="14.453125" style="31" customWidth="1"/>
    <col min="2310" max="2310" width="12.54296875" style="31" customWidth="1"/>
    <col min="2311" max="2315" width="13.6328125" style="31" customWidth="1"/>
    <col min="2316" max="2316" width="13.453125" style="31" customWidth="1"/>
    <col min="2317" max="2560" width="9.08984375" style="31"/>
    <col min="2561" max="2561" width="0" style="31" hidden="1" customWidth="1"/>
    <col min="2562" max="2562" width="25.54296875" style="31" customWidth="1"/>
    <col min="2563" max="2563" width="17" style="31" customWidth="1"/>
    <col min="2564" max="2564" width="11.453125" style="31" customWidth="1"/>
    <col min="2565" max="2565" width="14.453125" style="31" customWidth="1"/>
    <col min="2566" max="2566" width="12.54296875" style="31" customWidth="1"/>
    <col min="2567" max="2571" width="13.6328125" style="31" customWidth="1"/>
    <col min="2572" max="2572" width="13.453125" style="31" customWidth="1"/>
    <col min="2573" max="2816" width="9.08984375" style="31"/>
    <col min="2817" max="2817" width="0" style="31" hidden="1" customWidth="1"/>
    <col min="2818" max="2818" width="25.54296875" style="31" customWidth="1"/>
    <col min="2819" max="2819" width="17" style="31" customWidth="1"/>
    <col min="2820" max="2820" width="11.453125" style="31" customWidth="1"/>
    <col min="2821" max="2821" width="14.453125" style="31" customWidth="1"/>
    <col min="2822" max="2822" width="12.54296875" style="31" customWidth="1"/>
    <col min="2823" max="2827" width="13.6328125" style="31" customWidth="1"/>
    <col min="2828" max="2828" width="13.453125" style="31" customWidth="1"/>
    <col min="2829" max="3072" width="9.08984375" style="31"/>
    <col min="3073" max="3073" width="0" style="31" hidden="1" customWidth="1"/>
    <col min="3074" max="3074" width="25.54296875" style="31" customWidth="1"/>
    <col min="3075" max="3075" width="17" style="31" customWidth="1"/>
    <col min="3076" max="3076" width="11.453125" style="31" customWidth="1"/>
    <col min="3077" max="3077" width="14.453125" style="31" customWidth="1"/>
    <col min="3078" max="3078" width="12.54296875" style="31" customWidth="1"/>
    <col min="3079" max="3083" width="13.6328125" style="31" customWidth="1"/>
    <col min="3084" max="3084" width="13.453125" style="31" customWidth="1"/>
    <col min="3085" max="3328" width="9.08984375" style="31"/>
    <col min="3329" max="3329" width="0" style="31" hidden="1" customWidth="1"/>
    <col min="3330" max="3330" width="25.54296875" style="31" customWidth="1"/>
    <col min="3331" max="3331" width="17" style="31" customWidth="1"/>
    <col min="3332" max="3332" width="11.453125" style="31" customWidth="1"/>
    <col min="3333" max="3333" width="14.453125" style="31" customWidth="1"/>
    <col min="3334" max="3334" width="12.54296875" style="31" customWidth="1"/>
    <col min="3335" max="3339" width="13.6328125" style="31" customWidth="1"/>
    <col min="3340" max="3340" width="13.453125" style="31" customWidth="1"/>
    <col min="3341" max="3584" width="9.08984375" style="31"/>
    <col min="3585" max="3585" width="0" style="31" hidden="1" customWidth="1"/>
    <col min="3586" max="3586" width="25.54296875" style="31" customWidth="1"/>
    <col min="3587" max="3587" width="17" style="31" customWidth="1"/>
    <col min="3588" max="3588" width="11.453125" style="31" customWidth="1"/>
    <col min="3589" max="3589" width="14.453125" style="31" customWidth="1"/>
    <col min="3590" max="3590" width="12.54296875" style="31" customWidth="1"/>
    <col min="3591" max="3595" width="13.6328125" style="31" customWidth="1"/>
    <col min="3596" max="3596" width="13.453125" style="31" customWidth="1"/>
    <col min="3597" max="3840" width="9.08984375" style="31"/>
    <col min="3841" max="3841" width="0" style="31" hidden="1" customWidth="1"/>
    <col min="3842" max="3842" width="25.54296875" style="31" customWidth="1"/>
    <col min="3843" max="3843" width="17" style="31" customWidth="1"/>
    <col min="3844" max="3844" width="11.453125" style="31" customWidth="1"/>
    <col min="3845" max="3845" width="14.453125" style="31" customWidth="1"/>
    <col min="3846" max="3846" width="12.54296875" style="31" customWidth="1"/>
    <col min="3847" max="3851" width="13.6328125" style="31" customWidth="1"/>
    <col min="3852" max="3852" width="13.453125" style="31" customWidth="1"/>
    <col min="3853" max="4096" width="9.08984375" style="31"/>
    <col min="4097" max="4097" width="0" style="31" hidden="1" customWidth="1"/>
    <col min="4098" max="4098" width="25.54296875" style="31" customWidth="1"/>
    <col min="4099" max="4099" width="17" style="31" customWidth="1"/>
    <col min="4100" max="4100" width="11.453125" style="31" customWidth="1"/>
    <col min="4101" max="4101" width="14.453125" style="31" customWidth="1"/>
    <col min="4102" max="4102" width="12.54296875" style="31" customWidth="1"/>
    <col min="4103" max="4107" width="13.6328125" style="31" customWidth="1"/>
    <col min="4108" max="4108" width="13.453125" style="31" customWidth="1"/>
    <col min="4109" max="4352" width="9.08984375" style="31"/>
    <col min="4353" max="4353" width="0" style="31" hidden="1" customWidth="1"/>
    <col min="4354" max="4354" width="25.54296875" style="31" customWidth="1"/>
    <col min="4355" max="4355" width="17" style="31" customWidth="1"/>
    <col min="4356" max="4356" width="11.453125" style="31" customWidth="1"/>
    <col min="4357" max="4357" width="14.453125" style="31" customWidth="1"/>
    <col min="4358" max="4358" width="12.54296875" style="31" customWidth="1"/>
    <col min="4359" max="4363" width="13.6328125" style="31" customWidth="1"/>
    <col min="4364" max="4364" width="13.453125" style="31" customWidth="1"/>
    <col min="4365" max="4608" width="9.08984375" style="31"/>
    <col min="4609" max="4609" width="0" style="31" hidden="1" customWidth="1"/>
    <col min="4610" max="4610" width="25.54296875" style="31" customWidth="1"/>
    <col min="4611" max="4611" width="17" style="31" customWidth="1"/>
    <col min="4612" max="4612" width="11.453125" style="31" customWidth="1"/>
    <col min="4613" max="4613" width="14.453125" style="31" customWidth="1"/>
    <col min="4614" max="4614" width="12.54296875" style="31" customWidth="1"/>
    <col min="4615" max="4619" width="13.6328125" style="31" customWidth="1"/>
    <col min="4620" max="4620" width="13.453125" style="31" customWidth="1"/>
    <col min="4621" max="4864" width="9.08984375" style="31"/>
    <col min="4865" max="4865" width="0" style="31" hidden="1" customWidth="1"/>
    <col min="4866" max="4866" width="25.54296875" style="31" customWidth="1"/>
    <col min="4867" max="4867" width="17" style="31" customWidth="1"/>
    <col min="4868" max="4868" width="11.453125" style="31" customWidth="1"/>
    <col min="4869" max="4869" width="14.453125" style="31" customWidth="1"/>
    <col min="4870" max="4870" width="12.54296875" style="31" customWidth="1"/>
    <col min="4871" max="4875" width="13.6328125" style="31" customWidth="1"/>
    <col min="4876" max="4876" width="13.453125" style="31" customWidth="1"/>
    <col min="4877" max="5120" width="9.08984375" style="31"/>
    <col min="5121" max="5121" width="0" style="31" hidden="1" customWidth="1"/>
    <col min="5122" max="5122" width="25.54296875" style="31" customWidth="1"/>
    <col min="5123" max="5123" width="17" style="31" customWidth="1"/>
    <col min="5124" max="5124" width="11.453125" style="31" customWidth="1"/>
    <col min="5125" max="5125" width="14.453125" style="31" customWidth="1"/>
    <col min="5126" max="5126" width="12.54296875" style="31" customWidth="1"/>
    <col min="5127" max="5131" width="13.6328125" style="31" customWidth="1"/>
    <col min="5132" max="5132" width="13.453125" style="31" customWidth="1"/>
    <col min="5133" max="5376" width="9.08984375" style="31"/>
    <col min="5377" max="5377" width="0" style="31" hidden="1" customWidth="1"/>
    <col min="5378" max="5378" width="25.54296875" style="31" customWidth="1"/>
    <col min="5379" max="5379" width="17" style="31" customWidth="1"/>
    <col min="5380" max="5380" width="11.453125" style="31" customWidth="1"/>
    <col min="5381" max="5381" width="14.453125" style="31" customWidth="1"/>
    <col min="5382" max="5382" width="12.54296875" style="31" customWidth="1"/>
    <col min="5383" max="5387" width="13.6328125" style="31" customWidth="1"/>
    <col min="5388" max="5388" width="13.453125" style="31" customWidth="1"/>
    <col min="5389" max="5632" width="9.08984375" style="31"/>
    <col min="5633" max="5633" width="0" style="31" hidden="1" customWidth="1"/>
    <col min="5634" max="5634" width="25.54296875" style="31" customWidth="1"/>
    <col min="5635" max="5635" width="17" style="31" customWidth="1"/>
    <col min="5636" max="5636" width="11.453125" style="31" customWidth="1"/>
    <col min="5637" max="5637" width="14.453125" style="31" customWidth="1"/>
    <col min="5638" max="5638" width="12.54296875" style="31" customWidth="1"/>
    <col min="5639" max="5643" width="13.6328125" style="31" customWidth="1"/>
    <col min="5644" max="5644" width="13.453125" style="31" customWidth="1"/>
    <col min="5645" max="5888" width="9.08984375" style="31"/>
    <col min="5889" max="5889" width="0" style="31" hidden="1" customWidth="1"/>
    <col min="5890" max="5890" width="25.54296875" style="31" customWidth="1"/>
    <col min="5891" max="5891" width="17" style="31" customWidth="1"/>
    <col min="5892" max="5892" width="11.453125" style="31" customWidth="1"/>
    <col min="5893" max="5893" width="14.453125" style="31" customWidth="1"/>
    <col min="5894" max="5894" width="12.54296875" style="31" customWidth="1"/>
    <col min="5895" max="5899" width="13.6328125" style="31" customWidth="1"/>
    <col min="5900" max="5900" width="13.453125" style="31" customWidth="1"/>
    <col min="5901" max="6144" width="9.08984375" style="31"/>
    <col min="6145" max="6145" width="0" style="31" hidden="1" customWidth="1"/>
    <col min="6146" max="6146" width="25.54296875" style="31" customWidth="1"/>
    <col min="6147" max="6147" width="17" style="31" customWidth="1"/>
    <col min="6148" max="6148" width="11.453125" style="31" customWidth="1"/>
    <col min="6149" max="6149" width="14.453125" style="31" customWidth="1"/>
    <col min="6150" max="6150" width="12.54296875" style="31" customWidth="1"/>
    <col min="6151" max="6155" width="13.6328125" style="31" customWidth="1"/>
    <col min="6156" max="6156" width="13.453125" style="31" customWidth="1"/>
    <col min="6157" max="6400" width="9.08984375" style="31"/>
    <col min="6401" max="6401" width="0" style="31" hidden="1" customWidth="1"/>
    <col min="6402" max="6402" width="25.54296875" style="31" customWidth="1"/>
    <col min="6403" max="6403" width="17" style="31" customWidth="1"/>
    <col min="6404" max="6404" width="11.453125" style="31" customWidth="1"/>
    <col min="6405" max="6405" width="14.453125" style="31" customWidth="1"/>
    <col min="6406" max="6406" width="12.54296875" style="31" customWidth="1"/>
    <col min="6407" max="6411" width="13.6328125" style="31" customWidth="1"/>
    <col min="6412" max="6412" width="13.453125" style="31" customWidth="1"/>
    <col min="6413" max="6656" width="9.08984375" style="31"/>
    <col min="6657" max="6657" width="0" style="31" hidden="1" customWidth="1"/>
    <col min="6658" max="6658" width="25.54296875" style="31" customWidth="1"/>
    <col min="6659" max="6659" width="17" style="31" customWidth="1"/>
    <col min="6660" max="6660" width="11.453125" style="31" customWidth="1"/>
    <col min="6661" max="6661" width="14.453125" style="31" customWidth="1"/>
    <col min="6662" max="6662" width="12.54296875" style="31" customWidth="1"/>
    <col min="6663" max="6667" width="13.6328125" style="31" customWidth="1"/>
    <col min="6668" max="6668" width="13.453125" style="31" customWidth="1"/>
    <col min="6669" max="6912" width="9.08984375" style="31"/>
    <col min="6913" max="6913" width="0" style="31" hidden="1" customWidth="1"/>
    <col min="6914" max="6914" width="25.54296875" style="31" customWidth="1"/>
    <col min="6915" max="6915" width="17" style="31" customWidth="1"/>
    <col min="6916" max="6916" width="11.453125" style="31" customWidth="1"/>
    <col min="6917" max="6917" width="14.453125" style="31" customWidth="1"/>
    <col min="6918" max="6918" width="12.54296875" style="31" customWidth="1"/>
    <col min="6919" max="6923" width="13.6328125" style="31" customWidth="1"/>
    <col min="6924" max="6924" width="13.453125" style="31" customWidth="1"/>
    <col min="6925" max="7168" width="9.08984375" style="31"/>
    <col min="7169" max="7169" width="0" style="31" hidden="1" customWidth="1"/>
    <col min="7170" max="7170" width="25.54296875" style="31" customWidth="1"/>
    <col min="7171" max="7171" width="17" style="31" customWidth="1"/>
    <col min="7172" max="7172" width="11.453125" style="31" customWidth="1"/>
    <col min="7173" max="7173" width="14.453125" style="31" customWidth="1"/>
    <col min="7174" max="7174" width="12.54296875" style="31" customWidth="1"/>
    <col min="7175" max="7179" width="13.6328125" style="31" customWidth="1"/>
    <col min="7180" max="7180" width="13.453125" style="31" customWidth="1"/>
    <col min="7181" max="7424" width="9.08984375" style="31"/>
    <col min="7425" max="7425" width="0" style="31" hidden="1" customWidth="1"/>
    <col min="7426" max="7426" width="25.54296875" style="31" customWidth="1"/>
    <col min="7427" max="7427" width="17" style="31" customWidth="1"/>
    <col min="7428" max="7428" width="11.453125" style="31" customWidth="1"/>
    <col min="7429" max="7429" width="14.453125" style="31" customWidth="1"/>
    <col min="7430" max="7430" width="12.54296875" style="31" customWidth="1"/>
    <col min="7431" max="7435" width="13.6328125" style="31" customWidth="1"/>
    <col min="7436" max="7436" width="13.453125" style="31" customWidth="1"/>
    <col min="7437" max="7680" width="9.08984375" style="31"/>
    <col min="7681" max="7681" width="0" style="31" hidden="1" customWidth="1"/>
    <col min="7682" max="7682" width="25.54296875" style="31" customWidth="1"/>
    <col min="7683" max="7683" width="17" style="31" customWidth="1"/>
    <col min="7684" max="7684" width="11.453125" style="31" customWidth="1"/>
    <col min="7685" max="7685" width="14.453125" style="31" customWidth="1"/>
    <col min="7686" max="7686" width="12.54296875" style="31" customWidth="1"/>
    <col min="7687" max="7691" width="13.6328125" style="31" customWidth="1"/>
    <col min="7692" max="7692" width="13.453125" style="31" customWidth="1"/>
    <col min="7693" max="7936" width="9.08984375" style="31"/>
    <col min="7937" max="7937" width="0" style="31" hidden="1" customWidth="1"/>
    <col min="7938" max="7938" width="25.54296875" style="31" customWidth="1"/>
    <col min="7939" max="7939" width="17" style="31" customWidth="1"/>
    <col min="7940" max="7940" width="11.453125" style="31" customWidth="1"/>
    <col min="7941" max="7941" width="14.453125" style="31" customWidth="1"/>
    <col min="7942" max="7942" width="12.54296875" style="31" customWidth="1"/>
    <col min="7943" max="7947" width="13.6328125" style="31" customWidth="1"/>
    <col min="7948" max="7948" width="13.453125" style="31" customWidth="1"/>
    <col min="7949" max="8192" width="9.08984375" style="31"/>
    <col min="8193" max="8193" width="0" style="31" hidden="1" customWidth="1"/>
    <col min="8194" max="8194" width="25.54296875" style="31" customWidth="1"/>
    <col min="8195" max="8195" width="17" style="31" customWidth="1"/>
    <col min="8196" max="8196" width="11.453125" style="31" customWidth="1"/>
    <col min="8197" max="8197" width="14.453125" style="31" customWidth="1"/>
    <col min="8198" max="8198" width="12.54296875" style="31" customWidth="1"/>
    <col min="8199" max="8203" width="13.6328125" style="31" customWidth="1"/>
    <col min="8204" max="8204" width="13.453125" style="31" customWidth="1"/>
    <col min="8205" max="8448" width="9.08984375" style="31"/>
    <col min="8449" max="8449" width="0" style="31" hidden="1" customWidth="1"/>
    <col min="8450" max="8450" width="25.54296875" style="31" customWidth="1"/>
    <col min="8451" max="8451" width="17" style="31" customWidth="1"/>
    <col min="8452" max="8452" width="11.453125" style="31" customWidth="1"/>
    <col min="8453" max="8453" width="14.453125" style="31" customWidth="1"/>
    <col min="8454" max="8454" width="12.54296875" style="31" customWidth="1"/>
    <col min="8455" max="8459" width="13.6328125" style="31" customWidth="1"/>
    <col min="8460" max="8460" width="13.453125" style="31" customWidth="1"/>
    <col min="8461" max="8704" width="9.08984375" style="31"/>
    <col min="8705" max="8705" width="0" style="31" hidden="1" customWidth="1"/>
    <col min="8706" max="8706" width="25.54296875" style="31" customWidth="1"/>
    <col min="8707" max="8707" width="17" style="31" customWidth="1"/>
    <col min="8708" max="8708" width="11.453125" style="31" customWidth="1"/>
    <col min="8709" max="8709" width="14.453125" style="31" customWidth="1"/>
    <col min="8710" max="8710" width="12.54296875" style="31" customWidth="1"/>
    <col min="8711" max="8715" width="13.6328125" style="31" customWidth="1"/>
    <col min="8716" max="8716" width="13.453125" style="31" customWidth="1"/>
    <col min="8717" max="8960" width="9.08984375" style="31"/>
    <col min="8961" max="8961" width="0" style="31" hidden="1" customWidth="1"/>
    <col min="8962" max="8962" width="25.54296875" style="31" customWidth="1"/>
    <col min="8963" max="8963" width="17" style="31" customWidth="1"/>
    <col min="8964" max="8964" width="11.453125" style="31" customWidth="1"/>
    <col min="8965" max="8965" width="14.453125" style="31" customWidth="1"/>
    <col min="8966" max="8966" width="12.54296875" style="31" customWidth="1"/>
    <col min="8967" max="8971" width="13.6328125" style="31" customWidth="1"/>
    <col min="8972" max="8972" width="13.453125" style="31" customWidth="1"/>
    <col min="8973" max="9216" width="9.08984375" style="31"/>
    <col min="9217" max="9217" width="0" style="31" hidden="1" customWidth="1"/>
    <col min="9218" max="9218" width="25.54296875" style="31" customWidth="1"/>
    <col min="9219" max="9219" width="17" style="31" customWidth="1"/>
    <col min="9220" max="9220" width="11.453125" style="31" customWidth="1"/>
    <col min="9221" max="9221" width="14.453125" style="31" customWidth="1"/>
    <col min="9222" max="9222" width="12.54296875" style="31" customWidth="1"/>
    <col min="9223" max="9227" width="13.6328125" style="31" customWidth="1"/>
    <col min="9228" max="9228" width="13.453125" style="31" customWidth="1"/>
    <col min="9229" max="9472" width="9.08984375" style="31"/>
    <col min="9473" max="9473" width="0" style="31" hidden="1" customWidth="1"/>
    <col min="9474" max="9474" width="25.54296875" style="31" customWidth="1"/>
    <col min="9475" max="9475" width="17" style="31" customWidth="1"/>
    <col min="9476" max="9476" width="11.453125" style="31" customWidth="1"/>
    <col min="9477" max="9477" width="14.453125" style="31" customWidth="1"/>
    <col min="9478" max="9478" width="12.54296875" style="31" customWidth="1"/>
    <col min="9479" max="9483" width="13.6328125" style="31" customWidth="1"/>
    <col min="9484" max="9484" width="13.453125" style="31" customWidth="1"/>
    <col min="9485" max="9728" width="9.08984375" style="31"/>
    <col min="9729" max="9729" width="0" style="31" hidden="1" customWidth="1"/>
    <col min="9730" max="9730" width="25.54296875" style="31" customWidth="1"/>
    <col min="9731" max="9731" width="17" style="31" customWidth="1"/>
    <col min="9732" max="9732" width="11.453125" style="31" customWidth="1"/>
    <col min="9733" max="9733" width="14.453125" style="31" customWidth="1"/>
    <col min="9734" max="9734" width="12.54296875" style="31" customWidth="1"/>
    <col min="9735" max="9739" width="13.6328125" style="31" customWidth="1"/>
    <col min="9740" max="9740" width="13.453125" style="31" customWidth="1"/>
    <col min="9741" max="9984" width="9.08984375" style="31"/>
    <col min="9985" max="9985" width="0" style="31" hidden="1" customWidth="1"/>
    <col min="9986" max="9986" width="25.54296875" style="31" customWidth="1"/>
    <col min="9987" max="9987" width="17" style="31" customWidth="1"/>
    <col min="9988" max="9988" width="11.453125" style="31" customWidth="1"/>
    <col min="9989" max="9989" width="14.453125" style="31" customWidth="1"/>
    <col min="9990" max="9990" width="12.54296875" style="31" customWidth="1"/>
    <col min="9991" max="9995" width="13.6328125" style="31" customWidth="1"/>
    <col min="9996" max="9996" width="13.453125" style="31" customWidth="1"/>
    <col min="9997" max="10240" width="9.08984375" style="31"/>
    <col min="10241" max="10241" width="0" style="31" hidden="1" customWidth="1"/>
    <col min="10242" max="10242" width="25.54296875" style="31" customWidth="1"/>
    <col min="10243" max="10243" width="17" style="31" customWidth="1"/>
    <col min="10244" max="10244" width="11.453125" style="31" customWidth="1"/>
    <col min="10245" max="10245" width="14.453125" style="31" customWidth="1"/>
    <col min="10246" max="10246" width="12.54296875" style="31" customWidth="1"/>
    <col min="10247" max="10251" width="13.6328125" style="31" customWidth="1"/>
    <col min="10252" max="10252" width="13.453125" style="31" customWidth="1"/>
    <col min="10253" max="10496" width="9.08984375" style="31"/>
    <col min="10497" max="10497" width="0" style="31" hidden="1" customWidth="1"/>
    <col min="10498" max="10498" width="25.54296875" style="31" customWidth="1"/>
    <col min="10499" max="10499" width="17" style="31" customWidth="1"/>
    <col min="10500" max="10500" width="11.453125" style="31" customWidth="1"/>
    <col min="10501" max="10501" width="14.453125" style="31" customWidth="1"/>
    <col min="10502" max="10502" width="12.54296875" style="31" customWidth="1"/>
    <col min="10503" max="10507" width="13.6328125" style="31" customWidth="1"/>
    <col min="10508" max="10508" width="13.453125" style="31" customWidth="1"/>
    <col min="10509" max="10752" width="9.08984375" style="31"/>
    <col min="10753" max="10753" width="0" style="31" hidden="1" customWidth="1"/>
    <col min="10754" max="10754" width="25.54296875" style="31" customWidth="1"/>
    <col min="10755" max="10755" width="17" style="31" customWidth="1"/>
    <col min="10756" max="10756" width="11.453125" style="31" customWidth="1"/>
    <col min="10757" max="10757" width="14.453125" style="31" customWidth="1"/>
    <col min="10758" max="10758" width="12.54296875" style="31" customWidth="1"/>
    <col min="10759" max="10763" width="13.6328125" style="31" customWidth="1"/>
    <col min="10764" max="10764" width="13.453125" style="31" customWidth="1"/>
    <col min="10765" max="11008" width="9.08984375" style="31"/>
    <col min="11009" max="11009" width="0" style="31" hidden="1" customWidth="1"/>
    <col min="11010" max="11010" width="25.54296875" style="31" customWidth="1"/>
    <col min="11011" max="11011" width="17" style="31" customWidth="1"/>
    <col min="11012" max="11012" width="11.453125" style="31" customWidth="1"/>
    <col min="11013" max="11013" width="14.453125" style="31" customWidth="1"/>
    <col min="11014" max="11014" width="12.54296875" style="31" customWidth="1"/>
    <col min="11015" max="11019" width="13.6328125" style="31" customWidth="1"/>
    <col min="11020" max="11020" width="13.453125" style="31" customWidth="1"/>
    <col min="11021" max="11264" width="9.08984375" style="31"/>
    <col min="11265" max="11265" width="0" style="31" hidden="1" customWidth="1"/>
    <col min="11266" max="11266" width="25.54296875" style="31" customWidth="1"/>
    <col min="11267" max="11267" width="17" style="31" customWidth="1"/>
    <col min="11268" max="11268" width="11.453125" style="31" customWidth="1"/>
    <col min="11269" max="11269" width="14.453125" style="31" customWidth="1"/>
    <col min="11270" max="11270" width="12.54296875" style="31" customWidth="1"/>
    <col min="11271" max="11275" width="13.6328125" style="31" customWidth="1"/>
    <col min="11276" max="11276" width="13.453125" style="31" customWidth="1"/>
    <col min="11277" max="11520" width="9.08984375" style="31"/>
    <col min="11521" max="11521" width="0" style="31" hidden="1" customWidth="1"/>
    <col min="11522" max="11522" width="25.54296875" style="31" customWidth="1"/>
    <col min="11523" max="11523" width="17" style="31" customWidth="1"/>
    <col min="11524" max="11524" width="11.453125" style="31" customWidth="1"/>
    <col min="11525" max="11525" width="14.453125" style="31" customWidth="1"/>
    <col min="11526" max="11526" width="12.54296875" style="31" customWidth="1"/>
    <col min="11527" max="11531" width="13.6328125" style="31" customWidth="1"/>
    <col min="11532" max="11532" width="13.453125" style="31" customWidth="1"/>
    <col min="11533" max="11776" width="9.08984375" style="31"/>
    <col min="11777" max="11777" width="0" style="31" hidden="1" customWidth="1"/>
    <col min="11778" max="11778" width="25.54296875" style="31" customWidth="1"/>
    <col min="11779" max="11779" width="17" style="31" customWidth="1"/>
    <col min="11780" max="11780" width="11.453125" style="31" customWidth="1"/>
    <col min="11781" max="11781" width="14.453125" style="31" customWidth="1"/>
    <col min="11782" max="11782" width="12.54296875" style="31" customWidth="1"/>
    <col min="11783" max="11787" width="13.6328125" style="31" customWidth="1"/>
    <col min="11788" max="11788" width="13.453125" style="31" customWidth="1"/>
    <col min="11789" max="12032" width="9.08984375" style="31"/>
    <col min="12033" max="12033" width="0" style="31" hidden="1" customWidth="1"/>
    <col min="12034" max="12034" width="25.54296875" style="31" customWidth="1"/>
    <col min="12035" max="12035" width="17" style="31" customWidth="1"/>
    <col min="12036" max="12036" width="11.453125" style="31" customWidth="1"/>
    <col min="12037" max="12037" width="14.453125" style="31" customWidth="1"/>
    <col min="12038" max="12038" width="12.54296875" style="31" customWidth="1"/>
    <col min="12039" max="12043" width="13.6328125" style="31" customWidth="1"/>
    <col min="12044" max="12044" width="13.453125" style="31" customWidth="1"/>
    <col min="12045" max="12288" width="9.08984375" style="31"/>
    <col min="12289" max="12289" width="0" style="31" hidden="1" customWidth="1"/>
    <col min="12290" max="12290" width="25.54296875" style="31" customWidth="1"/>
    <col min="12291" max="12291" width="17" style="31" customWidth="1"/>
    <col min="12292" max="12292" width="11.453125" style="31" customWidth="1"/>
    <col min="12293" max="12293" width="14.453125" style="31" customWidth="1"/>
    <col min="12294" max="12294" width="12.54296875" style="31" customWidth="1"/>
    <col min="12295" max="12299" width="13.6328125" style="31" customWidth="1"/>
    <col min="12300" max="12300" width="13.453125" style="31" customWidth="1"/>
    <col min="12301" max="12544" width="9.08984375" style="31"/>
    <col min="12545" max="12545" width="0" style="31" hidden="1" customWidth="1"/>
    <col min="12546" max="12546" width="25.54296875" style="31" customWidth="1"/>
    <col min="12547" max="12547" width="17" style="31" customWidth="1"/>
    <col min="12548" max="12548" width="11.453125" style="31" customWidth="1"/>
    <col min="12549" max="12549" width="14.453125" style="31" customWidth="1"/>
    <col min="12550" max="12550" width="12.54296875" style="31" customWidth="1"/>
    <col min="12551" max="12555" width="13.6328125" style="31" customWidth="1"/>
    <col min="12556" max="12556" width="13.453125" style="31" customWidth="1"/>
    <col min="12557" max="12800" width="9.08984375" style="31"/>
    <col min="12801" max="12801" width="0" style="31" hidden="1" customWidth="1"/>
    <col min="12802" max="12802" width="25.54296875" style="31" customWidth="1"/>
    <col min="12803" max="12803" width="17" style="31" customWidth="1"/>
    <col min="12804" max="12804" width="11.453125" style="31" customWidth="1"/>
    <col min="12805" max="12805" width="14.453125" style="31" customWidth="1"/>
    <col min="12806" max="12806" width="12.54296875" style="31" customWidth="1"/>
    <col min="12807" max="12811" width="13.6328125" style="31" customWidth="1"/>
    <col min="12812" max="12812" width="13.453125" style="31" customWidth="1"/>
    <col min="12813" max="13056" width="9.08984375" style="31"/>
    <col min="13057" max="13057" width="0" style="31" hidden="1" customWidth="1"/>
    <col min="13058" max="13058" width="25.54296875" style="31" customWidth="1"/>
    <col min="13059" max="13059" width="17" style="31" customWidth="1"/>
    <col min="13060" max="13060" width="11.453125" style="31" customWidth="1"/>
    <col min="13061" max="13061" width="14.453125" style="31" customWidth="1"/>
    <col min="13062" max="13062" width="12.54296875" style="31" customWidth="1"/>
    <col min="13063" max="13067" width="13.6328125" style="31" customWidth="1"/>
    <col min="13068" max="13068" width="13.453125" style="31" customWidth="1"/>
    <col min="13069" max="13312" width="9.08984375" style="31"/>
    <col min="13313" max="13313" width="0" style="31" hidden="1" customWidth="1"/>
    <col min="13314" max="13314" width="25.54296875" style="31" customWidth="1"/>
    <col min="13315" max="13315" width="17" style="31" customWidth="1"/>
    <col min="13316" max="13316" width="11.453125" style="31" customWidth="1"/>
    <col min="13317" max="13317" width="14.453125" style="31" customWidth="1"/>
    <col min="13318" max="13318" width="12.54296875" style="31" customWidth="1"/>
    <col min="13319" max="13323" width="13.6328125" style="31" customWidth="1"/>
    <col min="13324" max="13324" width="13.453125" style="31" customWidth="1"/>
    <col min="13325" max="13568" width="9.08984375" style="31"/>
    <col min="13569" max="13569" width="0" style="31" hidden="1" customWidth="1"/>
    <col min="13570" max="13570" width="25.54296875" style="31" customWidth="1"/>
    <col min="13571" max="13571" width="17" style="31" customWidth="1"/>
    <col min="13572" max="13572" width="11.453125" style="31" customWidth="1"/>
    <col min="13573" max="13573" width="14.453125" style="31" customWidth="1"/>
    <col min="13574" max="13574" width="12.54296875" style="31" customWidth="1"/>
    <col min="13575" max="13579" width="13.6328125" style="31" customWidth="1"/>
    <col min="13580" max="13580" width="13.453125" style="31" customWidth="1"/>
    <col min="13581" max="13824" width="9.08984375" style="31"/>
    <col min="13825" max="13825" width="0" style="31" hidden="1" customWidth="1"/>
    <col min="13826" max="13826" width="25.54296875" style="31" customWidth="1"/>
    <col min="13827" max="13827" width="17" style="31" customWidth="1"/>
    <col min="13828" max="13828" width="11.453125" style="31" customWidth="1"/>
    <col min="13829" max="13829" width="14.453125" style="31" customWidth="1"/>
    <col min="13830" max="13830" width="12.54296875" style="31" customWidth="1"/>
    <col min="13831" max="13835" width="13.6328125" style="31" customWidth="1"/>
    <col min="13836" max="13836" width="13.453125" style="31" customWidth="1"/>
    <col min="13837" max="14080" width="9.08984375" style="31"/>
    <col min="14081" max="14081" width="0" style="31" hidden="1" customWidth="1"/>
    <col min="14082" max="14082" width="25.54296875" style="31" customWidth="1"/>
    <col min="14083" max="14083" width="17" style="31" customWidth="1"/>
    <col min="14084" max="14084" width="11.453125" style="31" customWidth="1"/>
    <col min="14085" max="14085" width="14.453125" style="31" customWidth="1"/>
    <col min="14086" max="14086" width="12.54296875" style="31" customWidth="1"/>
    <col min="14087" max="14091" width="13.6328125" style="31" customWidth="1"/>
    <col min="14092" max="14092" width="13.453125" style="31" customWidth="1"/>
    <col min="14093" max="14336" width="9.08984375" style="31"/>
    <col min="14337" max="14337" width="0" style="31" hidden="1" customWidth="1"/>
    <col min="14338" max="14338" width="25.54296875" style="31" customWidth="1"/>
    <col min="14339" max="14339" width="17" style="31" customWidth="1"/>
    <col min="14340" max="14340" width="11.453125" style="31" customWidth="1"/>
    <col min="14341" max="14341" width="14.453125" style="31" customWidth="1"/>
    <col min="14342" max="14342" width="12.54296875" style="31" customWidth="1"/>
    <col min="14343" max="14347" width="13.6328125" style="31" customWidth="1"/>
    <col min="14348" max="14348" width="13.453125" style="31" customWidth="1"/>
    <col min="14349" max="14592" width="9.08984375" style="31"/>
    <col min="14593" max="14593" width="0" style="31" hidden="1" customWidth="1"/>
    <col min="14594" max="14594" width="25.54296875" style="31" customWidth="1"/>
    <col min="14595" max="14595" width="17" style="31" customWidth="1"/>
    <col min="14596" max="14596" width="11.453125" style="31" customWidth="1"/>
    <col min="14597" max="14597" width="14.453125" style="31" customWidth="1"/>
    <col min="14598" max="14598" width="12.54296875" style="31" customWidth="1"/>
    <col min="14599" max="14603" width="13.6328125" style="31" customWidth="1"/>
    <col min="14604" max="14604" width="13.453125" style="31" customWidth="1"/>
    <col min="14605" max="14848" width="9.08984375" style="31"/>
    <col min="14849" max="14849" width="0" style="31" hidden="1" customWidth="1"/>
    <col min="14850" max="14850" width="25.54296875" style="31" customWidth="1"/>
    <col min="14851" max="14851" width="17" style="31" customWidth="1"/>
    <col min="14852" max="14852" width="11.453125" style="31" customWidth="1"/>
    <col min="14853" max="14853" width="14.453125" style="31" customWidth="1"/>
    <col min="14854" max="14854" width="12.54296875" style="31" customWidth="1"/>
    <col min="14855" max="14859" width="13.6328125" style="31" customWidth="1"/>
    <col min="14860" max="14860" width="13.453125" style="31" customWidth="1"/>
    <col min="14861" max="15104" width="9.08984375" style="31"/>
    <col min="15105" max="15105" width="0" style="31" hidden="1" customWidth="1"/>
    <col min="15106" max="15106" width="25.54296875" style="31" customWidth="1"/>
    <col min="15107" max="15107" width="17" style="31" customWidth="1"/>
    <col min="15108" max="15108" width="11.453125" style="31" customWidth="1"/>
    <col min="15109" max="15109" width="14.453125" style="31" customWidth="1"/>
    <col min="15110" max="15110" width="12.54296875" style="31" customWidth="1"/>
    <col min="15111" max="15115" width="13.6328125" style="31" customWidth="1"/>
    <col min="15116" max="15116" width="13.453125" style="31" customWidth="1"/>
    <col min="15117" max="15360" width="9.08984375" style="31"/>
    <col min="15361" max="15361" width="0" style="31" hidden="1" customWidth="1"/>
    <col min="15362" max="15362" width="25.54296875" style="31" customWidth="1"/>
    <col min="15363" max="15363" width="17" style="31" customWidth="1"/>
    <col min="15364" max="15364" width="11.453125" style="31" customWidth="1"/>
    <col min="15365" max="15365" width="14.453125" style="31" customWidth="1"/>
    <col min="15366" max="15366" width="12.54296875" style="31" customWidth="1"/>
    <col min="15367" max="15371" width="13.6328125" style="31" customWidth="1"/>
    <col min="15372" max="15372" width="13.453125" style="31" customWidth="1"/>
    <col min="15373" max="15616" width="9.08984375" style="31"/>
    <col min="15617" max="15617" width="0" style="31" hidden="1" customWidth="1"/>
    <col min="15618" max="15618" width="25.54296875" style="31" customWidth="1"/>
    <col min="15619" max="15619" width="17" style="31" customWidth="1"/>
    <col min="15620" max="15620" width="11.453125" style="31" customWidth="1"/>
    <col min="15621" max="15621" width="14.453125" style="31" customWidth="1"/>
    <col min="15622" max="15622" width="12.54296875" style="31" customWidth="1"/>
    <col min="15623" max="15627" width="13.6328125" style="31" customWidth="1"/>
    <col min="15628" max="15628" width="13.453125" style="31" customWidth="1"/>
    <col min="15629" max="15872" width="9.08984375" style="31"/>
    <col min="15873" max="15873" width="0" style="31" hidden="1" customWidth="1"/>
    <col min="15874" max="15874" width="25.54296875" style="31" customWidth="1"/>
    <col min="15875" max="15875" width="17" style="31" customWidth="1"/>
    <col min="15876" max="15876" width="11.453125" style="31" customWidth="1"/>
    <col min="15877" max="15877" width="14.453125" style="31" customWidth="1"/>
    <col min="15878" max="15878" width="12.54296875" style="31" customWidth="1"/>
    <col min="15879" max="15883" width="13.6328125" style="31" customWidth="1"/>
    <col min="15884" max="15884" width="13.453125" style="31" customWidth="1"/>
    <col min="15885" max="16128" width="9.08984375" style="31"/>
    <col min="16129" max="16129" width="0" style="31" hidden="1" customWidth="1"/>
    <col min="16130" max="16130" width="25.54296875" style="31" customWidth="1"/>
    <col min="16131" max="16131" width="17" style="31" customWidth="1"/>
    <col min="16132" max="16132" width="11.453125" style="31" customWidth="1"/>
    <col min="16133" max="16133" width="14.453125" style="31" customWidth="1"/>
    <col min="16134" max="16134" width="12.54296875" style="31" customWidth="1"/>
    <col min="16135" max="16139" width="13.6328125" style="31" customWidth="1"/>
    <col min="16140" max="16140" width="13.453125" style="31" customWidth="1"/>
    <col min="16141" max="16384" width="9.08984375" style="31"/>
  </cols>
  <sheetData>
    <row r="2" spans="1:26" ht="40.5" customHeight="1" x14ac:dyDescent="0.3">
      <c r="B2" s="120" t="s">
        <v>66</v>
      </c>
      <c r="C2" s="121"/>
      <c r="D2" s="122"/>
      <c r="E2" s="122"/>
      <c r="F2" s="122"/>
      <c r="G2" s="122"/>
      <c r="H2" s="122"/>
      <c r="I2" s="122"/>
      <c r="J2" s="122"/>
      <c r="K2" s="122"/>
      <c r="L2" s="123"/>
    </row>
    <row r="3" spans="1:26" s="60" customFormat="1" ht="43.5" customHeight="1" x14ac:dyDescent="0.35">
      <c r="B3" s="125"/>
      <c r="C3" s="117" t="s">
        <v>67</v>
      </c>
      <c r="D3" s="117"/>
      <c r="E3" s="117"/>
      <c r="F3" s="111" t="s">
        <v>68</v>
      </c>
      <c r="G3" s="111" t="s">
        <v>69</v>
      </c>
      <c r="H3" s="111" t="s">
        <v>70</v>
      </c>
      <c r="I3" s="111" t="s">
        <v>71</v>
      </c>
      <c r="J3" s="111" t="s">
        <v>72</v>
      </c>
      <c r="K3" s="111" t="s">
        <v>73</v>
      </c>
      <c r="L3" s="111" t="s">
        <v>74</v>
      </c>
      <c r="M3" s="111"/>
    </row>
    <row r="4" spans="1:26" s="60" customFormat="1" ht="47.25" customHeight="1" x14ac:dyDescent="0.35">
      <c r="B4" s="116"/>
      <c r="C4" s="33" t="s">
        <v>75</v>
      </c>
      <c r="D4" s="33" t="s">
        <v>76</v>
      </c>
      <c r="E4" s="33" t="s">
        <v>77</v>
      </c>
      <c r="F4" s="112"/>
      <c r="G4" s="112"/>
      <c r="H4" s="112"/>
      <c r="I4" s="112"/>
      <c r="J4" s="112"/>
      <c r="K4" s="112"/>
      <c r="L4" s="112"/>
      <c r="M4" s="112"/>
    </row>
    <row r="5" spans="1:26" s="60" customFormat="1" ht="18" hidden="1" customHeight="1" x14ac:dyDescent="0.35">
      <c r="D5" s="34" t="s">
        <v>78</v>
      </c>
      <c r="E5" s="34" t="s">
        <v>79</v>
      </c>
      <c r="F5" s="35" t="s">
        <v>80</v>
      </c>
      <c r="G5" s="35" t="s">
        <v>81</v>
      </c>
      <c r="H5" s="34" t="s">
        <v>82</v>
      </c>
      <c r="I5" s="34" t="s">
        <v>83</v>
      </c>
      <c r="J5" s="36" t="s">
        <v>84</v>
      </c>
      <c r="K5" s="60" t="s">
        <v>85</v>
      </c>
      <c r="L5" s="60" t="s">
        <v>86</v>
      </c>
    </row>
    <row r="6" spans="1:26" s="60" customFormat="1" ht="25.5" customHeight="1" x14ac:dyDescent="0.35">
      <c r="B6" s="37" t="s">
        <v>0</v>
      </c>
      <c r="C6" s="38">
        <f>C7+C48</f>
        <v>63201</v>
      </c>
      <c r="D6" s="38">
        <f t="shared" ref="D6:L6" si="0">D7+D48</f>
        <v>43705</v>
      </c>
      <c r="E6" s="38">
        <f t="shared" si="0"/>
        <v>19496</v>
      </c>
      <c r="F6" s="38">
        <f t="shared" si="0"/>
        <v>14469</v>
      </c>
      <c r="G6" s="38">
        <f t="shared" si="0"/>
        <v>1518</v>
      </c>
      <c r="H6" s="38">
        <f t="shared" si="0"/>
        <v>496</v>
      </c>
      <c r="I6" s="38">
        <f t="shared" si="0"/>
        <v>99</v>
      </c>
      <c r="J6" s="38">
        <f t="shared" si="0"/>
        <v>65</v>
      </c>
      <c r="K6" s="38">
        <f t="shared" si="0"/>
        <v>3181</v>
      </c>
      <c r="L6" s="38">
        <f t="shared" si="0"/>
        <v>1484061</v>
      </c>
      <c r="M6" s="39"/>
      <c r="N6" s="40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s="37" customFormat="1" ht="26.25" customHeight="1" x14ac:dyDescent="0.35">
      <c r="A7" s="27"/>
      <c r="B7" s="37" t="s">
        <v>52</v>
      </c>
      <c r="C7" s="42">
        <f>SUM(C8:C47)</f>
        <v>31258</v>
      </c>
      <c r="D7" s="42">
        <f t="shared" ref="D7:L7" si="1">SUM(D8:D47)</f>
        <v>20832</v>
      </c>
      <c r="E7" s="42">
        <f t="shared" si="1"/>
        <v>10426</v>
      </c>
      <c r="F7" s="42">
        <f t="shared" si="1"/>
        <v>8199</v>
      </c>
      <c r="G7" s="42">
        <f t="shared" si="1"/>
        <v>776</v>
      </c>
      <c r="H7" s="42">
        <f t="shared" si="1"/>
        <v>347</v>
      </c>
      <c r="I7" s="42">
        <f t="shared" si="1"/>
        <v>55</v>
      </c>
      <c r="J7" s="42">
        <f t="shared" si="1"/>
        <v>49</v>
      </c>
      <c r="K7" s="42">
        <f t="shared" si="1"/>
        <v>2546</v>
      </c>
      <c r="L7" s="42">
        <f t="shared" si="1"/>
        <v>995407</v>
      </c>
      <c r="N7" s="41"/>
      <c r="O7" s="41"/>
      <c r="P7" s="41"/>
      <c r="Q7" s="41"/>
      <c r="R7" s="41"/>
      <c r="S7" s="41"/>
      <c r="T7" s="41"/>
      <c r="U7" s="41"/>
      <c r="V7" s="41"/>
      <c r="W7" s="41"/>
    </row>
    <row r="8" spans="1:26" s="60" customFormat="1" ht="12.5" x14ac:dyDescent="0.35">
      <c r="A8" s="28">
        <v>51</v>
      </c>
      <c r="B8" s="60" t="s">
        <v>5</v>
      </c>
      <c r="C8" s="41">
        <f>ROUND('2015-16_working'!C8,0)</f>
        <v>610</v>
      </c>
      <c r="D8" s="41">
        <f>ROUND('2015-16_working'!D8,0)</f>
        <v>306</v>
      </c>
      <c r="E8" s="41">
        <f>ROUND('2015-16_working'!E8,0)</f>
        <v>304</v>
      </c>
      <c r="F8" s="41">
        <f>ROUND('2015-16_working'!F8,0)</f>
        <v>280</v>
      </c>
      <c r="G8" s="41">
        <f>ROUND('2015-16_working'!G8,0)</f>
        <v>10</v>
      </c>
      <c r="H8" s="41">
        <f>ROUND('2015-16_working'!H8,0)</f>
        <v>11</v>
      </c>
      <c r="I8" s="41">
        <f>ROUND('2015-16_working'!I8,0)</f>
        <v>3</v>
      </c>
      <c r="J8" s="41">
        <f>ROUND('2015-16_working'!J8,0)</f>
        <v>2</v>
      </c>
      <c r="K8" s="41">
        <f>ROUND('2015-16_working'!K8,0)</f>
        <v>99</v>
      </c>
      <c r="L8" s="41">
        <f>ROUND('2015-16_working'!L8,0)</f>
        <v>16020</v>
      </c>
      <c r="N8" s="44"/>
      <c r="O8" s="41"/>
      <c r="P8" s="41"/>
      <c r="Q8" s="41"/>
      <c r="R8" s="41"/>
      <c r="S8" s="41"/>
      <c r="T8" s="41"/>
      <c r="U8" s="41"/>
      <c r="V8" s="41"/>
      <c r="W8" s="41"/>
    </row>
    <row r="9" spans="1:26" s="60" customFormat="1" ht="12.5" x14ac:dyDescent="0.35">
      <c r="A9" s="28">
        <v>52</v>
      </c>
      <c r="B9" s="60" t="s">
        <v>6</v>
      </c>
      <c r="C9" s="41">
        <f>ROUND('2015-16_working'!C9,0)</f>
        <v>1358</v>
      </c>
      <c r="D9" s="41">
        <f>ROUND('2015-16_working'!D9,0)</f>
        <v>1176</v>
      </c>
      <c r="E9" s="41">
        <f>ROUND('2015-16_working'!E9,0)</f>
        <v>182</v>
      </c>
      <c r="F9" s="41">
        <f>ROUND('2015-16_working'!F9,0)</f>
        <v>0</v>
      </c>
      <c r="G9" s="41">
        <f>ROUND('2015-16_working'!G9,0)</f>
        <v>2</v>
      </c>
      <c r="H9" s="41">
        <f>ROUND('2015-16_working'!H9,0)</f>
        <v>3</v>
      </c>
      <c r="I9" s="41">
        <f>ROUND('2015-16_working'!I9,0)</f>
        <v>0</v>
      </c>
      <c r="J9" s="41">
        <f>ROUND('2015-16_working'!J9,0)</f>
        <v>0</v>
      </c>
      <c r="K9" s="41">
        <f>ROUND('2015-16_working'!K9,0)</f>
        <v>23</v>
      </c>
      <c r="L9" s="41">
        <f>ROUND('2015-16_working'!L9,0)</f>
        <v>19766</v>
      </c>
      <c r="N9" s="41"/>
      <c r="O9" s="41"/>
      <c r="P9" s="41"/>
      <c r="Q9" s="41"/>
      <c r="R9" s="41"/>
      <c r="S9" s="41"/>
      <c r="T9" s="41"/>
      <c r="U9" s="41"/>
      <c r="V9" s="41"/>
      <c r="W9" s="41"/>
    </row>
    <row r="10" spans="1:26" s="60" customFormat="1" ht="12.5" x14ac:dyDescent="0.35">
      <c r="A10" s="28">
        <v>86</v>
      </c>
      <c r="B10" s="60" t="s">
        <v>7</v>
      </c>
      <c r="C10" s="41">
        <f>ROUND('2015-16_working'!C10,0)</f>
        <v>2056</v>
      </c>
      <c r="D10" s="41">
        <f>ROUND('2015-16_working'!D10,0)</f>
        <v>1478</v>
      </c>
      <c r="E10" s="41">
        <f>ROUND('2015-16_working'!E10,0)</f>
        <v>578</v>
      </c>
      <c r="F10" s="41">
        <f>ROUND('2015-16_working'!F10,0)</f>
        <v>467</v>
      </c>
      <c r="G10" s="41">
        <f>ROUND('2015-16_working'!G10,0)</f>
        <v>21</v>
      </c>
      <c r="H10" s="41">
        <f>ROUND('2015-16_working'!H10,0)</f>
        <v>1</v>
      </c>
      <c r="I10" s="41">
        <f>ROUND('2015-16_working'!I10,0)</f>
        <v>4</v>
      </c>
      <c r="J10" s="41">
        <f>ROUND('2015-16_working'!J10,0)</f>
        <v>0</v>
      </c>
      <c r="K10" s="41">
        <f>ROUND('2015-16_working'!K10,0)</f>
        <v>16</v>
      </c>
      <c r="L10" s="84" t="s">
        <v>95</v>
      </c>
      <c r="N10" s="41"/>
      <c r="O10" s="41"/>
      <c r="P10" s="41"/>
      <c r="Q10" s="41"/>
      <c r="R10" s="41"/>
      <c r="S10" s="41"/>
      <c r="T10" s="41"/>
      <c r="U10" s="41"/>
      <c r="V10" s="41"/>
      <c r="W10" s="41"/>
    </row>
    <row r="11" spans="1:26" s="60" customFormat="1" ht="12.5" x14ac:dyDescent="0.35">
      <c r="A11" s="28">
        <v>53</v>
      </c>
      <c r="B11" s="60" t="s">
        <v>8</v>
      </c>
      <c r="C11" s="41">
        <f>ROUND('2015-16_working'!C11,0)</f>
        <v>856</v>
      </c>
      <c r="D11" s="41">
        <f>ROUND('2015-16_working'!D11,0)</f>
        <v>156</v>
      </c>
      <c r="E11" s="41">
        <f>ROUND('2015-16_working'!E11,0)</f>
        <v>700</v>
      </c>
      <c r="F11" s="41">
        <f>ROUND('2015-16_working'!F11,0)</f>
        <v>423</v>
      </c>
      <c r="G11" s="41">
        <f>ROUND('2015-16_working'!G11,0)</f>
        <v>5</v>
      </c>
      <c r="H11" s="41">
        <f>ROUND('2015-16_working'!H11,0)</f>
        <v>5</v>
      </c>
      <c r="I11" s="41">
        <f>ROUND('2015-16_working'!I11,0)</f>
        <v>2</v>
      </c>
      <c r="J11" s="41">
        <f>ROUND('2015-16_working'!J11,0)</f>
        <v>5</v>
      </c>
      <c r="K11" s="41">
        <f>ROUND('2015-16_working'!K11,0)</f>
        <v>14</v>
      </c>
      <c r="L11" s="41">
        <f>ROUND('2015-16_working'!L11,0)</f>
        <v>11752</v>
      </c>
      <c r="N11" s="41"/>
      <c r="O11" s="41"/>
      <c r="P11" s="41"/>
      <c r="Q11" s="41"/>
      <c r="R11" s="41"/>
      <c r="S11" s="41"/>
      <c r="T11" s="41"/>
      <c r="U11" s="41"/>
      <c r="V11" s="41"/>
      <c r="W11" s="41"/>
    </row>
    <row r="12" spans="1:26" s="60" customFormat="1" ht="12.5" x14ac:dyDescent="0.35">
      <c r="A12" s="28">
        <v>54</v>
      </c>
      <c r="B12" s="60" t="s">
        <v>9</v>
      </c>
      <c r="C12" s="41">
        <f>ROUND('2015-16_working'!C12,0)</f>
        <v>482</v>
      </c>
      <c r="D12" s="41">
        <f>ROUND('2015-16_working'!D12,0)</f>
        <v>358</v>
      </c>
      <c r="E12" s="41">
        <f>ROUND('2015-16_working'!E12,0)</f>
        <v>124</v>
      </c>
      <c r="F12" s="41">
        <f>ROUND('2015-16_working'!F12,0)</f>
        <v>86</v>
      </c>
      <c r="G12" s="41">
        <f>ROUND('2015-16_working'!G12,0)</f>
        <v>7</v>
      </c>
      <c r="H12" s="41">
        <f>ROUND('2015-16_working'!H12,0)</f>
        <v>8</v>
      </c>
      <c r="I12" s="41">
        <f>ROUND('2015-16_working'!I12,0)</f>
        <v>0</v>
      </c>
      <c r="J12" s="41">
        <f>ROUND('2015-16_working'!J12,0)</f>
        <v>0</v>
      </c>
      <c r="K12" s="41">
        <f>ROUND('2015-16_working'!K12,0)</f>
        <v>31</v>
      </c>
      <c r="L12" s="41">
        <f>ROUND('2015-16_working'!L12,0)</f>
        <v>35597</v>
      </c>
      <c r="N12" s="41"/>
      <c r="O12" s="41"/>
      <c r="P12" s="41"/>
      <c r="Q12" s="41"/>
      <c r="R12" s="41"/>
      <c r="S12" s="41"/>
      <c r="T12" s="41"/>
      <c r="U12" s="41"/>
      <c r="V12" s="41"/>
      <c r="W12" s="41"/>
    </row>
    <row r="13" spans="1:26" s="60" customFormat="1" ht="12.5" x14ac:dyDescent="0.35">
      <c r="A13" s="28">
        <v>55</v>
      </c>
      <c r="B13" s="60" t="s">
        <v>10</v>
      </c>
      <c r="C13" s="41">
        <f>ROUND('2015-16_working'!C13,0)</f>
        <v>2408</v>
      </c>
      <c r="D13" s="41">
        <f>ROUND('2015-16_working'!D13,0)</f>
        <v>1719</v>
      </c>
      <c r="E13" s="41">
        <f>ROUND('2015-16_working'!E13,0)</f>
        <v>689</v>
      </c>
      <c r="F13" s="41">
        <f>ROUND('2015-16_working'!F13,0)</f>
        <v>603</v>
      </c>
      <c r="G13" s="41">
        <f>ROUND('2015-16_working'!G13,0)</f>
        <v>105</v>
      </c>
      <c r="H13" s="41">
        <f>ROUND('2015-16_working'!H13,0)</f>
        <v>19</v>
      </c>
      <c r="I13" s="41">
        <f>ROUND('2015-16_working'!I13,0)</f>
        <v>1</v>
      </c>
      <c r="J13" s="41">
        <f>ROUND('2015-16_working'!J13,0)</f>
        <v>0</v>
      </c>
      <c r="K13" s="41">
        <f>ROUND('2015-16_working'!K13,0)</f>
        <v>274</v>
      </c>
      <c r="L13" s="41">
        <f>ROUND('2015-16_working'!L13,0)</f>
        <v>26978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</row>
    <row r="14" spans="1:26" s="60" customFormat="1" ht="12.5" x14ac:dyDescent="0.35">
      <c r="A14" s="28">
        <v>56</v>
      </c>
      <c r="B14" s="60" t="s">
        <v>11</v>
      </c>
      <c r="C14" s="41">
        <f>ROUND('2015-16_working'!C14,0)</f>
        <v>922</v>
      </c>
      <c r="D14" s="41">
        <f>ROUND('2015-16_working'!D14,0)</f>
        <v>780</v>
      </c>
      <c r="E14" s="41">
        <f>ROUND('2015-16_working'!E14,0)</f>
        <v>142</v>
      </c>
      <c r="F14" s="41">
        <f>ROUND('2015-16_working'!F14,0)</f>
        <v>126</v>
      </c>
      <c r="G14" s="41">
        <f>ROUND('2015-16_working'!G14,0)</f>
        <v>2</v>
      </c>
      <c r="H14" s="41">
        <f>ROUND('2015-16_working'!H14,0)</f>
        <v>5</v>
      </c>
      <c r="I14" s="41">
        <f>ROUND('2015-16_working'!I14,0)</f>
        <v>0</v>
      </c>
      <c r="J14" s="41">
        <f>ROUND('2015-16_working'!J14,0)</f>
        <v>0</v>
      </c>
      <c r="K14" s="41">
        <f>ROUND('2015-16_working'!K14,0)</f>
        <v>49</v>
      </c>
      <c r="L14" s="41">
        <f>ROUND('2015-16_working'!L14,0)</f>
        <v>14182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</row>
    <row r="15" spans="1:26" s="60" customFormat="1" ht="12.5" x14ac:dyDescent="0.35">
      <c r="A15" s="28">
        <v>57</v>
      </c>
      <c r="B15" s="60" t="s">
        <v>12</v>
      </c>
      <c r="C15" s="41">
        <f>ROUND('2015-16_working'!C15,0)</f>
        <v>577</v>
      </c>
      <c r="D15" s="41">
        <f>ROUND('2015-16_working'!D15,0)</f>
        <v>455</v>
      </c>
      <c r="E15" s="41">
        <f>ROUND('2015-16_working'!E15,0)</f>
        <v>122</v>
      </c>
      <c r="F15" s="41">
        <f>ROUND('2015-16_working'!F15,0)</f>
        <v>113</v>
      </c>
      <c r="G15" s="41">
        <f>ROUND('2015-16_working'!G15,0)</f>
        <v>6</v>
      </c>
      <c r="H15" s="41">
        <f>ROUND('2015-16_working'!H15,0)</f>
        <v>3</v>
      </c>
      <c r="I15" s="41">
        <f>ROUND('2015-16_working'!I15,0)</f>
        <v>0</v>
      </c>
      <c r="J15" s="41">
        <f>ROUND('2015-16_working'!J15,0)</f>
        <v>0</v>
      </c>
      <c r="K15" s="41">
        <f>ROUND('2015-16_working'!K15,0)</f>
        <v>33</v>
      </c>
      <c r="L15" s="41">
        <f>ROUND('2015-16_working'!L15,0)</f>
        <v>17257</v>
      </c>
      <c r="N15" s="41"/>
      <c r="O15" s="41"/>
      <c r="P15" s="41"/>
      <c r="Q15" s="41"/>
      <c r="R15" s="41"/>
      <c r="S15" s="41"/>
      <c r="T15" s="41"/>
      <c r="U15" s="41"/>
      <c r="V15" s="41"/>
      <c r="W15" s="41"/>
    </row>
    <row r="16" spans="1:26" s="60" customFormat="1" ht="12.5" x14ac:dyDescent="0.35">
      <c r="A16" s="28">
        <v>59</v>
      </c>
      <c r="B16" s="60" t="s">
        <v>13</v>
      </c>
      <c r="C16" s="41">
        <f>ROUND('2015-16_working'!C16,0)</f>
        <v>700</v>
      </c>
      <c r="D16" s="41">
        <f>ROUND('2015-16_working'!D16,0)</f>
        <v>553</v>
      </c>
      <c r="E16" s="41">
        <f>ROUND('2015-16_working'!E16,0)</f>
        <v>147</v>
      </c>
      <c r="F16" s="41">
        <f>ROUND('2015-16_working'!F16,0)</f>
        <v>128</v>
      </c>
      <c r="G16" s="41">
        <f>ROUND('2015-16_working'!G16,0)</f>
        <v>39</v>
      </c>
      <c r="H16" s="41">
        <f>ROUND('2015-16_working'!H16,0)</f>
        <v>8</v>
      </c>
      <c r="I16" s="41">
        <f>ROUND('2015-16_working'!I16,0)</f>
        <v>0</v>
      </c>
      <c r="J16" s="41">
        <f>ROUND('2015-16_working'!J16,0)</f>
        <v>0</v>
      </c>
      <c r="K16" s="41">
        <f>ROUND('2015-16_working'!K16,0)</f>
        <v>47</v>
      </c>
      <c r="L16" s="41">
        <f>ROUND('2015-16_working'!L16,0)</f>
        <v>7508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</row>
    <row r="17" spans="1:23" s="60" customFormat="1" ht="12.5" x14ac:dyDescent="0.35">
      <c r="A17" s="28">
        <v>60</v>
      </c>
      <c r="B17" s="60" t="s">
        <v>14</v>
      </c>
      <c r="C17" s="41">
        <f>ROUND('2015-16_working'!C17,0)</f>
        <v>909</v>
      </c>
      <c r="D17" s="41">
        <f>ROUND('2015-16_working'!D17,0)</f>
        <v>544</v>
      </c>
      <c r="E17" s="41">
        <f>ROUND('2015-16_working'!E17,0)</f>
        <v>365</v>
      </c>
      <c r="F17" s="41">
        <f>ROUND('2015-16_working'!F17,0)</f>
        <v>300</v>
      </c>
      <c r="G17" s="41">
        <f>ROUND('2015-16_working'!G17,0)</f>
        <v>28</v>
      </c>
      <c r="H17" s="41">
        <f>ROUND('2015-16_working'!H17,0)</f>
        <v>12</v>
      </c>
      <c r="I17" s="41">
        <f>ROUND('2015-16_working'!I17,0)</f>
        <v>3</v>
      </c>
      <c r="J17" s="41">
        <f>ROUND('2015-16_working'!J17,0)</f>
        <v>2</v>
      </c>
      <c r="K17" s="41">
        <f>ROUND('2015-16_working'!K17,0)</f>
        <v>384</v>
      </c>
      <c r="L17" s="41">
        <f>ROUND('2015-16_working'!L17,0)</f>
        <v>34845</v>
      </c>
      <c r="N17" s="41"/>
      <c r="O17" s="41"/>
      <c r="P17" s="41"/>
      <c r="Q17" s="41"/>
      <c r="R17" s="41"/>
      <c r="S17" s="41"/>
      <c r="T17" s="41"/>
      <c r="U17" s="41"/>
      <c r="V17" s="41"/>
      <c r="W17" s="41"/>
    </row>
    <row r="18" spans="1:23" s="60" customFormat="1" ht="12.5" x14ac:dyDescent="0.35">
      <c r="A18" s="28">
        <v>61</v>
      </c>
      <c r="B18" s="45" t="s">
        <v>53</v>
      </c>
      <c r="C18" s="41">
        <f>ROUND('2015-16_working'!C18,0)</f>
        <v>605</v>
      </c>
      <c r="D18" s="41">
        <f>ROUND('2015-16_working'!D18,0)</f>
        <v>221</v>
      </c>
      <c r="E18" s="41">
        <f>ROUND('2015-16_working'!E18,0)</f>
        <v>384</v>
      </c>
      <c r="F18" s="41">
        <f>ROUND('2015-16_working'!F18,0)</f>
        <v>333</v>
      </c>
      <c r="G18" s="41">
        <f>ROUND('2015-16_working'!G18,0)</f>
        <v>41</v>
      </c>
      <c r="H18" s="41">
        <f>ROUND('2015-16_working'!H18,0)</f>
        <v>38</v>
      </c>
      <c r="I18" s="41">
        <f>ROUND('2015-16_working'!I18,0)</f>
        <v>5</v>
      </c>
      <c r="J18" s="41">
        <f>ROUND('2015-16_working'!J18,0)</f>
        <v>2</v>
      </c>
      <c r="K18" s="41">
        <f>ROUND('2015-16_working'!K18,0)</f>
        <v>48</v>
      </c>
      <c r="L18" s="41">
        <f>ROUND('2015-16_working'!L18,0)</f>
        <v>95482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</row>
    <row r="19" spans="1:23" s="98" customFormat="1" ht="12.5" x14ac:dyDescent="0.35">
      <c r="A19" s="28"/>
      <c r="B19" s="45" t="s">
        <v>113</v>
      </c>
      <c r="C19" s="41" t="s">
        <v>114</v>
      </c>
      <c r="D19" s="41" t="s">
        <v>114</v>
      </c>
      <c r="E19" s="41" t="s">
        <v>114</v>
      </c>
      <c r="F19" s="41" t="s">
        <v>114</v>
      </c>
      <c r="G19" s="41" t="s">
        <v>114</v>
      </c>
      <c r="H19" s="41" t="s">
        <v>114</v>
      </c>
      <c r="I19" s="41" t="s">
        <v>114</v>
      </c>
      <c r="J19" s="41" t="s">
        <v>114</v>
      </c>
      <c r="K19" s="41" t="s">
        <v>114</v>
      </c>
      <c r="L19" s="41" t="s">
        <v>114</v>
      </c>
      <c r="N19" s="41"/>
      <c r="O19" s="41"/>
      <c r="P19" s="41"/>
      <c r="Q19" s="41"/>
      <c r="R19" s="41"/>
      <c r="S19" s="41"/>
      <c r="T19" s="41"/>
      <c r="U19" s="41"/>
      <c r="V19" s="41"/>
      <c r="W19" s="41"/>
    </row>
    <row r="20" spans="1:23" s="60" customFormat="1" ht="12.5" x14ac:dyDescent="0.35">
      <c r="A20" s="28">
        <v>62</v>
      </c>
      <c r="B20" s="60" t="s">
        <v>16</v>
      </c>
      <c r="C20" s="41">
        <f>ROUND('2015-16_working'!C20,0)</f>
        <v>853</v>
      </c>
      <c r="D20" s="41">
        <f>ROUND('2015-16_working'!D20,0)</f>
        <v>659</v>
      </c>
      <c r="E20" s="41">
        <f>ROUND('2015-16_working'!E20,0)</f>
        <v>194</v>
      </c>
      <c r="F20" s="41">
        <f>ROUND('2015-16_working'!F20,0)</f>
        <v>175</v>
      </c>
      <c r="G20" s="41">
        <f>ROUND('2015-16_working'!G20,0)</f>
        <v>21</v>
      </c>
      <c r="H20" s="41">
        <f>ROUND('2015-16_working'!H20,0)</f>
        <v>4</v>
      </c>
      <c r="I20" s="41">
        <f>ROUND('2015-16_working'!I20,0)</f>
        <v>0</v>
      </c>
      <c r="J20" s="41">
        <f>ROUND('2015-16_working'!J20,0)</f>
        <v>0</v>
      </c>
      <c r="K20" s="41">
        <f>ROUND('2015-16_working'!K20,0)</f>
        <v>31</v>
      </c>
      <c r="L20" s="41">
        <f>ROUND('2015-16_working'!L20,0)</f>
        <v>44228</v>
      </c>
      <c r="N20" s="41"/>
      <c r="O20" s="41"/>
      <c r="P20" s="41"/>
      <c r="Q20" s="41"/>
      <c r="R20" s="41"/>
      <c r="S20" s="41"/>
      <c r="T20" s="41"/>
      <c r="U20" s="41"/>
      <c r="V20" s="41"/>
      <c r="W20" s="41"/>
    </row>
    <row r="21" spans="1:23" s="60" customFormat="1" ht="12.5" x14ac:dyDescent="0.35">
      <c r="A21" s="28">
        <v>58</v>
      </c>
      <c r="B21" s="60" t="s">
        <v>17</v>
      </c>
      <c r="C21" s="41">
        <f>ROUND('2015-16_working'!C21,0)</f>
        <v>2283</v>
      </c>
      <c r="D21" s="41">
        <f>ROUND('2015-16_working'!D21,0)</f>
        <v>1655</v>
      </c>
      <c r="E21" s="41">
        <f>ROUND('2015-16_working'!E21,0)</f>
        <v>628</v>
      </c>
      <c r="F21" s="41">
        <f>ROUND('2015-16_working'!F21,0)</f>
        <v>531</v>
      </c>
      <c r="G21" s="41">
        <f>ROUND('2015-16_working'!G21,0)</f>
        <v>0</v>
      </c>
      <c r="H21" s="41">
        <f>ROUND('2015-16_working'!H21,0)</f>
        <v>3</v>
      </c>
      <c r="I21" s="41">
        <f>ROUND('2015-16_working'!I21,0)</f>
        <v>0</v>
      </c>
      <c r="J21" s="41">
        <f>ROUND('2015-16_working'!J21,0)</f>
        <v>1</v>
      </c>
      <c r="K21" s="41">
        <f>ROUND('2015-16_working'!K21,0)</f>
        <v>52</v>
      </c>
      <c r="L21" s="41">
        <f>ROUND('2015-16_working'!L21,0)</f>
        <v>15364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</row>
    <row r="22" spans="1:23" s="60" customFormat="1" ht="12.5" x14ac:dyDescent="0.35">
      <c r="A22" s="28">
        <v>63</v>
      </c>
      <c r="B22" s="60" t="s">
        <v>18</v>
      </c>
      <c r="C22" s="41">
        <f>ROUND('2015-16_working'!C22,0)</f>
        <v>272</v>
      </c>
      <c r="D22" s="41">
        <f>ROUND('2015-16_working'!D22,0)</f>
        <v>156</v>
      </c>
      <c r="E22" s="41">
        <f>ROUND('2015-16_working'!E22,0)</f>
        <v>116</v>
      </c>
      <c r="F22" s="41">
        <f>ROUND('2015-16_working'!F22,0)</f>
        <v>104</v>
      </c>
      <c r="G22" s="41">
        <f>ROUND('2015-16_working'!G22,0)</f>
        <v>6</v>
      </c>
      <c r="H22" s="41">
        <f>ROUND('2015-16_working'!H22,0)</f>
        <v>13</v>
      </c>
      <c r="I22" s="41">
        <f>ROUND('2015-16_working'!I22,0)</f>
        <v>2</v>
      </c>
      <c r="J22" s="41">
        <f>ROUND('2015-16_working'!J22,0)</f>
        <v>0</v>
      </c>
      <c r="K22" s="41">
        <f>ROUND('2015-16_working'!K22,0)</f>
        <v>96</v>
      </c>
      <c r="L22" s="41">
        <f>ROUND('2015-16_working'!L22,0)</f>
        <v>25747</v>
      </c>
      <c r="N22" s="41"/>
      <c r="O22" s="41"/>
      <c r="P22" s="41"/>
      <c r="Q22" s="41"/>
      <c r="R22" s="41"/>
      <c r="S22" s="41"/>
      <c r="T22" s="41"/>
      <c r="U22" s="41"/>
      <c r="V22" s="41"/>
      <c r="W22" s="41"/>
    </row>
    <row r="23" spans="1:23" s="60" customFormat="1" ht="12.5" x14ac:dyDescent="0.35">
      <c r="A23" s="28">
        <v>64</v>
      </c>
      <c r="B23" s="60" t="s">
        <v>19</v>
      </c>
      <c r="C23" s="41">
        <f>ROUND('2015-16_working'!C23,0)</f>
        <v>1270</v>
      </c>
      <c r="D23" s="41">
        <f>ROUND('2015-16_working'!D23,0)</f>
        <v>927</v>
      </c>
      <c r="E23" s="41">
        <f>ROUND('2015-16_working'!E23,0)</f>
        <v>343</v>
      </c>
      <c r="F23" s="41">
        <f>ROUND('2015-16_working'!F23,0)</f>
        <v>0</v>
      </c>
      <c r="G23" s="41">
        <f>ROUND('2015-16_working'!G23,0)</f>
        <v>7</v>
      </c>
      <c r="H23" s="41">
        <f>ROUND('2015-16_working'!H23,0)</f>
        <v>11</v>
      </c>
      <c r="I23" s="41">
        <f>ROUND('2015-16_working'!I23,0)</f>
        <v>0</v>
      </c>
      <c r="J23" s="41">
        <f>ROUND('2015-16_working'!J23,0)</f>
        <v>0</v>
      </c>
      <c r="K23" s="41">
        <f>ROUND('2015-16_working'!K23,0)</f>
        <v>3</v>
      </c>
      <c r="L23" s="41">
        <f>ROUND('2015-16_working'!L23,0)</f>
        <v>32954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</row>
    <row r="24" spans="1:23" s="60" customFormat="1" ht="12.5" x14ac:dyDescent="0.35">
      <c r="A24" s="28">
        <v>65</v>
      </c>
      <c r="B24" s="60" t="s">
        <v>20</v>
      </c>
      <c r="C24" s="41">
        <f>ROUND('2015-16_working'!C24,0)</f>
        <v>397</v>
      </c>
      <c r="D24" s="41">
        <f>ROUND('2015-16_working'!D24,0)</f>
        <v>314</v>
      </c>
      <c r="E24" s="41">
        <f>ROUND('2015-16_working'!E24,0)</f>
        <v>83</v>
      </c>
      <c r="F24" s="41">
        <f>ROUND('2015-16_working'!F24,0)</f>
        <v>75</v>
      </c>
      <c r="G24" s="41">
        <f>ROUND('2015-16_working'!G24,0)</f>
        <v>10</v>
      </c>
      <c r="H24" s="41">
        <f>ROUND('2015-16_working'!H24,0)</f>
        <v>4</v>
      </c>
      <c r="I24" s="41">
        <f>ROUND('2015-16_working'!I24,0)</f>
        <v>0</v>
      </c>
      <c r="J24" s="41">
        <f>ROUND('2015-16_working'!J24,0)</f>
        <v>1</v>
      </c>
      <c r="K24" s="41">
        <f>ROUND('2015-16_working'!K24,0)</f>
        <v>14</v>
      </c>
      <c r="L24" s="41">
        <f>ROUND('2015-16_working'!L24,0)</f>
        <v>15987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</row>
    <row r="25" spans="1:23" s="60" customFormat="1" ht="12.5" x14ac:dyDescent="0.35">
      <c r="A25" s="28">
        <v>67</v>
      </c>
      <c r="B25" s="60" t="s">
        <v>23</v>
      </c>
      <c r="C25" s="41">
        <f>ROUND('2015-16_working'!C25,0)</f>
        <v>631</v>
      </c>
      <c r="D25" s="41">
        <f>ROUND('2015-16_working'!D25,0)</f>
        <v>312</v>
      </c>
      <c r="E25" s="41">
        <f>ROUND('2015-16_working'!E25,0)</f>
        <v>319</v>
      </c>
      <c r="F25" s="41">
        <f>ROUND('2015-16_working'!F25,0)</f>
        <v>283</v>
      </c>
      <c r="G25" s="41">
        <f>ROUND('2015-16_working'!G25,0)</f>
        <v>25</v>
      </c>
      <c r="H25" s="41">
        <f>ROUND('2015-16_working'!H25,0)</f>
        <v>13</v>
      </c>
      <c r="I25" s="41">
        <f>ROUND('2015-16_working'!I25,0)</f>
        <v>0</v>
      </c>
      <c r="J25" s="41">
        <f>ROUND('2015-16_working'!J25,0)</f>
        <v>21</v>
      </c>
      <c r="K25" s="41">
        <f>ROUND('2015-16_working'!K25,0)</f>
        <v>0</v>
      </c>
      <c r="L25" s="41">
        <f>ROUND('2015-16_working'!L25,0)</f>
        <v>104352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</row>
    <row r="26" spans="1:23" s="60" customFormat="1" ht="12.5" x14ac:dyDescent="0.35">
      <c r="A26" s="28">
        <v>68</v>
      </c>
      <c r="B26" s="60" t="s">
        <v>54</v>
      </c>
      <c r="C26" s="41">
        <f>ROUND('2015-16_working'!C26,0)</f>
        <v>718</v>
      </c>
      <c r="D26" s="41">
        <f>ROUND('2015-16_working'!D26,0)</f>
        <v>540</v>
      </c>
      <c r="E26" s="41">
        <f>ROUND('2015-16_working'!E26,0)</f>
        <v>178</v>
      </c>
      <c r="F26" s="41">
        <f>ROUND('2015-16_working'!F26,0)</f>
        <v>222</v>
      </c>
      <c r="G26" s="41">
        <f>ROUND('2015-16_working'!G26,0)</f>
        <v>9</v>
      </c>
      <c r="H26" s="41">
        <f>ROUND('2015-16_working'!H26,0)</f>
        <v>8</v>
      </c>
      <c r="I26" s="41">
        <f>ROUND('2015-16_working'!I26,0)</f>
        <v>0</v>
      </c>
      <c r="J26" s="41">
        <f>ROUND('2015-16_working'!J26,0)</f>
        <v>0</v>
      </c>
      <c r="K26" s="41">
        <f>ROUND('2015-16_working'!K26,0)</f>
        <v>6</v>
      </c>
      <c r="L26" s="41">
        <f>ROUND('2015-16_working'!L26,0)</f>
        <v>17477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</row>
    <row r="27" spans="1:23" s="60" customFormat="1" ht="12.5" x14ac:dyDescent="0.35">
      <c r="A27" s="28">
        <v>69</v>
      </c>
      <c r="B27" s="60" t="s">
        <v>25</v>
      </c>
      <c r="C27" s="41">
        <f>ROUND('2015-16_working'!C27,0)</f>
        <v>333</v>
      </c>
      <c r="D27" s="41">
        <f>ROUND('2015-16_working'!D27,0)</f>
        <v>255</v>
      </c>
      <c r="E27" s="41">
        <f>ROUND('2015-16_working'!E27,0)</f>
        <v>78</v>
      </c>
      <c r="F27" s="41">
        <f>ROUND('2015-16_working'!F27,0)</f>
        <v>34</v>
      </c>
      <c r="G27" s="41">
        <f>ROUND('2015-16_working'!G27,0)</f>
        <v>25</v>
      </c>
      <c r="H27" s="41">
        <f>ROUND('2015-16_working'!H27,0)</f>
        <v>7</v>
      </c>
      <c r="I27" s="41">
        <f>ROUND('2015-16_working'!I27,0)</f>
        <v>0</v>
      </c>
      <c r="J27" s="41">
        <f>ROUND('2015-16_working'!J27,0)</f>
        <v>0</v>
      </c>
      <c r="K27" s="41">
        <f>ROUND('2015-16_working'!K27,0)</f>
        <v>75</v>
      </c>
      <c r="L27" s="41">
        <f>ROUND('2015-16_working'!L27,0)</f>
        <v>23661</v>
      </c>
      <c r="N27" s="41"/>
      <c r="O27" s="41"/>
      <c r="P27" s="41"/>
      <c r="Q27" s="41"/>
      <c r="R27" s="41"/>
      <c r="S27" s="41"/>
      <c r="T27" s="41"/>
      <c r="U27" s="41"/>
      <c r="V27" s="41"/>
      <c r="W27" s="41"/>
    </row>
    <row r="28" spans="1:23" s="60" customFormat="1" ht="12.5" x14ac:dyDescent="0.35">
      <c r="A28" s="28">
        <v>70</v>
      </c>
      <c r="B28" s="60" t="s">
        <v>26</v>
      </c>
      <c r="C28" s="41">
        <f>ROUND('2015-16_working'!C28,0)</f>
        <v>1238</v>
      </c>
      <c r="D28" s="41">
        <f>ROUND('2015-16_working'!D28,0)</f>
        <v>957</v>
      </c>
      <c r="E28" s="41">
        <f>ROUND('2015-16_working'!E28,0)</f>
        <v>281</v>
      </c>
      <c r="F28" s="41">
        <f>ROUND('2015-16_working'!F28,0)</f>
        <v>264</v>
      </c>
      <c r="G28" s="41">
        <f>ROUND('2015-16_working'!G28,0)</f>
        <v>19</v>
      </c>
      <c r="H28" s="41">
        <f>ROUND('2015-16_working'!H28,0)</f>
        <v>19</v>
      </c>
      <c r="I28" s="41">
        <f>ROUND('2015-16_working'!I28,0)</f>
        <v>1</v>
      </c>
      <c r="J28" s="41">
        <f>ROUND('2015-16_working'!J28,0)</f>
        <v>3</v>
      </c>
      <c r="K28" s="41">
        <f>ROUND('2015-16_working'!K28,0)</f>
        <v>178</v>
      </c>
      <c r="L28" s="41">
        <f>ROUND('2015-16_working'!L28,0)</f>
        <v>38334</v>
      </c>
      <c r="N28" s="41"/>
      <c r="O28" s="41"/>
      <c r="P28" s="41"/>
      <c r="Q28" s="41"/>
      <c r="R28" s="41"/>
      <c r="S28" s="41"/>
      <c r="T28" s="41"/>
      <c r="U28" s="41"/>
      <c r="V28" s="41"/>
      <c r="W28" s="41"/>
    </row>
    <row r="29" spans="1:23" s="60" customFormat="1" ht="12.5" x14ac:dyDescent="0.35">
      <c r="A29" s="28">
        <v>71</v>
      </c>
      <c r="B29" s="60" t="s">
        <v>55</v>
      </c>
      <c r="C29" s="41">
        <f>ROUND('2015-16_working'!C29,0)</f>
        <v>152</v>
      </c>
      <c r="D29" s="41">
        <f>ROUND('2015-16_working'!D29,0)</f>
        <v>103</v>
      </c>
      <c r="E29" s="41">
        <f>ROUND('2015-16_working'!E29,0)</f>
        <v>49</v>
      </c>
      <c r="F29" s="41">
        <f>ROUND('2015-16_working'!F29,0)</f>
        <v>48</v>
      </c>
      <c r="G29" s="41">
        <f>ROUND('2015-16_working'!G29,0)</f>
        <v>3</v>
      </c>
      <c r="H29" s="41">
        <f>ROUND('2015-16_working'!H29,0)</f>
        <v>0</v>
      </c>
      <c r="I29" s="41">
        <f>ROUND('2015-16_working'!I29,0)</f>
        <v>0</v>
      </c>
      <c r="J29" s="41">
        <f>ROUND('2015-16_working'!J29,0)</f>
        <v>0</v>
      </c>
      <c r="K29" s="41">
        <f>ROUND('2015-16_working'!K29,0)</f>
        <v>5</v>
      </c>
      <c r="L29" s="41">
        <f>ROUND('2015-16_working'!L29,0)</f>
        <v>6341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</row>
    <row r="30" spans="1:23" s="60" customFormat="1" ht="12.5" x14ac:dyDescent="0.35">
      <c r="A30" s="28">
        <v>73</v>
      </c>
      <c r="B30" s="60" t="s">
        <v>29</v>
      </c>
      <c r="C30" s="41">
        <f>ROUND('2015-16_working'!C30,0)</f>
        <v>445</v>
      </c>
      <c r="D30" s="41">
        <f>ROUND('2015-16_working'!D30,0)</f>
        <v>333</v>
      </c>
      <c r="E30" s="41">
        <f>ROUND('2015-16_working'!E30,0)</f>
        <v>112</v>
      </c>
      <c r="F30" s="41">
        <f>ROUND('2015-16_working'!F30,0)</f>
        <v>0</v>
      </c>
      <c r="G30" s="41">
        <f>ROUND('2015-16_working'!G30,0)</f>
        <v>34</v>
      </c>
      <c r="H30" s="41">
        <f>ROUND('2015-16_working'!H30,0)</f>
        <v>15</v>
      </c>
      <c r="I30" s="41">
        <f>ROUND('2015-16_working'!I30,0)</f>
        <v>1</v>
      </c>
      <c r="J30" s="41">
        <f>ROUND('2015-16_working'!J30,0)</f>
        <v>0</v>
      </c>
      <c r="K30" s="41">
        <f>ROUND('2015-16_working'!K30,0)</f>
        <v>0</v>
      </c>
      <c r="L30" s="84" t="s">
        <v>95</v>
      </c>
      <c r="N30" s="41"/>
      <c r="O30" s="41"/>
      <c r="P30" s="41"/>
      <c r="Q30" s="41"/>
      <c r="R30" s="41"/>
      <c r="S30" s="41"/>
      <c r="T30" s="41"/>
      <c r="U30" s="41"/>
      <c r="V30" s="41"/>
      <c r="W30" s="41"/>
    </row>
    <row r="31" spans="1:23" s="60" customFormat="1" ht="12.5" x14ac:dyDescent="0.35">
      <c r="A31" s="28">
        <v>74</v>
      </c>
      <c r="B31" s="60" t="s">
        <v>30</v>
      </c>
      <c r="C31" s="41">
        <f>ROUND('2015-16_working'!C31,0)</f>
        <v>2100</v>
      </c>
      <c r="D31" s="41">
        <f>ROUND('2015-16_working'!D31,0)</f>
        <v>829</v>
      </c>
      <c r="E31" s="41">
        <f>ROUND('2015-16_working'!E31,0)</f>
        <v>1271</v>
      </c>
      <c r="F31" s="41">
        <f>ROUND('2015-16_working'!F31,0)</f>
        <v>943</v>
      </c>
      <c r="G31" s="41">
        <f>ROUND('2015-16_working'!G31,0)</f>
        <v>152</v>
      </c>
      <c r="H31" s="41">
        <f>ROUND('2015-16_working'!H31,0)</f>
        <v>10</v>
      </c>
      <c r="I31" s="41">
        <f>ROUND('2015-16_working'!I31,0)</f>
        <v>19</v>
      </c>
      <c r="J31" s="41">
        <f>ROUND('2015-16_working'!J31,0)</f>
        <v>10</v>
      </c>
      <c r="K31" s="41">
        <f>ROUND('2015-16_working'!K31,0)</f>
        <v>102</v>
      </c>
      <c r="L31" s="41">
        <f>ROUND('2015-16_working'!L31,0)</f>
        <v>33576</v>
      </c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1:23" s="60" customFormat="1" ht="12.5" x14ac:dyDescent="0.35">
      <c r="A32" s="28">
        <v>75</v>
      </c>
      <c r="B32" s="60" t="s">
        <v>31</v>
      </c>
      <c r="C32" s="41">
        <f>ROUND('2015-16_working'!C32,0)</f>
        <v>540</v>
      </c>
      <c r="D32" s="41">
        <f>ROUND('2015-16_working'!D32,0)</f>
        <v>414</v>
      </c>
      <c r="E32" s="41">
        <f>ROUND('2015-16_working'!E32,0)</f>
        <v>126</v>
      </c>
      <c r="F32" s="41">
        <f>ROUND('2015-16_working'!F32,0)</f>
        <v>250</v>
      </c>
      <c r="G32" s="41">
        <f>ROUND('2015-16_working'!G32,0)</f>
        <v>36</v>
      </c>
      <c r="H32" s="41">
        <f>ROUND('2015-16_working'!H32,0)</f>
        <v>23</v>
      </c>
      <c r="I32" s="41">
        <f>ROUND('2015-16_working'!I32,0)</f>
        <v>0</v>
      </c>
      <c r="J32" s="41">
        <f>ROUND('2015-16_working'!J32,0)</f>
        <v>0</v>
      </c>
      <c r="K32" s="41">
        <f>ROUND('2015-16_working'!K32,0)</f>
        <v>122</v>
      </c>
      <c r="L32" s="41">
        <f>ROUND('2015-16_working'!L32,0)</f>
        <v>24190</v>
      </c>
      <c r="N32" s="41"/>
      <c r="O32" s="41"/>
      <c r="P32" s="41"/>
      <c r="Q32" s="41"/>
      <c r="R32" s="41"/>
      <c r="S32" s="41"/>
      <c r="T32" s="41"/>
      <c r="U32" s="41"/>
      <c r="V32" s="41"/>
      <c r="W32" s="41"/>
    </row>
    <row r="33" spans="1:23" s="60" customFormat="1" ht="14.5" x14ac:dyDescent="0.35">
      <c r="A33" s="28">
        <v>76</v>
      </c>
      <c r="B33" s="60" t="s">
        <v>87</v>
      </c>
      <c r="C33" s="41">
        <f>ROUND('2015-16_working'!C33,0)</f>
        <v>243</v>
      </c>
      <c r="D33" s="41">
        <f>ROUND('2015-16_working'!D33,0)</f>
        <v>157</v>
      </c>
      <c r="E33" s="41">
        <f>ROUND('2015-16_working'!E33,0)</f>
        <v>86</v>
      </c>
      <c r="F33" s="41">
        <f>ROUND('2015-16_working'!F33,0)</f>
        <v>71</v>
      </c>
      <c r="G33" s="41">
        <f>ROUND('2015-16_working'!G33,0)</f>
        <v>18</v>
      </c>
      <c r="H33" s="41">
        <f>ROUND('2015-16_working'!H33,0)</f>
        <v>6</v>
      </c>
      <c r="I33" s="41">
        <f>ROUND('2015-16_working'!I33,0)</f>
        <v>1</v>
      </c>
      <c r="J33" s="41">
        <f>ROUND('2015-16_working'!J33,0)</f>
        <v>0</v>
      </c>
      <c r="K33" s="41">
        <f>ROUND('2015-16_working'!K33,0)</f>
        <v>13</v>
      </c>
      <c r="L33" s="41">
        <f>ROUND('2015-16_working'!L33,0)</f>
        <v>27598</v>
      </c>
      <c r="N33" s="41"/>
      <c r="O33" s="41"/>
      <c r="P33" s="41"/>
      <c r="Q33" s="41"/>
      <c r="R33" s="41"/>
      <c r="S33" s="41"/>
      <c r="T33" s="41"/>
      <c r="U33" s="41"/>
      <c r="V33" s="41"/>
      <c r="W33" s="41"/>
    </row>
    <row r="34" spans="1:23" s="60" customFormat="1" ht="12.5" x14ac:dyDescent="0.35">
      <c r="A34" s="28">
        <v>79</v>
      </c>
      <c r="B34" s="60" t="s">
        <v>34</v>
      </c>
      <c r="C34" s="41">
        <f>ROUND('2015-16_working'!C34,0)</f>
        <v>949</v>
      </c>
      <c r="D34" s="41">
        <f>ROUND('2015-16_working'!D34,0)</f>
        <v>802</v>
      </c>
      <c r="E34" s="41">
        <f>ROUND('2015-16_working'!E34,0)</f>
        <v>147</v>
      </c>
      <c r="F34" s="41">
        <f>ROUND('2015-16_working'!F34,0)</f>
        <v>135</v>
      </c>
      <c r="G34" s="41">
        <f>ROUND('2015-16_working'!G34,0)</f>
        <v>14</v>
      </c>
      <c r="H34" s="41">
        <f>ROUND('2015-16_working'!H34,0)</f>
        <v>6</v>
      </c>
      <c r="I34" s="41">
        <f>ROUND('2015-16_working'!I34,0)</f>
        <v>0</v>
      </c>
      <c r="J34" s="41">
        <f>ROUND('2015-16_working'!J34,0)</f>
        <v>0</v>
      </c>
      <c r="K34" s="41">
        <f>ROUND('2015-16_working'!K34,0)</f>
        <v>156</v>
      </c>
      <c r="L34" s="41">
        <f>ROUND('2015-16_working'!L34,0)</f>
        <v>22003</v>
      </c>
      <c r="N34" s="41"/>
      <c r="O34" s="41"/>
      <c r="P34" s="41"/>
      <c r="Q34" s="41"/>
      <c r="R34" s="41"/>
      <c r="S34" s="41"/>
      <c r="T34" s="41"/>
      <c r="U34" s="41"/>
      <c r="V34" s="41"/>
      <c r="W34" s="41"/>
    </row>
    <row r="35" spans="1:23" s="60" customFormat="1" ht="12.5" x14ac:dyDescent="0.35">
      <c r="A35" s="28">
        <v>80</v>
      </c>
      <c r="B35" s="60" t="s">
        <v>35</v>
      </c>
      <c r="C35" s="41">
        <f>ROUND('2015-16_working'!C35,0)</f>
        <v>1830</v>
      </c>
      <c r="D35" s="41">
        <f>ROUND('2015-16_working'!D35,0)</f>
        <v>1003</v>
      </c>
      <c r="E35" s="41">
        <f>ROUND('2015-16_working'!E35,0)</f>
        <v>827</v>
      </c>
      <c r="F35" s="41">
        <f>ROUND('2015-16_working'!F35,0)</f>
        <v>791</v>
      </c>
      <c r="G35" s="41">
        <f>ROUND('2015-16_working'!G35,0)</f>
        <v>25</v>
      </c>
      <c r="H35" s="41">
        <f>ROUND('2015-16_working'!H35,0)</f>
        <v>11</v>
      </c>
      <c r="I35" s="41">
        <f>ROUND('2015-16_working'!I35,0)</f>
        <v>4</v>
      </c>
      <c r="J35" s="41">
        <f>ROUND('2015-16_working'!J35,0)</f>
        <v>0</v>
      </c>
      <c r="K35" s="41">
        <f>ROUND('2015-16_working'!K35,0)</f>
        <v>120</v>
      </c>
      <c r="L35" s="41">
        <f>ROUND('2015-16_working'!L35,0)</f>
        <v>45874</v>
      </c>
      <c r="N35" s="41"/>
      <c r="O35" s="41"/>
      <c r="P35" s="41"/>
      <c r="Q35" s="41"/>
      <c r="R35" s="41"/>
      <c r="S35" s="41"/>
      <c r="T35" s="41"/>
      <c r="U35" s="41"/>
      <c r="V35" s="41"/>
      <c r="W35" s="41"/>
    </row>
    <row r="36" spans="1:23" s="60" customFormat="1" ht="12.5" x14ac:dyDescent="0.35">
      <c r="A36" s="28">
        <v>81</v>
      </c>
      <c r="B36" s="60" t="s">
        <v>36</v>
      </c>
      <c r="C36" s="41">
        <f>ROUND('2015-16_working'!C36,0)</f>
        <v>1141</v>
      </c>
      <c r="D36" s="41">
        <f>ROUND('2015-16_working'!D36,0)</f>
        <v>720</v>
      </c>
      <c r="E36" s="41">
        <f>ROUND('2015-16_working'!E36,0)</f>
        <v>421</v>
      </c>
      <c r="F36" s="41">
        <f>ROUND('2015-16_working'!F36,0)</f>
        <v>224</v>
      </c>
      <c r="G36" s="41">
        <f>ROUND('2015-16_working'!G36,0)</f>
        <v>42</v>
      </c>
      <c r="H36" s="41">
        <f>ROUND('2015-16_working'!H36,0)</f>
        <v>27</v>
      </c>
      <c r="I36" s="41">
        <f>ROUND('2015-16_working'!I36,0)</f>
        <v>0</v>
      </c>
      <c r="J36" s="41">
        <f>ROUND('2015-16_working'!J36,0)</f>
        <v>0</v>
      </c>
      <c r="K36" s="41">
        <f>ROUND('2015-16_working'!K36,0)</f>
        <v>36</v>
      </c>
      <c r="L36" s="41">
        <f>ROUND('2015-16_working'!L36,0)</f>
        <v>19469</v>
      </c>
      <c r="N36" s="41"/>
      <c r="O36" s="41"/>
      <c r="P36" s="41"/>
      <c r="Q36" s="41"/>
      <c r="R36" s="41"/>
      <c r="S36" s="41"/>
      <c r="T36" s="41"/>
      <c r="U36" s="41"/>
      <c r="V36" s="41"/>
      <c r="W36" s="41"/>
    </row>
    <row r="37" spans="1:23" s="60" customFormat="1" ht="12.5" x14ac:dyDescent="0.35">
      <c r="A37" s="28">
        <v>83</v>
      </c>
      <c r="B37" s="60" t="s">
        <v>37</v>
      </c>
      <c r="C37" s="41">
        <f>ROUND('2015-16_working'!C37,0)</f>
        <v>351</v>
      </c>
      <c r="D37" s="41">
        <f>ROUND('2015-16_working'!D37,0)</f>
        <v>161</v>
      </c>
      <c r="E37" s="41">
        <f>ROUND('2015-16_working'!E37,0)</f>
        <v>190</v>
      </c>
      <c r="F37" s="41">
        <f>ROUND('2015-16_working'!F37,0)</f>
        <v>186</v>
      </c>
      <c r="G37" s="41">
        <f>ROUND('2015-16_working'!G37,0)</f>
        <v>5</v>
      </c>
      <c r="H37" s="41">
        <f>ROUND('2015-16_working'!H37,0)</f>
        <v>1</v>
      </c>
      <c r="I37" s="41">
        <f>ROUND('2015-16_working'!I37,0)</f>
        <v>0</v>
      </c>
      <c r="J37" s="41">
        <f>ROUND('2015-16_working'!J37,0)</f>
        <v>0</v>
      </c>
      <c r="K37" s="41">
        <f>ROUND('2015-16_working'!K37,0)</f>
        <v>34</v>
      </c>
      <c r="L37" s="41">
        <f>ROUND('2015-16_working'!L37,0)</f>
        <v>8484</v>
      </c>
      <c r="N37" s="41"/>
      <c r="O37" s="41"/>
      <c r="P37" s="41"/>
      <c r="Q37" s="41"/>
      <c r="R37" s="41"/>
      <c r="S37" s="41"/>
      <c r="T37" s="41"/>
      <c r="U37" s="41"/>
      <c r="V37" s="41"/>
      <c r="W37" s="41"/>
    </row>
    <row r="38" spans="1:23" s="60" customFormat="1" ht="12.5" x14ac:dyDescent="0.35">
      <c r="A38" s="28">
        <v>84</v>
      </c>
      <c r="B38" s="60" t="s">
        <v>38</v>
      </c>
      <c r="C38" s="41">
        <f>ROUND('2015-16_working'!C38,0)</f>
        <v>392</v>
      </c>
      <c r="D38" s="41">
        <f>ROUND('2015-16_working'!D38,0)</f>
        <v>260</v>
      </c>
      <c r="E38" s="41">
        <f>ROUND('2015-16_working'!E38,0)</f>
        <v>132</v>
      </c>
      <c r="F38" s="41">
        <f>ROUND('2015-16_working'!F38,0)</f>
        <v>123</v>
      </c>
      <c r="G38" s="41">
        <f>ROUND('2015-16_working'!G38,0)</f>
        <v>10</v>
      </c>
      <c r="H38" s="41">
        <f>ROUND('2015-16_working'!H38,0)</f>
        <v>14</v>
      </c>
      <c r="I38" s="41">
        <f>ROUND('2015-16_working'!I38,0)</f>
        <v>1</v>
      </c>
      <c r="J38" s="41">
        <f>ROUND('2015-16_working'!J38,0)</f>
        <v>0</v>
      </c>
      <c r="K38" s="41">
        <f>ROUND('2015-16_working'!K38,0)</f>
        <v>68</v>
      </c>
      <c r="L38" s="41">
        <f>ROUND('2015-16_working'!L38,0)</f>
        <v>25078</v>
      </c>
      <c r="N38" s="41"/>
      <c r="O38" s="41"/>
      <c r="P38" s="41"/>
      <c r="Q38" s="41"/>
      <c r="R38" s="41"/>
      <c r="S38" s="41"/>
      <c r="T38" s="41"/>
      <c r="U38" s="41"/>
      <c r="V38" s="41"/>
      <c r="W38" s="41"/>
    </row>
    <row r="39" spans="1:23" s="60" customFormat="1" ht="12.5" x14ac:dyDescent="0.35">
      <c r="A39" s="28">
        <v>85</v>
      </c>
      <c r="B39" s="60" t="s">
        <v>39</v>
      </c>
      <c r="C39" s="41">
        <f>ROUND('2015-16_working'!C39,0)</f>
        <v>419</v>
      </c>
      <c r="D39" s="41">
        <f>ROUND('2015-16_working'!D39,0)</f>
        <v>211</v>
      </c>
      <c r="E39" s="41">
        <f>ROUND('2015-16_working'!E39,0)</f>
        <v>208</v>
      </c>
      <c r="F39" s="41">
        <f>ROUND('2015-16_working'!F39,0)</f>
        <v>197</v>
      </c>
      <c r="G39" s="41">
        <f>ROUND('2015-16_working'!G39,0)</f>
        <v>7</v>
      </c>
      <c r="H39" s="41">
        <f>ROUND('2015-16_working'!H39,0)</f>
        <v>13</v>
      </c>
      <c r="I39" s="41">
        <f>ROUND('2015-16_working'!I39,0)</f>
        <v>7</v>
      </c>
      <c r="J39" s="41">
        <f>ROUND('2015-16_working'!J39,0)</f>
        <v>0</v>
      </c>
      <c r="K39" s="41">
        <f>ROUND('2015-16_working'!K39,0)</f>
        <v>198</v>
      </c>
      <c r="L39" s="41">
        <f>ROUND('2015-16_working'!L39,0)</f>
        <v>19804</v>
      </c>
      <c r="N39" s="41"/>
      <c r="O39" s="41"/>
      <c r="P39" s="41"/>
      <c r="Q39" s="41"/>
      <c r="R39" s="41"/>
      <c r="S39" s="41"/>
      <c r="T39" s="41"/>
      <c r="U39" s="41"/>
      <c r="V39" s="41"/>
      <c r="W39" s="41"/>
    </row>
    <row r="40" spans="1:23" s="60" customFormat="1" ht="12.5" x14ac:dyDescent="0.35">
      <c r="A40" s="28">
        <v>87</v>
      </c>
      <c r="B40" s="60" t="s">
        <v>40</v>
      </c>
      <c r="C40" s="41">
        <f>ROUND('2015-16_working'!C40,0)</f>
        <v>401</v>
      </c>
      <c r="D40" s="41">
        <f>ROUND('2015-16_working'!D40,0)</f>
        <v>256</v>
      </c>
      <c r="E40" s="41">
        <f>ROUND('2015-16_working'!E40,0)</f>
        <v>145</v>
      </c>
      <c r="F40" s="41">
        <f>ROUND('2015-16_working'!F40,0)</f>
        <v>98</v>
      </c>
      <c r="G40" s="41">
        <f>ROUND('2015-16_working'!G40,0)</f>
        <v>1</v>
      </c>
      <c r="H40" s="41">
        <f>ROUND('2015-16_working'!H40,0)</f>
        <v>8</v>
      </c>
      <c r="I40" s="41">
        <f>ROUND('2015-16_working'!I40,0)</f>
        <v>0</v>
      </c>
      <c r="J40" s="41">
        <f>ROUND('2015-16_working'!J40,0)</f>
        <v>0</v>
      </c>
      <c r="K40" s="41">
        <f>ROUND('2015-16_working'!K40,0)</f>
        <v>2</v>
      </c>
      <c r="L40" s="41">
        <f>ROUND('2015-16_working'!L40,0)</f>
        <v>14010</v>
      </c>
      <c r="N40" s="41"/>
      <c r="O40" s="41"/>
      <c r="P40" s="41"/>
      <c r="Q40" s="41"/>
      <c r="R40" s="41"/>
      <c r="S40" s="41"/>
      <c r="T40" s="41"/>
      <c r="U40" s="41"/>
      <c r="V40" s="41"/>
      <c r="W40" s="41"/>
    </row>
    <row r="41" spans="1:23" s="60" customFormat="1" ht="14.5" x14ac:dyDescent="0.35">
      <c r="A41" s="28">
        <v>90</v>
      </c>
      <c r="B41" s="60" t="s">
        <v>88</v>
      </c>
      <c r="C41" s="41">
        <f>ROUND('2015-16_working'!C41,0)</f>
        <v>167</v>
      </c>
      <c r="D41" s="41">
        <f>ROUND('2015-16_working'!D41,0)</f>
        <v>120</v>
      </c>
      <c r="E41" s="41">
        <f>ROUND('2015-16_working'!E41,0)</f>
        <v>47</v>
      </c>
      <c r="F41" s="41">
        <f>ROUND('2015-16_working'!F41,0)</f>
        <v>122</v>
      </c>
      <c r="G41" s="41">
        <f>ROUND('2015-16_working'!G41,0)</f>
        <v>2</v>
      </c>
      <c r="H41" s="41">
        <f>ROUND('2015-16_working'!H41,0)</f>
        <v>4</v>
      </c>
      <c r="I41" s="41">
        <f>ROUND('2015-16_working'!I41,0)</f>
        <v>0</v>
      </c>
      <c r="J41" s="41">
        <f>ROUND('2015-16_working'!J41,0)</f>
        <v>1</v>
      </c>
      <c r="K41" s="41">
        <f>ROUND('2015-16_working'!K41,0)</f>
        <v>0</v>
      </c>
      <c r="L41" s="41">
        <f>ROUND('2015-16_working'!L41,0)</f>
        <v>25327</v>
      </c>
      <c r="N41" s="41"/>
      <c r="O41" s="41"/>
      <c r="P41" s="41"/>
      <c r="Q41" s="41"/>
      <c r="R41" s="41"/>
      <c r="S41" s="41"/>
      <c r="T41" s="41"/>
      <c r="U41" s="41"/>
      <c r="V41" s="41"/>
      <c r="W41" s="41"/>
    </row>
    <row r="42" spans="1:23" s="60" customFormat="1" ht="12.5" x14ac:dyDescent="0.35">
      <c r="A42" s="28">
        <v>91</v>
      </c>
      <c r="B42" s="60" t="s">
        <v>43</v>
      </c>
      <c r="C42" s="41">
        <f>ROUND('2015-16_working'!C42,0)</f>
        <v>743</v>
      </c>
      <c r="D42" s="41">
        <f>ROUND('2015-16_working'!D42,0)</f>
        <v>611</v>
      </c>
      <c r="E42" s="41">
        <f>ROUND('2015-16_working'!E42,0)</f>
        <v>132</v>
      </c>
      <c r="F42" s="41">
        <f>ROUND('2015-16_working'!F42,0)</f>
        <v>130</v>
      </c>
      <c r="G42" s="41">
        <f>ROUND('2015-16_working'!G42,0)</f>
        <v>2</v>
      </c>
      <c r="H42" s="41">
        <f>ROUND('2015-16_working'!H42,0)</f>
        <v>0</v>
      </c>
      <c r="I42" s="41">
        <f>ROUND('2015-16_working'!I42,0)</f>
        <v>1</v>
      </c>
      <c r="J42" s="41">
        <f>ROUND('2015-16_working'!J42,0)</f>
        <v>0</v>
      </c>
      <c r="K42" s="41">
        <f>ROUND('2015-16_working'!K42,0)</f>
        <v>137</v>
      </c>
      <c r="L42" s="41">
        <f>ROUND('2015-16_working'!L42,0)</f>
        <v>37964</v>
      </c>
      <c r="N42" s="41"/>
      <c r="O42" s="41"/>
      <c r="P42" s="41"/>
      <c r="Q42" s="41"/>
      <c r="R42" s="41"/>
      <c r="S42" s="41"/>
      <c r="T42" s="41"/>
      <c r="U42" s="41"/>
      <c r="V42" s="41"/>
      <c r="W42" s="41"/>
    </row>
    <row r="43" spans="1:23" s="60" customFormat="1" ht="12.5" x14ac:dyDescent="0.35">
      <c r="A43" s="28">
        <v>92</v>
      </c>
      <c r="B43" s="60" t="s">
        <v>44</v>
      </c>
      <c r="C43" s="41">
        <f>ROUND('2015-16_working'!C43,0)</f>
        <v>519</v>
      </c>
      <c r="D43" s="41">
        <f>ROUND('2015-16_working'!D43,0)</f>
        <v>293</v>
      </c>
      <c r="E43" s="41">
        <f>ROUND('2015-16_working'!E43,0)</f>
        <v>226</v>
      </c>
      <c r="F43" s="41">
        <f>ROUND('2015-16_working'!F43,0)</f>
        <v>0</v>
      </c>
      <c r="G43" s="41">
        <f>ROUND('2015-16_working'!G43,0)</f>
        <v>11</v>
      </c>
      <c r="H43" s="41">
        <f>ROUND('2015-16_working'!H43,0)</f>
        <v>2</v>
      </c>
      <c r="I43" s="41">
        <f>ROUND('2015-16_working'!I43,0)</f>
        <v>0</v>
      </c>
      <c r="J43" s="41">
        <f>ROUND('2015-16_working'!J43,0)</f>
        <v>0</v>
      </c>
      <c r="K43" s="41">
        <f>ROUND('2015-16_working'!K43,0)</f>
        <v>0</v>
      </c>
      <c r="L43" s="41">
        <f>ROUND('2015-16_working'!L43,0)</f>
        <v>26384</v>
      </c>
      <c r="N43" s="41"/>
      <c r="O43" s="41"/>
      <c r="P43" s="41"/>
      <c r="Q43" s="41"/>
      <c r="R43" s="41"/>
      <c r="S43" s="41"/>
      <c r="T43" s="41"/>
      <c r="U43" s="41"/>
      <c r="V43" s="41"/>
      <c r="W43" s="41"/>
    </row>
    <row r="44" spans="1:23" s="60" customFormat="1" ht="12.5" x14ac:dyDescent="0.35">
      <c r="A44" s="28">
        <v>94</v>
      </c>
      <c r="B44" s="60" t="s">
        <v>46</v>
      </c>
      <c r="C44" s="41">
        <f>ROUND('2015-16_working'!C44,0)</f>
        <v>452</v>
      </c>
      <c r="D44" s="41">
        <f>ROUND('2015-16_working'!D44,0)</f>
        <v>244</v>
      </c>
      <c r="E44" s="41">
        <f>ROUND('2015-16_working'!E44,0)</f>
        <v>208</v>
      </c>
      <c r="F44" s="41">
        <f>ROUND('2015-16_working'!F44,0)</f>
        <v>175</v>
      </c>
      <c r="G44" s="41">
        <f>ROUND('2015-16_working'!G44,0)</f>
        <v>21</v>
      </c>
      <c r="H44" s="41">
        <f>ROUND('2015-16_working'!H44,0)</f>
        <v>8</v>
      </c>
      <c r="I44" s="41">
        <f>ROUND('2015-16_working'!I44,0)</f>
        <v>0</v>
      </c>
      <c r="J44" s="41">
        <f>ROUND('2015-16_working'!J44,0)</f>
        <v>0</v>
      </c>
      <c r="K44" s="41">
        <f>ROUND('2015-16_working'!K44,0)</f>
        <v>19</v>
      </c>
      <c r="L44" s="41">
        <f>ROUND('2015-16_working'!L44,0)</f>
        <v>13530</v>
      </c>
      <c r="N44" s="41"/>
      <c r="O44" s="41"/>
      <c r="P44" s="41"/>
      <c r="Q44" s="41"/>
      <c r="R44" s="41"/>
      <c r="S44" s="41"/>
      <c r="T44" s="41"/>
      <c r="U44" s="41"/>
      <c r="V44" s="41"/>
      <c r="W44" s="41"/>
    </row>
    <row r="45" spans="1:23" s="60" customFormat="1" ht="12.5" x14ac:dyDescent="0.35">
      <c r="A45" s="28">
        <v>96</v>
      </c>
      <c r="B45" s="60" t="s">
        <v>48</v>
      </c>
      <c r="C45" s="41">
        <f>ROUND('2015-16_working'!C45,0)</f>
        <v>739</v>
      </c>
      <c r="D45" s="41">
        <f>ROUND('2015-16_working'!D45,0)</f>
        <v>675</v>
      </c>
      <c r="E45" s="41">
        <f>ROUND('2015-16_working'!E45,0)</f>
        <v>64</v>
      </c>
      <c r="F45" s="41">
        <f>ROUND('2015-16_working'!F45,0)</f>
        <v>79</v>
      </c>
      <c r="G45" s="41">
        <f>ROUND('2015-16_working'!G45,0)</f>
        <v>4</v>
      </c>
      <c r="H45" s="41">
        <f>ROUND('2015-16_working'!H45,0)</f>
        <v>1</v>
      </c>
      <c r="I45" s="41">
        <f>ROUND('2015-16_working'!I45,0)</f>
        <v>0</v>
      </c>
      <c r="J45" s="41">
        <f>ROUND('2015-16_working'!J45,0)</f>
        <v>0</v>
      </c>
      <c r="K45" s="41">
        <f>ROUND('2015-16_working'!K45,0)</f>
        <v>59</v>
      </c>
      <c r="L45" s="41">
        <f>ROUND('2015-16_working'!L45,0)</f>
        <v>19899</v>
      </c>
      <c r="N45" s="41"/>
      <c r="O45" s="41"/>
      <c r="P45" s="41"/>
      <c r="Q45" s="41"/>
      <c r="R45" s="41"/>
      <c r="S45" s="41"/>
      <c r="T45" s="41"/>
      <c r="U45" s="41"/>
      <c r="V45" s="41"/>
      <c r="W45" s="41"/>
    </row>
    <row r="46" spans="1:23" s="60" customFormat="1" ht="12.5" x14ac:dyDescent="0.35">
      <c r="A46" s="28">
        <v>98</v>
      </c>
      <c r="B46" s="60" t="s">
        <v>50</v>
      </c>
      <c r="C46" s="41">
        <f>ROUND('2015-16_working'!C46,0)</f>
        <v>172</v>
      </c>
      <c r="D46" s="41">
        <f>ROUND('2015-16_working'!D46,0)</f>
        <v>94</v>
      </c>
      <c r="E46" s="41">
        <f>ROUND('2015-16_working'!E46,0)</f>
        <v>78</v>
      </c>
      <c r="F46" s="41">
        <f>ROUND('2015-16_working'!F46,0)</f>
        <v>80</v>
      </c>
      <c r="G46" s="41">
        <f>ROUND('2015-16_working'!G46,0)</f>
        <v>1</v>
      </c>
      <c r="H46" s="41">
        <f>ROUND('2015-16_working'!H46,0)</f>
        <v>3</v>
      </c>
      <c r="I46" s="41">
        <f>ROUND('2015-16_working'!I46,0)</f>
        <v>0</v>
      </c>
      <c r="J46" s="41">
        <f>ROUND('2015-16_working'!J46,0)</f>
        <v>1</v>
      </c>
      <c r="K46" s="41">
        <f>ROUND('2015-16_working'!K46,0)</f>
        <v>1</v>
      </c>
      <c r="L46" s="41">
        <f>ROUND('2015-16_working'!L46,0)</f>
        <v>28052</v>
      </c>
      <c r="N46" s="41"/>
      <c r="O46" s="41"/>
      <c r="P46" s="41"/>
      <c r="Q46" s="41"/>
      <c r="R46" s="41"/>
      <c r="S46" s="41"/>
      <c r="T46" s="41"/>
      <c r="U46" s="41"/>
      <c r="V46" s="41"/>
      <c r="W46" s="41"/>
    </row>
    <row r="47" spans="1:23" s="60" customFormat="1" ht="12.5" x14ac:dyDescent="0.35">
      <c r="A47" s="28">
        <v>72</v>
      </c>
      <c r="B47" s="60" t="s">
        <v>28</v>
      </c>
      <c r="C47" s="41">
        <f>ROUND('2015-16_working'!C47,0)</f>
        <v>25</v>
      </c>
      <c r="D47" s="41">
        <f>ROUND('2015-16_working'!D47,0)</f>
        <v>25</v>
      </c>
      <c r="E47" s="41">
        <f>ROUND('2015-16_working'!E47,0)</f>
        <v>0</v>
      </c>
      <c r="F47" s="41">
        <f>ROUND('2015-16_working'!F47,0)</f>
        <v>0</v>
      </c>
      <c r="G47" s="41">
        <f>ROUND('2015-16_working'!G47,0)</f>
        <v>0</v>
      </c>
      <c r="H47" s="41">
        <f>ROUND('2015-16_working'!H47,0)</f>
        <v>0</v>
      </c>
      <c r="I47" s="41">
        <f>ROUND('2015-16_working'!I47,0)</f>
        <v>0</v>
      </c>
      <c r="J47" s="41">
        <f>ROUND('2015-16_working'!J47,0)</f>
        <v>0</v>
      </c>
      <c r="K47" s="41">
        <f>ROUND('2015-16_working'!K47,0)</f>
        <v>1</v>
      </c>
      <c r="L47" s="41">
        <f>ROUND('2015-16_working'!L47,0)</f>
        <v>333</v>
      </c>
      <c r="N47" s="41"/>
      <c r="O47" s="41"/>
      <c r="P47" s="41"/>
      <c r="Q47" s="41"/>
      <c r="R47" s="41"/>
      <c r="S47" s="41"/>
      <c r="T47" s="41"/>
      <c r="U47" s="41"/>
      <c r="V47" s="41"/>
      <c r="W47" s="41"/>
    </row>
    <row r="48" spans="1:23" s="37" customFormat="1" ht="26.25" customHeight="1" x14ac:dyDescent="0.35">
      <c r="B48" s="37" t="s">
        <v>56</v>
      </c>
      <c r="C48" s="42">
        <f>SUM(C49:C55)</f>
        <v>31943</v>
      </c>
      <c r="D48" s="42">
        <f t="shared" ref="D48:L48" si="2">SUM(D49:D55)</f>
        <v>22873</v>
      </c>
      <c r="E48" s="42">
        <f t="shared" si="2"/>
        <v>9070</v>
      </c>
      <c r="F48" s="42">
        <f t="shared" si="2"/>
        <v>6270</v>
      </c>
      <c r="G48" s="42">
        <f t="shared" si="2"/>
        <v>742</v>
      </c>
      <c r="H48" s="42">
        <f t="shared" si="2"/>
        <v>149</v>
      </c>
      <c r="I48" s="42">
        <f t="shared" si="2"/>
        <v>44</v>
      </c>
      <c r="J48" s="42">
        <f t="shared" si="2"/>
        <v>16</v>
      </c>
      <c r="K48" s="42">
        <f t="shared" si="2"/>
        <v>635</v>
      </c>
      <c r="L48" s="42">
        <f t="shared" si="2"/>
        <v>488654</v>
      </c>
      <c r="N48" s="41"/>
      <c r="O48" s="41"/>
      <c r="P48" s="41"/>
      <c r="Q48" s="41"/>
      <c r="R48" s="41"/>
      <c r="S48" s="41"/>
      <c r="T48" s="41"/>
      <c r="U48" s="41"/>
      <c r="V48" s="41"/>
      <c r="W48" s="41"/>
    </row>
    <row r="49" spans="1:23" s="60" customFormat="1" ht="12.5" x14ac:dyDescent="0.35">
      <c r="A49" s="28">
        <v>66</v>
      </c>
      <c r="B49" s="60" t="s">
        <v>22</v>
      </c>
      <c r="C49" s="41">
        <f>ROUND('2015-16_working'!C49,0)</f>
        <v>8336</v>
      </c>
      <c r="D49" s="41">
        <f>ROUND('2015-16_working'!D49,0)</f>
        <v>5537</v>
      </c>
      <c r="E49" s="41">
        <f>ROUND('2015-16_working'!E49,0)</f>
        <v>2799</v>
      </c>
      <c r="F49" s="41">
        <f>ROUND('2015-16_working'!F49,0)</f>
        <v>1222</v>
      </c>
      <c r="G49" s="41">
        <f>ROUND('2015-16_working'!G49,0)</f>
        <v>116</v>
      </c>
      <c r="H49" s="41">
        <f>ROUND('2015-16_working'!H49,0)</f>
        <v>42</v>
      </c>
      <c r="I49" s="41">
        <f>ROUND('2015-16_working'!I49,0)</f>
        <v>13</v>
      </c>
      <c r="J49" s="41">
        <f>ROUND('2015-16_working'!J49,0)</f>
        <v>0</v>
      </c>
      <c r="K49" s="41">
        <f>ROUND('2015-16_working'!K49,0)</f>
        <v>20</v>
      </c>
      <c r="L49" s="41">
        <f>ROUND('2015-16_working'!L49,0)</f>
        <v>67103</v>
      </c>
      <c r="N49" s="41"/>
      <c r="O49" s="41"/>
      <c r="P49" s="41"/>
      <c r="Q49" s="41"/>
      <c r="R49" s="41"/>
      <c r="S49" s="41"/>
      <c r="T49" s="41"/>
      <c r="U49" s="41"/>
      <c r="V49" s="41"/>
      <c r="W49" s="41"/>
    </row>
    <row r="50" spans="1:23" s="60" customFormat="1" ht="12.5" x14ac:dyDescent="0.35">
      <c r="A50" s="28">
        <v>78</v>
      </c>
      <c r="B50" s="60" t="s">
        <v>33</v>
      </c>
      <c r="C50" s="41">
        <f>ROUND('2015-16_working'!C50,0)</f>
        <v>1854</v>
      </c>
      <c r="D50" s="41">
        <f>ROUND('2015-16_working'!D50,0)</f>
        <v>1417</v>
      </c>
      <c r="E50" s="41">
        <f>ROUND('2015-16_working'!E50,0)</f>
        <v>437</v>
      </c>
      <c r="F50" s="41">
        <f>ROUND('2015-16_working'!F50,0)</f>
        <v>381</v>
      </c>
      <c r="G50" s="41">
        <f>ROUND('2015-16_working'!G50,0)</f>
        <v>25</v>
      </c>
      <c r="H50" s="41">
        <f>ROUND('2015-16_working'!H50,0)</f>
        <v>27</v>
      </c>
      <c r="I50" s="41">
        <f>ROUND('2015-16_working'!I50,0)</f>
        <v>1</v>
      </c>
      <c r="J50" s="41">
        <f>ROUND('2015-16_working'!J50,0)</f>
        <v>4</v>
      </c>
      <c r="K50" s="41">
        <f>ROUND('2015-16_working'!K50,0)</f>
        <v>36</v>
      </c>
      <c r="L50" s="41">
        <f>ROUND('2015-16_working'!L50,0)</f>
        <v>27858</v>
      </c>
      <c r="N50" s="41"/>
      <c r="O50" s="41"/>
      <c r="P50" s="41"/>
      <c r="Q50" s="41"/>
      <c r="R50" s="41"/>
      <c r="S50" s="41"/>
      <c r="T50" s="41"/>
      <c r="U50" s="41"/>
      <c r="V50" s="41"/>
      <c r="W50" s="41"/>
    </row>
    <row r="51" spans="1:23" s="60" customFormat="1" ht="12.5" x14ac:dyDescent="0.35">
      <c r="A51" s="28">
        <v>89</v>
      </c>
      <c r="B51" s="60" t="s">
        <v>41</v>
      </c>
      <c r="C51" s="41">
        <f>ROUND('2015-16_working'!C51,0)</f>
        <v>2632</v>
      </c>
      <c r="D51" s="41">
        <f>ROUND('2015-16_working'!D51,0)</f>
        <v>1264</v>
      </c>
      <c r="E51" s="41">
        <f>ROUND('2015-16_working'!E51,0)</f>
        <v>1368</v>
      </c>
      <c r="F51" s="41">
        <f>ROUND('2015-16_working'!F51,0)</f>
        <v>1229</v>
      </c>
      <c r="G51" s="41">
        <f>ROUND('2015-16_working'!G51,0)</f>
        <v>36</v>
      </c>
      <c r="H51" s="41">
        <f>ROUND('2015-16_working'!H51,0)</f>
        <v>9</v>
      </c>
      <c r="I51" s="41">
        <f>ROUND('2015-16_working'!I51,0)</f>
        <v>0</v>
      </c>
      <c r="J51" s="41">
        <f>ROUND('2015-16_working'!J51,0)</f>
        <v>0</v>
      </c>
      <c r="K51" s="41">
        <f>ROUND('2015-16_working'!K51,0)</f>
        <v>106</v>
      </c>
      <c r="L51" s="41">
        <f>ROUND('2015-16_working'!L51,0)</f>
        <v>38277</v>
      </c>
      <c r="N51" s="41"/>
      <c r="O51" s="41"/>
      <c r="P51" s="41"/>
      <c r="Q51" s="41"/>
      <c r="R51" s="41"/>
      <c r="S51" s="41"/>
      <c r="T51" s="41"/>
      <c r="U51" s="41"/>
      <c r="V51" s="41"/>
      <c r="W51" s="41"/>
    </row>
    <row r="52" spans="1:23" s="60" customFormat="1" ht="12.5" x14ac:dyDescent="0.35">
      <c r="A52" s="28">
        <v>93</v>
      </c>
      <c r="B52" s="60" t="s">
        <v>57</v>
      </c>
      <c r="C52" s="41">
        <f>ROUND('2015-16_working'!C52,0)</f>
        <v>2354</v>
      </c>
      <c r="D52" s="41">
        <f>ROUND('2015-16_working'!D52,0)</f>
        <v>1614</v>
      </c>
      <c r="E52" s="41">
        <f>ROUND('2015-16_working'!E52,0)</f>
        <v>740</v>
      </c>
      <c r="F52" s="41">
        <f>ROUND('2015-16_working'!F52,0)</f>
        <v>716</v>
      </c>
      <c r="G52" s="41">
        <f>ROUND('2015-16_working'!G52,0)</f>
        <v>12</v>
      </c>
      <c r="H52" s="41">
        <f>ROUND('2015-16_working'!H52,0)</f>
        <v>8</v>
      </c>
      <c r="I52" s="41">
        <f>ROUND('2015-16_working'!I52,0)</f>
        <v>1</v>
      </c>
      <c r="J52" s="41">
        <f>ROUND('2015-16_working'!J52,0)</f>
        <v>7</v>
      </c>
      <c r="K52" s="41">
        <f>ROUND('2015-16_working'!K52,0)</f>
        <v>21</v>
      </c>
      <c r="L52" s="41">
        <f>ROUND('2015-16_working'!L52,0)</f>
        <v>31719</v>
      </c>
      <c r="N52" s="41"/>
      <c r="O52" s="41"/>
      <c r="P52" s="41"/>
      <c r="Q52" s="41"/>
      <c r="R52" s="41"/>
      <c r="S52" s="41"/>
      <c r="T52" s="41"/>
      <c r="U52" s="41"/>
      <c r="V52" s="41"/>
      <c r="W52" s="41"/>
    </row>
    <row r="53" spans="1:23" s="60" customFormat="1" ht="12.5" x14ac:dyDescent="0.35">
      <c r="A53" s="28">
        <v>95</v>
      </c>
      <c r="B53" s="60" t="s">
        <v>47</v>
      </c>
      <c r="C53" s="41">
        <f>ROUND('2015-16_working'!C53,0)</f>
        <v>1526</v>
      </c>
      <c r="D53" s="41">
        <f>ROUND('2015-16_working'!D53,0)</f>
        <v>732</v>
      </c>
      <c r="E53" s="41">
        <f>ROUND('2015-16_working'!E53,0)</f>
        <v>794</v>
      </c>
      <c r="F53" s="41">
        <f>ROUND('2015-16_working'!F53,0)</f>
        <v>426</v>
      </c>
      <c r="G53" s="41">
        <f>ROUND('2015-16_working'!G53,0)</f>
        <v>24</v>
      </c>
      <c r="H53" s="41">
        <f>ROUND('2015-16_working'!H53,0)</f>
        <v>26</v>
      </c>
      <c r="I53" s="41">
        <f>ROUND('2015-16_working'!I53,0)</f>
        <v>20</v>
      </c>
      <c r="J53" s="41">
        <f>ROUND('2015-16_working'!J53,0)</f>
        <v>5</v>
      </c>
      <c r="K53" s="41">
        <f>ROUND('2015-16_working'!K53,0)</f>
        <v>167</v>
      </c>
      <c r="L53" s="41">
        <f>ROUND('2015-16_working'!L53,0)</f>
        <v>89103</v>
      </c>
      <c r="N53" s="41"/>
      <c r="O53" s="41"/>
      <c r="P53" s="41"/>
      <c r="Q53" s="41"/>
      <c r="R53" s="41"/>
      <c r="S53" s="41"/>
      <c r="T53" s="41"/>
      <c r="U53" s="41"/>
      <c r="V53" s="41"/>
      <c r="W53" s="41"/>
    </row>
    <row r="54" spans="1:23" s="60" customFormat="1" ht="12.5" x14ac:dyDescent="0.35">
      <c r="A54" s="28">
        <v>97</v>
      </c>
      <c r="B54" s="60" t="s">
        <v>49</v>
      </c>
      <c r="C54" s="41">
        <f>ROUND('2015-16_working'!C54,0)</f>
        <v>1532</v>
      </c>
      <c r="D54" s="41">
        <f>ROUND('2015-16_working'!D54,0)</f>
        <v>1024</v>
      </c>
      <c r="E54" s="41">
        <f>ROUND('2015-16_working'!E54,0)</f>
        <v>508</v>
      </c>
      <c r="F54" s="41">
        <f>ROUND('2015-16_working'!F54,0)</f>
        <v>348</v>
      </c>
      <c r="G54" s="41">
        <f>ROUND('2015-16_working'!G54,0)</f>
        <v>114</v>
      </c>
      <c r="H54" s="41">
        <f>ROUND('2015-16_working'!H54,0)</f>
        <v>7</v>
      </c>
      <c r="I54" s="41">
        <f>ROUND('2015-16_working'!I54,0)</f>
        <v>6</v>
      </c>
      <c r="J54" s="41">
        <f>ROUND('2015-16_working'!J54,0)</f>
        <v>0</v>
      </c>
      <c r="K54" s="41">
        <f>ROUND('2015-16_working'!K54,0)</f>
        <v>285</v>
      </c>
      <c r="L54" s="41">
        <f>ROUND('2015-16_working'!L54,0)</f>
        <v>78482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</row>
    <row r="55" spans="1:23" s="60" customFormat="1" ht="12.5" x14ac:dyDescent="0.35">
      <c r="A55" s="28">
        <v>77</v>
      </c>
      <c r="B55" s="61" t="s">
        <v>21</v>
      </c>
      <c r="C55" s="41">
        <f>ROUND('2015-16_working'!C55,0)</f>
        <v>13709</v>
      </c>
      <c r="D55" s="41">
        <f>ROUND('2015-16_working'!D55,0)</f>
        <v>11285</v>
      </c>
      <c r="E55" s="41">
        <f>ROUND('2015-16_working'!E55,0)</f>
        <v>2424</v>
      </c>
      <c r="F55" s="41">
        <f>ROUND('2015-16_working'!F55,0)</f>
        <v>1948</v>
      </c>
      <c r="G55" s="41">
        <f>ROUND('2015-16_working'!G55,0)</f>
        <v>415</v>
      </c>
      <c r="H55" s="41">
        <f>ROUND('2015-16_working'!H55,0)</f>
        <v>30</v>
      </c>
      <c r="I55" s="41">
        <f>ROUND('2015-16_working'!I55,0)</f>
        <v>3</v>
      </c>
      <c r="J55" s="41">
        <f>ROUND('2015-16_working'!J55,0)</f>
        <v>0</v>
      </c>
      <c r="K55" s="41">
        <f>ROUND('2015-16_working'!K55,0)</f>
        <v>0</v>
      </c>
      <c r="L55" s="41">
        <f>ROUND('2015-16_working'!L55,0)</f>
        <v>156112</v>
      </c>
      <c r="N55" s="41"/>
      <c r="O55" s="41"/>
      <c r="P55" s="41"/>
      <c r="Q55" s="41"/>
      <c r="R55" s="41"/>
      <c r="S55" s="41"/>
      <c r="T55" s="41"/>
      <c r="U55" s="41"/>
      <c r="V55" s="41"/>
      <c r="W55" s="41"/>
    </row>
    <row r="56" spans="1:23" s="60" customFormat="1" ht="6" customHeight="1" x14ac:dyDescent="0.35">
      <c r="B56" s="50"/>
      <c r="C56" s="50"/>
      <c r="I56" s="51"/>
    </row>
    <row r="57" spans="1:23" s="60" customFormat="1" ht="14.25" customHeight="1" x14ac:dyDescent="0.35">
      <c r="B57" s="52" t="s">
        <v>89</v>
      </c>
      <c r="C57" s="50"/>
      <c r="I57" s="51"/>
    </row>
    <row r="58" spans="1:23" s="60" customFormat="1" ht="14.25" customHeight="1" x14ac:dyDescent="0.35">
      <c r="B58" s="52" t="s">
        <v>90</v>
      </c>
      <c r="C58" s="50"/>
      <c r="I58" s="51"/>
    </row>
    <row r="59" spans="1:23" s="60" customFormat="1" ht="14.25" customHeight="1" x14ac:dyDescent="0.35">
      <c r="B59" s="50"/>
      <c r="C59" s="50"/>
      <c r="I59" s="51"/>
    </row>
    <row r="60" spans="1:23" s="60" customFormat="1" x14ac:dyDescent="0.35">
      <c r="B60" s="53" t="s">
        <v>91</v>
      </c>
      <c r="C60" s="53"/>
      <c r="I60" s="54"/>
    </row>
    <row r="61" spans="1:23" s="60" customFormat="1" ht="9.75" customHeight="1" x14ac:dyDescent="0.35">
      <c r="I61" s="51"/>
    </row>
  </sheetData>
  <mergeCells count="11">
    <mergeCell ref="M3:M4"/>
    <mergeCell ref="B2:L2"/>
    <mergeCell ref="B3:B4"/>
    <mergeCell ref="C3:E3"/>
    <mergeCell ref="F3:F4"/>
    <mergeCell ref="G3:G4"/>
    <mergeCell ref="H3:H4"/>
    <mergeCell ref="I3:I4"/>
    <mergeCell ref="J3:J4"/>
    <mergeCell ref="K3:K4"/>
    <mergeCell ref="L3:L4"/>
  </mergeCells>
  <pageMargins left="0.48" right="0.31" top="0.24" bottom="0.16" header="0.5" footer="0.16"/>
  <pageSetup paperSize="9" scale="6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FF0000"/>
    <pageSetUpPr fitToPage="1"/>
  </sheetPr>
  <dimension ref="A2:Z61"/>
  <sheetViews>
    <sheetView showGridLines="0" zoomScaleNormal="100" workbookViewId="0">
      <pane xSplit="2" ySplit="4" topLeftCell="C26" activePane="bottomRight" state="frozen"/>
      <selection activeCell="B1" sqref="B1"/>
      <selection pane="topRight" activeCell="C1" sqref="C1"/>
      <selection pane="bottomLeft" activeCell="B4" sqref="B4"/>
      <selection pane="bottomRight" activeCell="B52" sqref="B52"/>
    </sheetView>
  </sheetViews>
  <sheetFormatPr defaultRowHeight="13" x14ac:dyDescent="0.3"/>
  <cols>
    <col min="1" max="1" width="3" style="31" hidden="1" customWidth="1"/>
    <col min="2" max="2" width="25.54296875" style="31" customWidth="1"/>
    <col min="3" max="3" width="17" style="31" customWidth="1"/>
    <col min="4" max="4" width="11.453125" style="31" customWidth="1"/>
    <col min="5" max="5" width="14.453125" style="55" customWidth="1"/>
    <col min="6" max="6" width="12.54296875" style="55" customWidth="1"/>
    <col min="7" max="9" width="13.6328125" style="55" customWidth="1"/>
    <col min="10" max="11" width="13.6328125" style="31" customWidth="1"/>
    <col min="12" max="12" width="13.453125" style="31" customWidth="1"/>
    <col min="13" max="256" width="9.08984375" style="31"/>
    <col min="257" max="257" width="0" style="31" hidden="1" customWidth="1"/>
    <col min="258" max="258" width="25.54296875" style="31" customWidth="1"/>
    <col min="259" max="259" width="17" style="31" customWidth="1"/>
    <col min="260" max="260" width="11.453125" style="31" customWidth="1"/>
    <col min="261" max="261" width="14.453125" style="31" customWidth="1"/>
    <col min="262" max="262" width="12.54296875" style="31" customWidth="1"/>
    <col min="263" max="267" width="13.6328125" style="31" customWidth="1"/>
    <col min="268" max="268" width="13.453125" style="31" customWidth="1"/>
    <col min="269" max="512" width="9.08984375" style="31"/>
    <col min="513" max="513" width="0" style="31" hidden="1" customWidth="1"/>
    <col min="514" max="514" width="25.54296875" style="31" customWidth="1"/>
    <col min="515" max="515" width="17" style="31" customWidth="1"/>
    <col min="516" max="516" width="11.453125" style="31" customWidth="1"/>
    <col min="517" max="517" width="14.453125" style="31" customWidth="1"/>
    <col min="518" max="518" width="12.54296875" style="31" customWidth="1"/>
    <col min="519" max="523" width="13.6328125" style="31" customWidth="1"/>
    <col min="524" max="524" width="13.453125" style="31" customWidth="1"/>
    <col min="525" max="768" width="9.08984375" style="31"/>
    <col min="769" max="769" width="0" style="31" hidden="1" customWidth="1"/>
    <col min="770" max="770" width="25.54296875" style="31" customWidth="1"/>
    <col min="771" max="771" width="17" style="31" customWidth="1"/>
    <col min="772" max="772" width="11.453125" style="31" customWidth="1"/>
    <col min="773" max="773" width="14.453125" style="31" customWidth="1"/>
    <col min="774" max="774" width="12.54296875" style="31" customWidth="1"/>
    <col min="775" max="779" width="13.6328125" style="31" customWidth="1"/>
    <col min="780" max="780" width="13.453125" style="31" customWidth="1"/>
    <col min="781" max="1024" width="9.08984375" style="31"/>
    <col min="1025" max="1025" width="0" style="31" hidden="1" customWidth="1"/>
    <col min="1026" max="1026" width="25.54296875" style="31" customWidth="1"/>
    <col min="1027" max="1027" width="17" style="31" customWidth="1"/>
    <col min="1028" max="1028" width="11.453125" style="31" customWidth="1"/>
    <col min="1029" max="1029" width="14.453125" style="31" customWidth="1"/>
    <col min="1030" max="1030" width="12.54296875" style="31" customWidth="1"/>
    <col min="1031" max="1035" width="13.6328125" style="31" customWidth="1"/>
    <col min="1036" max="1036" width="13.453125" style="31" customWidth="1"/>
    <col min="1037" max="1280" width="9.08984375" style="31"/>
    <col min="1281" max="1281" width="0" style="31" hidden="1" customWidth="1"/>
    <col min="1282" max="1282" width="25.54296875" style="31" customWidth="1"/>
    <col min="1283" max="1283" width="17" style="31" customWidth="1"/>
    <col min="1284" max="1284" width="11.453125" style="31" customWidth="1"/>
    <col min="1285" max="1285" width="14.453125" style="31" customWidth="1"/>
    <col min="1286" max="1286" width="12.54296875" style="31" customWidth="1"/>
    <col min="1287" max="1291" width="13.6328125" style="31" customWidth="1"/>
    <col min="1292" max="1292" width="13.453125" style="31" customWidth="1"/>
    <col min="1293" max="1536" width="9.08984375" style="31"/>
    <col min="1537" max="1537" width="0" style="31" hidden="1" customWidth="1"/>
    <col min="1538" max="1538" width="25.54296875" style="31" customWidth="1"/>
    <col min="1539" max="1539" width="17" style="31" customWidth="1"/>
    <col min="1540" max="1540" width="11.453125" style="31" customWidth="1"/>
    <col min="1541" max="1541" width="14.453125" style="31" customWidth="1"/>
    <col min="1542" max="1542" width="12.54296875" style="31" customWidth="1"/>
    <col min="1543" max="1547" width="13.6328125" style="31" customWidth="1"/>
    <col min="1548" max="1548" width="13.453125" style="31" customWidth="1"/>
    <col min="1549" max="1792" width="9.08984375" style="31"/>
    <col min="1793" max="1793" width="0" style="31" hidden="1" customWidth="1"/>
    <col min="1794" max="1794" width="25.54296875" style="31" customWidth="1"/>
    <col min="1795" max="1795" width="17" style="31" customWidth="1"/>
    <col min="1796" max="1796" width="11.453125" style="31" customWidth="1"/>
    <col min="1797" max="1797" width="14.453125" style="31" customWidth="1"/>
    <col min="1798" max="1798" width="12.54296875" style="31" customWidth="1"/>
    <col min="1799" max="1803" width="13.6328125" style="31" customWidth="1"/>
    <col min="1804" max="1804" width="13.453125" style="31" customWidth="1"/>
    <col min="1805" max="2048" width="9.08984375" style="31"/>
    <col min="2049" max="2049" width="0" style="31" hidden="1" customWidth="1"/>
    <col min="2050" max="2050" width="25.54296875" style="31" customWidth="1"/>
    <col min="2051" max="2051" width="17" style="31" customWidth="1"/>
    <col min="2052" max="2052" width="11.453125" style="31" customWidth="1"/>
    <col min="2053" max="2053" width="14.453125" style="31" customWidth="1"/>
    <col min="2054" max="2054" width="12.54296875" style="31" customWidth="1"/>
    <col min="2055" max="2059" width="13.6328125" style="31" customWidth="1"/>
    <col min="2060" max="2060" width="13.453125" style="31" customWidth="1"/>
    <col min="2061" max="2304" width="9.08984375" style="31"/>
    <col min="2305" max="2305" width="0" style="31" hidden="1" customWidth="1"/>
    <col min="2306" max="2306" width="25.54296875" style="31" customWidth="1"/>
    <col min="2307" max="2307" width="17" style="31" customWidth="1"/>
    <col min="2308" max="2308" width="11.453125" style="31" customWidth="1"/>
    <col min="2309" max="2309" width="14.453125" style="31" customWidth="1"/>
    <col min="2310" max="2310" width="12.54296875" style="31" customWidth="1"/>
    <col min="2311" max="2315" width="13.6328125" style="31" customWidth="1"/>
    <col min="2316" max="2316" width="13.453125" style="31" customWidth="1"/>
    <col min="2317" max="2560" width="9.08984375" style="31"/>
    <col min="2561" max="2561" width="0" style="31" hidden="1" customWidth="1"/>
    <col min="2562" max="2562" width="25.54296875" style="31" customWidth="1"/>
    <col min="2563" max="2563" width="17" style="31" customWidth="1"/>
    <col min="2564" max="2564" width="11.453125" style="31" customWidth="1"/>
    <col min="2565" max="2565" width="14.453125" style="31" customWidth="1"/>
    <col min="2566" max="2566" width="12.54296875" style="31" customWidth="1"/>
    <col min="2567" max="2571" width="13.6328125" style="31" customWidth="1"/>
    <col min="2572" max="2572" width="13.453125" style="31" customWidth="1"/>
    <col min="2573" max="2816" width="9.08984375" style="31"/>
    <col min="2817" max="2817" width="0" style="31" hidden="1" customWidth="1"/>
    <col min="2818" max="2818" width="25.54296875" style="31" customWidth="1"/>
    <col min="2819" max="2819" width="17" style="31" customWidth="1"/>
    <col min="2820" max="2820" width="11.453125" style="31" customWidth="1"/>
    <col min="2821" max="2821" width="14.453125" style="31" customWidth="1"/>
    <col min="2822" max="2822" width="12.54296875" style="31" customWidth="1"/>
    <col min="2823" max="2827" width="13.6328125" style="31" customWidth="1"/>
    <col min="2828" max="2828" width="13.453125" style="31" customWidth="1"/>
    <col min="2829" max="3072" width="9.08984375" style="31"/>
    <col min="3073" max="3073" width="0" style="31" hidden="1" customWidth="1"/>
    <col min="3074" max="3074" width="25.54296875" style="31" customWidth="1"/>
    <col min="3075" max="3075" width="17" style="31" customWidth="1"/>
    <col min="3076" max="3076" width="11.453125" style="31" customWidth="1"/>
    <col min="3077" max="3077" width="14.453125" style="31" customWidth="1"/>
    <col min="3078" max="3078" width="12.54296875" style="31" customWidth="1"/>
    <col min="3079" max="3083" width="13.6328125" style="31" customWidth="1"/>
    <col min="3084" max="3084" width="13.453125" style="31" customWidth="1"/>
    <col min="3085" max="3328" width="9.08984375" style="31"/>
    <col min="3329" max="3329" width="0" style="31" hidden="1" customWidth="1"/>
    <col min="3330" max="3330" width="25.54296875" style="31" customWidth="1"/>
    <col min="3331" max="3331" width="17" style="31" customWidth="1"/>
    <col min="3332" max="3332" width="11.453125" style="31" customWidth="1"/>
    <col min="3333" max="3333" width="14.453125" style="31" customWidth="1"/>
    <col min="3334" max="3334" width="12.54296875" style="31" customWidth="1"/>
    <col min="3335" max="3339" width="13.6328125" style="31" customWidth="1"/>
    <col min="3340" max="3340" width="13.453125" style="31" customWidth="1"/>
    <col min="3341" max="3584" width="9.08984375" style="31"/>
    <col min="3585" max="3585" width="0" style="31" hidden="1" customWidth="1"/>
    <col min="3586" max="3586" width="25.54296875" style="31" customWidth="1"/>
    <col min="3587" max="3587" width="17" style="31" customWidth="1"/>
    <col min="3588" max="3588" width="11.453125" style="31" customWidth="1"/>
    <col min="3589" max="3589" width="14.453125" style="31" customWidth="1"/>
    <col min="3590" max="3590" width="12.54296875" style="31" customWidth="1"/>
    <col min="3591" max="3595" width="13.6328125" style="31" customWidth="1"/>
    <col min="3596" max="3596" width="13.453125" style="31" customWidth="1"/>
    <col min="3597" max="3840" width="9.08984375" style="31"/>
    <col min="3841" max="3841" width="0" style="31" hidden="1" customWidth="1"/>
    <col min="3842" max="3842" width="25.54296875" style="31" customWidth="1"/>
    <col min="3843" max="3843" width="17" style="31" customWidth="1"/>
    <col min="3844" max="3844" width="11.453125" style="31" customWidth="1"/>
    <col min="3845" max="3845" width="14.453125" style="31" customWidth="1"/>
    <col min="3846" max="3846" width="12.54296875" style="31" customWidth="1"/>
    <col min="3847" max="3851" width="13.6328125" style="31" customWidth="1"/>
    <col min="3852" max="3852" width="13.453125" style="31" customWidth="1"/>
    <col min="3853" max="4096" width="9.08984375" style="31"/>
    <col min="4097" max="4097" width="0" style="31" hidden="1" customWidth="1"/>
    <col min="4098" max="4098" width="25.54296875" style="31" customWidth="1"/>
    <col min="4099" max="4099" width="17" style="31" customWidth="1"/>
    <col min="4100" max="4100" width="11.453125" style="31" customWidth="1"/>
    <col min="4101" max="4101" width="14.453125" style="31" customWidth="1"/>
    <col min="4102" max="4102" width="12.54296875" style="31" customWidth="1"/>
    <col min="4103" max="4107" width="13.6328125" style="31" customWidth="1"/>
    <col min="4108" max="4108" width="13.453125" style="31" customWidth="1"/>
    <col min="4109" max="4352" width="9.08984375" style="31"/>
    <col min="4353" max="4353" width="0" style="31" hidden="1" customWidth="1"/>
    <col min="4354" max="4354" width="25.54296875" style="31" customWidth="1"/>
    <col min="4355" max="4355" width="17" style="31" customWidth="1"/>
    <col min="4356" max="4356" width="11.453125" style="31" customWidth="1"/>
    <col min="4357" max="4357" width="14.453125" style="31" customWidth="1"/>
    <col min="4358" max="4358" width="12.54296875" style="31" customWidth="1"/>
    <col min="4359" max="4363" width="13.6328125" style="31" customWidth="1"/>
    <col min="4364" max="4364" width="13.453125" style="31" customWidth="1"/>
    <col min="4365" max="4608" width="9.08984375" style="31"/>
    <col min="4609" max="4609" width="0" style="31" hidden="1" customWidth="1"/>
    <col min="4610" max="4610" width="25.54296875" style="31" customWidth="1"/>
    <col min="4611" max="4611" width="17" style="31" customWidth="1"/>
    <col min="4612" max="4612" width="11.453125" style="31" customWidth="1"/>
    <col min="4613" max="4613" width="14.453125" style="31" customWidth="1"/>
    <col min="4614" max="4614" width="12.54296875" style="31" customWidth="1"/>
    <col min="4615" max="4619" width="13.6328125" style="31" customWidth="1"/>
    <col min="4620" max="4620" width="13.453125" style="31" customWidth="1"/>
    <col min="4621" max="4864" width="9.08984375" style="31"/>
    <col min="4865" max="4865" width="0" style="31" hidden="1" customWidth="1"/>
    <col min="4866" max="4866" width="25.54296875" style="31" customWidth="1"/>
    <col min="4867" max="4867" width="17" style="31" customWidth="1"/>
    <col min="4868" max="4868" width="11.453125" style="31" customWidth="1"/>
    <col min="4869" max="4869" width="14.453125" style="31" customWidth="1"/>
    <col min="4870" max="4870" width="12.54296875" style="31" customWidth="1"/>
    <col min="4871" max="4875" width="13.6328125" style="31" customWidth="1"/>
    <col min="4876" max="4876" width="13.453125" style="31" customWidth="1"/>
    <col min="4877" max="5120" width="9.08984375" style="31"/>
    <col min="5121" max="5121" width="0" style="31" hidden="1" customWidth="1"/>
    <col min="5122" max="5122" width="25.54296875" style="31" customWidth="1"/>
    <col min="5123" max="5123" width="17" style="31" customWidth="1"/>
    <col min="5124" max="5124" width="11.453125" style="31" customWidth="1"/>
    <col min="5125" max="5125" width="14.453125" style="31" customWidth="1"/>
    <col min="5126" max="5126" width="12.54296875" style="31" customWidth="1"/>
    <col min="5127" max="5131" width="13.6328125" style="31" customWidth="1"/>
    <col min="5132" max="5132" width="13.453125" style="31" customWidth="1"/>
    <col min="5133" max="5376" width="9.08984375" style="31"/>
    <col min="5377" max="5377" width="0" style="31" hidden="1" customWidth="1"/>
    <col min="5378" max="5378" width="25.54296875" style="31" customWidth="1"/>
    <col min="5379" max="5379" width="17" style="31" customWidth="1"/>
    <col min="5380" max="5380" width="11.453125" style="31" customWidth="1"/>
    <col min="5381" max="5381" width="14.453125" style="31" customWidth="1"/>
    <col min="5382" max="5382" width="12.54296875" style="31" customWidth="1"/>
    <col min="5383" max="5387" width="13.6328125" style="31" customWidth="1"/>
    <col min="5388" max="5388" width="13.453125" style="31" customWidth="1"/>
    <col min="5389" max="5632" width="9.08984375" style="31"/>
    <col min="5633" max="5633" width="0" style="31" hidden="1" customWidth="1"/>
    <col min="5634" max="5634" width="25.54296875" style="31" customWidth="1"/>
    <col min="5635" max="5635" width="17" style="31" customWidth="1"/>
    <col min="5636" max="5636" width="11.453125" style="31" customWidth="1"/>
    <col min="5637" max="5637" width="14.453125" style="31" customWidth="1"/>
    <col min="5638" max="5638" width="12.54296875" style="31" customWidth="1"/>
    <col min="5639" max="5643" width="13.6328125" style="31" customWidth="1"/>
    <col min="5644" max="5644" width="13.453125" style="31" customWidth="1"/>
    <col min="5645" max="5888" width="9.08984375" style="31"/>
    <col min="5889" max="5889" width="0" style="31" hidden="1" customWidth="1"/>
    <col min="5890" max="5890" width="25.54296875" style="31" customWidth="1"/>
    <col min="5891" max="5891" width="17" style="31" customWidth="1"/>
    <col min="5892" max="5892" width="11.453125" style="31" customWidth="1"/>
    <col min="5893" max="5893" width="14.453125" style="31" customWidth="1"/>
    <col min="5894" max="5894" width="12.54296875" style="31" customWidth="1"/>
    <col min="5895" max="5899" width="13.6328125" style="31" customWidth="1"/>
    <col min="5900" max="5900" width="13.453125" style="31" customWidth="1"/>
    <col min="5901" max="6144" width="9.08984375" style="31"/>
    <col min="6145" max="6145" width="0" style="31" hidden="1" customWidth="1"/>
    <col min="6146" max="6146" width="25.54296875" style="31" customWidth="1"/>
    <col min="6147" max="6147" width="17" style="31" customWidth="1"/>
    <col min="6148" max="6148" width="11.453125" style="31" customWidth="1"/>
    <col min="6149" max="6149" width="14.453125" style="31" customWidth="1"/>
    <col min="6150" max="6150" width="12.54296875" style="31" customWidth="1"/>
    <col min="6151" max="6155" width="13.6328125" style="31" customWidth="1"/>
    <col min="6156" max="6156" width="13.453125" style="31" customWidth="1"/>
    <col min="6157" max="6400" width="9.08984375" style="31"/>
    <col min="6401" max="6401" width="0" style="31" hidden="1" customWidth="1"/>
    <col min="6402" max="6402" width="25.54296875" style="31" customWidth="1"/>
    <col min="6403" max="6403" width="17" style="31" customWidth="1"/>
    <col min="6404" max="6404" width="11.453125" style="31" customWidth="1"/>
    <col min="6405" max="6405" width="14.453125" style="31" customWidth="1"/>
    <col min="6406" max="6406" width="12.54296875" style="31" customWidth="1"/>
    <col min="6407" max="6411" width="13.6328125" style="31" customWidth="1"/>
    <col min="6412" max="6412" width="13.453125" style="31" customWidth="1"/>
    <col min="6413" max="6656" width="9.08984375" style="31"/>
    <col min="6657" max="6657" width="0" style="31" hidden="1" customWidth="1"/>
    <col min="6658" max="6658" width="25.54296875" style="31" customWidth="1"/>
    <col min="6659" max="6659" width="17" style="31" customWidth="1"/>
    <col min="6660" max="6660" width="11.453125" style="31" customWidth="1"/>
    <col min="6661" max="6661" width="14.453125" style="31" customWidth="1"/>
    <col min="6662" max="6662" width="12.54296875" style="31" customWidth="1"/>
    <col min="6663" max="6667" width="13.6328125" style="31" customWidth="1"/>
    <col min="6668" max="6668" width="13.453125" style="31" customWidth="1"/>
    <col min="6669" max="6912" width="9.08984375" style="31"/>
    <col min="6913" max="6913" width="0" style="31" hidden="1" customWidth="1"/>
    <col min="6914" max="6914" width="25.54296875" style="31" customWidth="1"/>
    <col min="6915" max="6915" width="17" style="31" customWidth="1"/>
    <col min="6916" max="6916" width="11.453125" style="31" customWidth="1"/>
    <col min="6917" max="6917" width="14.453125" style="31" customWidth="1"/>
    <col min="6918" max="6918" width="12.54296875" style="31" customWidth="1"/>
    <col min="6919" max="6923" width="13.6328125" style="31" customWidth="1"/>
    <col min="6924" max="6924" width="13.453125" style="31" customWidth="1"/>
    <col min="6925" max="7168" width="9.08984375" style="31"/>
    <col min="7169" max="7169" width="0" style="31" hidden="1" customWidth="1"/>
    <col min="7170" max="7170" width="25.54296875" style="31" customWidth="1"/>
    <col min="7171" max="7171" width="17" style="31" customWidth="1"/>
    <col min="7172" max="7172" width="11.453125" style="31" customWidth="1"/>
    <col min="7173" max="7173" width="14.453125" style="31" customWidth="1"/>
    <col min="7174" max="7174" width="12.54296875" style="31" customWidth="1"/>
    <col min="7175" max="7179" width="13.6328125" style="31" customWidth="1"/>
    <col min="7180" max="7180" width="13.453125" style="31" customWidth="1"/>
    <col min="7181" max="7424" width="9.08984375" style="31"/>
    <col min="7425" max="7425" width="0" style="31" hidden="1" customWidth="1"/>
    <col min="7426" max="7426" width="25.54296875" style="31" customWidth="1"/>
    <col min="7427" max="7427" width="17" style="31" customWidth="1"/>
    <col min="7428" max="7428" width="11.453125" style="31" customWidth="1"/>
    <col min="7429" max="7429" width="14.453125" style="31" customWidth="1"/>
    <col min="7430" max="7430" width="12.54296875" style="31" customWidth="1"/>
    <col min="7431" max="7435" width="13.6328125" style="31" customWidth="1"/>
    <col min="7436" max="7436" width="13.453125" style="31" customWidth="1"/>
    <col min="7437" max="7680" width="9.08984375" style="31"/>
    <col min="7681" max="7681" width="0" style="31" hidden="1" customWidth="1"/>
    <col min="7682" max="7682" width="25.54296875" style="31" customWidth="1"/>
    <col min="7683" max="7683" width="17" style="31" customWidth="1"/>
    <col min="7684" max="7684" width="11.453125" style="31" customWidth="1"/>
    <col min="7685" max="7685" width="14.453125" style="31" customWidth="1"/>
    <col min="7686" max="7686" width="12.54296875" style="31" customWidth="1"/>
    <col min="7687" max="7691" width="13.6328125" style="31" customWidth="1"/>
    <col min="7692" max="7692" width="13.453125" style="31" customWidth="1"/>
    <col min="7693" max="7936" width="9.08984375" style="31"/>
    <col min="7937" max="7937" width="0" style="31" hidden="1" customWidth="1"/>
    <col min="7938" max="7938" width="25.54296875" style="31" customWidth="1"/>
    <col min="7939" max="7939" width="17" style="31" customWidth="1"/>
    <col min="7940" max="7940" width="11.453125" style="31" customWidth="1"/>
    <col min="7941" max="7941" width="14.453125" style="31" customWidth="1"/>
    <col min="7942" max="7942" width="12.54296875" style="31" customWidth="1"/>
    <col min="7943" max="7947" width="13.6328125" style="31" customWidth="1"/>
    <col min="7948" max="7948" width="13.453125" style="31" customWidth="1"/>
    <col min="7949" max="8192" width="9.08984375" style="31"/>
    <col min="8193" max="8193" width="0" style="31" hidden="1" customWidth="1"/>
    <col min="8194" max="8194" width="25.54296875" style="31" customWidth="1"/>
    <col min="8195" max="8195" width="17" style="31" customWidth="1"/>
    <col min="8196" max="8196" width="11.453125" style="31" customWidth="1"/>
    <col min="8197" max="8197" width="14.453125" style="31" customWidth="1"/>
    <col min="8198" max="8198" width="12.54296875" style="31" customWidth="1"/>
    <col min="8199" max="8203" width="13.6328125" style="31" customWidth="1"/>
    <col min="8204" max="8204" width="13.453125" style="31" customWidth="1"/>
    <col min="8205" max="8448" width="9.08984375" style="31"/>
    <col min="8449" max="8449" width="0" style="31" hidden="1" customWidth="1"/>
    <col min="8450" max="8450" width="25.54296875" style="31" customWidth="1"/>
    <col min="8451" max="8451" width="17" style="31" customWidth="1"/>
    <col min="8452" max="8452" width="11.453125" style="31" customWidth="1"/>
    <col min="8453" max="8453" width="14.453125" style="31" customWidth="1"/>
    <col min="8454" max="8454" width="12.54296875" style="31" customWidth="1"/>
    <col min="8455" max="8459" width="13.6328125" style="31" customWidth="1"/>
    <col min="8460" max="8460" width="13.453125" style="31" customWidth="1"/>
    <col min="8461" max="8704" width="9.08984375" style="31"/>
    <col min="8705" max="8705" width="0" style="31" hidden="1" customWidth="1"/>
    <col min="8706" max="8706" width="25.54296875" style="31" customWidth="1"/>
    <col min="8707" max="8707" width="17" style="31" customWidth="1"/>
    <col min="8708" max="8708" width="11.453125" style="31" customWidth="1"/>
    <col min="8709" max="8709" width="14.453125" style="31" customWidth="1"/>
    <col min="8710" max="8710" width="12.54296875" style="31" customWidth="1"/>
    <col min="8711" max="8715" width="13.6328125" style="31" customWidth="1"/>
    <col min="8716" max="8716" width="13.453125" style="31" customWidth="1"/>
    <col min="8717" max="8960" width="9.08984375" style="31"/>
    <col min="8961" max="8961" width="0" style="31" hidden="1" customWidth="1"/>
    <col min="8962" max="8962" width="25.54296875" style="31" customWidth="1"/>
    <col min="8963" max="8963" width="17" style="31" customWidth="1"/>
    <col min="8964" max="8964" width="11.453125" style="31" customWidth="1"/>
    <col min="8965" max="8965" width="14.453125" style="31" customWidth="1"/>
    <col min="8966" max="8966" width="12.54296875" style="31" customWidth="1"/>
    <col min="8967" max="8971" width="13.6328125" style="31" customWidth="1"/>
    <col min="8972" max="8972" width="13.453125" style="31" customWidth="1"/>
    <col min="8973" max="9216" width="9.08984375" style="31"/>
    <col min="9217" max="9217" width="0" style="31" hidden="1" customWidth="1"/>
    <col min="9218" max="9218" width="25.54296875" style="31" customWidth="1"/>
    <col min="9219" max="9219" width="17" style="31" customWidth="1"/>
    <col min="9220" max="9220" width="11.453125" style="31" customWidth="1"/>
    <col min="9221" max="9221" width="14.453125" style="31" customWidth="1"/>
    <col min="9222" max="9222" width="12.54296875" style="31" customWidth="1"/>
    <col min="9223" max="9227" width="13.6328125" style="31" customWidth="1"/>
    <col min="9228" max="9228" width="13.453125" style="31" customWidth="1"/>
    <col min="9229" max="9472" width="9.08984375" style="31"/>
    <col min="9473" max="9473" width="0" style="31" hidden="1" customWidth="1"/>
    <col min="9474" max="9474" width="25.54296875" style="31" customWidth="1"/>
    <col min="9475" max="9475" width="17" style="31" customWidth="1"/>
    <col min="9476" max="9476" width="11.453125" style="31" customWidth="1"/>
    <col min="9477" max="9477" width="14.453125" style="31" customWidth="1"/>
    <col min="9478" max="9478" width="12.54296875" style="31" customWidth="1"/>
    <col min="9479" max="9483" width="13.6328125" style="31" customWidth="1"/>
    <col min="9484" max="9484" width="13.453125" style="31" customWidth="1"/>
    <col min="9485" max="9728" width="9.08984375" style="31"/>
    <col min="9729" max="9729" width="0" style="31" hidden="1" customWidth="1"/>
    <col min="9730" max="9730" width="25.54296875" style="31" customWidth="1"/>
    <col min="9731" max="9731" width="17" style="31" customWidth="1"/>
    <col min="9732" max="9732" width="11.453125" style="31" customWidth="1"/>
    <col min="9733" max="9733" width="14.453125" style="31" customWidth="1"/>
    <col min="9734" max="9734" width="12.54296875" style="31" customWidth="1"/>
    <col min="9735" max="9739" width="13.6328125" style="31" customWidth="1"/>
    <col min="9740" max="9740" width="13.453125" style="31" customWidth="1"/>
    <col min="9741" max="9984" width="9.08984375" style="31"/>
    <col min="9985" max="9985" width="0" style="31" hidden="1" customWidth="1"/>
    <col min="9986" max="9986" width="25.54296875" style="31" customWidth="1"/>
    <col min="9987" max="9987" width="17" style="31" customWidth="1"/>
    <col min="9988" max="9988" width="11.453125" style="31" customWidth="1"/>
    <col min="9989" max="9989" width="14.453125" style="31" customWidth="1"/>
    <col min="9990" max="9990" width="12.54296875" style="31" customWidth="1"/>
    <col min="9991" max="9995" width="13.6328125" style="31" customWidth="1"/>
    <col min="9996" max="9996" width="13.453125" style="31" customWidth="1"/>
    <col min="9997" max="10240" width="9.08984375" style="31"/>
    <col min="10241" max="10241" width="0" style="31" hidden="1" customWidth="1"/>
    <col min="10242" max="10242" width="25.54296875" style="31" customWidth="1"/>
    <col min="10243" max="10243" width="17" style="31" customWidth="1"/>
    <col min="10244" max="10244" width="11.453125" style="31" customWidth="1"/>
    <col min="10245" max="10245" width="14.453125" style="31" customWidth="1"/>
    <col min="10246" max="10246" width="12.54296875" style="31" customWidth="1"/>
    <col min="10247" max="10251" width="13.6328125" style="31" customWidth="1"/>
    <col min="10252" max="10252" width="13.453125" style="31" customWidth="1"/>
    <col min="10253" max="10496" width="9.08984375" style="31"/>
    <col min="10497" max="10497" width="0" style="31" hidden="1" customWidth="1"/>
    <col min="10498" max="10498" width="25.54296875" style="31" customWidth="1"/>
    <col min="10499" max="10499" width="17" style="31" customWidth="1"/>
    <col min="10500" max="10500" width="11.453125" style="31" customWidth="1"/>
    <col min="10501" max="10501" width="14.453125" style="31" customWidth="1"/>
    <col min="10502" max="10502" width="12.54296875" style="31" customWidth="1"/>
    <col min="10503" max="10507" width="13.6328125" style="31" customWidth="1"/>
    <col min="10508" max="10508" width="13.453125" style="31" customWidth="1"/>
    <col min="10509" max="10752" width="9.08984375" style="31"/>
    <col min="10753" max="10753" width="0" style="31" hidden="1" customWidth="1"/>
    <col min="10754" max="10754" width="25.54296875" style="31" customWidth="1"/>
    <col min="10755" max="10755" width="17" style="31" customWidth="1"/>
    <col min="10756" max="10756" width="11.453125" style="31" customWidth="1"/>
    <col min="10757" max="10757" width="14.453125" style="31" customWidth="1"/>
    <col min="10758" max="10758" width="12.54296875" style="31" customWidth="1"/>
    <col min="10759" max="10763" width="13.6328125" style="31" customWidth="1"/>
    <col min="10764" max="10764" width="13.453125" style="31" customWidth="1"/>
    <col min="10765" max="11008" width="9.08984375" style="31"/>
    <col min="11009" max="11009" width="0" style="31" hidden="1" customWidth="1"/>
    <col min="11010" max="11010" width="25.54296875" style="31" customWidth="1"/>
    <col min="11011" max="11011" width="17" style="31" customWidth="1"/>
    <col min="11012" max="11012" width="11.453125" style="31" customWidth="1"/>
    <col min="11013" max="11013" width="14.453125" style="31" customWidth="1"/>
    <col min="11014" max="11014" width="12.54296875" style="31" customWidth="1"/>
    <col min="11015" max="11019" width="13.6328125" style="31" customWidth="1"/>
    <col min="11020" max="11020" width="13.453125" style="31" customWidth="1"/>
    <col min="11021" max="11264" width="9.08984375" style="31"/>
    <col min="11265" max="11265" width="0" style="31" hidden="1" customWidth="1"/>
    <col min="11266" max="11266" width="25.54296875" style="31" customWidth="1"/>
    <col min="11267" max="11267" width="17" style="31" customWidth="1"/>
    <col min="11268" max="11268" width="11.453125" style="31" customWidth="1"/>
    <col min="11269" max="11269" width="14.453125" style="31" customWidth="1"/>
    <col min="11270" max="11270" width="12.54296875" style="31" customWidth="1"/>
    <col min="11271" max="11275" width="13.6328125" style="31" customWidth="1"/>
    <col min="11276" max="11276" width="13.453125" style="31" customWidth="1"/>
    <col min="11277" max="11520" width="9.08984375" style="31"/>
    <col min="11521" max="11521" width="0" style="31" hidden="1" customWidth="1"/>
    <col min="11522" max="11522" width="25.54296875" style="31" customWidth="1"/>
    <col min="11523" max="11523" width="17" style="31" customWidth="1"/>
    <col min="11524" max="11524" width="11.453125" style="31" customWidth="1"/>
    <col min="11525" max="11525" width="14.453125" style="31" customWidth="1"/>
    <col min="11526" max="11526" width="12.54296875" style="31" customWidth="1"/>
    <col min="11527" max="11531" width="13.6328125" style="31" customWidth="1"/>
    <col min="11532" max="11532" width="13.453125" style="31" customWidth="1"/>
    <col min="11533" max="11776" width="9.08984375" style="31"/>
    <col min="11777" max="11777" width="0" style="31" hidden="1" customWidth="1"/>
    <col min="11778" max="11778" width="25.54296875" style="31" customWidth="1"/>
    <col min="11779" max="11779" width="17" style="31" customWidth="1"/>
    <col min="11780" max="11780" width="11.453125" style="31" customWidth="1"/>
    <col min="11781" max="11781" width="14.453125" style="31" customWidth="1"/>
    <col min="11782" max="11782" width="12.54296875" style="31" customWidth="1"/>
    <col min="11783" max="11787" width="13.6328125" style="31" customWidth="1"/>
    <col min="11788" max="11788" width="13.453125" style="31" customWidth="1"/>
    <col min="11789" max="12032" width="9.08984375" style="31"/>
    <col min="12033" max="12033" width="0" style="31" hidden="1" customWidth="1"/>
    <col min="12034" max="12034" width="25.54296875" style="31" customWidth="1"/>
    <col min="12035" max="12035" width="17" style="31" customWidth="1"/>
    <col min="12036" max="12036" width="11.453125" style="31" customWidth="1"/>
    <col min="12037" max="12037" width="14.453125" style="31" customWidth="1"/>
    <col min="12038" max="12038" width="12.54296875" style="31" customWidth="1"/>
    <col min="12039" max="12043" width="13.6328125" style="31" customWidth="1"/>
    <col min="12044" max="12044" width="13.453125" style="31" customWidth="1"/>
    <col min="12045" max="12288" width="9.08984375" style="31"/>
    <col min="12289" max="12289" width="0" style="31" hidden="1" customWidth="1"/>
    <col min="12290" max="12290" width="25.54296875" style="31" customWidth="1"/>
    <col min="12291" max="12291" width="17" style="31" customWidth="1"/>
    <col min="12292" max="12292" width="11.453125" style="31" customWidth="1"/>
    <col min="12293" max="12293" width="14.453125" style="31" customWidth="1"/>
    <col min="12294" max="12294" width="12.54296875" style="31" customWidth="1"/>
    <col min="12295" max="12299" width="13.6328125" style="31" customWidth="1"/>
    <col min="12300" max="12300" width="13.453125" style="31" customWidth="1"/>
    <col min="12301" max="12544" width="9.08984375" style="31"/>
    <col min="12545" max="12545" width="0" style="31" hidden="1" customWidth="1"/>
    <col min="12546" max="12546" width="25.54296875" style="31" customWidth="1"/>
    <col min="12547" max="12547" width="17" style="31" customWidth="1"/>
    <col min="12548" max="12548" width="11.453125" style="31" customWidth="1"/>
    <col min="12549" max="12549" width="14.453125" style="31" customWidth="1"/>
    <col min="12550" max="12550" width="12.54296875" style="31" customWidth="1"/>
    <col min="12551" max="12555" width="13.6328125" style="31" customWidth="1"/>
    <col min="12556" max="12556" width="13.453125" style="31" customWidth="1"/>
    <col min="12557" max="12800" width="9.08984375" style="31"/>
    <col min="12801" max="12801" width="0" style="31" hidden="1" customWidth="1"/>
    <col min="12802" max="12802" width="25.54296875" style="31" customWidth="1"/>
    <col min="12803" max="12803" width="17" style="31" customWidth="1"/>
    <col min="12804" max="12804" width="11.453125" style="31" customWidth="1"/>
    <col min="12805" max="12805" width="14.453125" style="31" customWidth="1"/>
    <col min="12806" max="12806" width="12.54296875" style="31" customWidth="1"/>
    <col min="12807" max="12811" width="13.6328125" style="31" customWidth="1"/>
    <col min="12812" max="12812" width="13.453125" style="31" customWidth="1"/>
    <col min="12813" max="13056" width="9.08984375" style="31"/>
    <col min="13057" max="13057" width="0" style="31" hidden="1" customWidth="1"/>
    <col min="13058" max="13058" width="25.54296875" style="31" customWidth="1"/>
    <col min="13059" max="13059" width="17" style="31" customWidth="1"/>
    <col min="13060" max="13060" width="11.453125" style="31" customWidth="1"/>
    <col min="13061" max="13061" width="14.453125" style="31" customWidth="1"/>
    <col min="13062" max="13062" width="12.54296875" style="31" customWidth="1"/>
    <col min="13063" max="13067" width="13.6328125" style="31" customWidth="1"/>
    <col min="13068" max="13068" width="13.453125" style="31" customWidth="1"/>
    <col min="13069" max="13312" width="9.08984375" style="31"/>
    <col min="13313" max="13313" width="0" style="31" hidden="1" customWidth="1"/>
    <col min="13314" max="13314" width="25.54296875" style="31" customWidth="1"/>
    <col min="13315" max="13315" width="17" style="31" customWidth="1"/>
    <col min="13316" max="13316" width="11.453125" style="31" customWidth="1"/>
    <col min="13317" max="13317" width="14.453125" style="31" customWidth="1"/>
    <col min="13318" max="13318" width="12.54296875" style="31" customWidth="1"/>
    <col min="13319" max="13323" width="13.6328125" style="31" customWidth="1"/>
    <col min="13324" max="13324" width="13.453125" style="31" customWidth="1"/>
    <col min="13325" max="13568" width="9.08984375" style="31"/>
    <col min="13569" max="13569" width="0" style="31" hidden="1" customWidth="1"/>
    <col min="13570" max="13570" width="25.54296875" style="31" customWidth="1"/>
    <col min="13571" max="13571" width="17" style="31" customWidth="1"/>
    <col min="13572" max="13572" width="11.453125" style="31" customWidth="1"/>
    <col min="13573" max="13573" width="14.453125" style="31" customWidth="1"/>
    <col min="13574" max="13574" width="12.54296875" style="31" customWidth="1"/>
    <col min="13575" max="13579" width="13.6328125" style="31" customWidth="1"/>
    <col min="13580" max="13580" width="13.453125" style="31" customWidth="1"/>
    <col min="13581" max="13824" width="9.08984375" style="31"/>
    <col min="13825" max="13825" width="0" style="31" hidden="1" customWidth="1"/>
    <col min="13826" max="13826" width="25.54296875" style="31" customWidth="1"/>
    <col min="13827" max="13827" width="17" style="31" customWidth="1"/>
    <col min="13828" max="13828" width="11.453125" style="31" customWidth="1"/>
    <col min="13829" max="13829" width="14.453125" style="31" customWidth="1"/>
    <col min="13830" max="13830" width="12.54296875" style="31" customWidth="1"/>
    <col min="13831" max="13835" width="13.6328125" style="31" customWidth="1"/>
    <col min="13836" max="13836" width="13.453125" style="31" customWidth="1"/>
    <col min="13837" max="14080" width="9.08984375" style="31"/>
    <col min="14081" max="14081" width="0" style="31" hidden="1" customWidth="1"/>
    <col min="14082" max="14082" width="25.54296875" style="31" customWidth="1"/>
    <col min="14083" max="14083" width="17" style="31" customWidth="1"/>
    <col min="14084" max="14084" width="11.453125" style="31" customWidth="1"/>
    <col min="14085" max="14085" width="14.453125" style="31" customWidth="1"/>
    <col min="14086" max="14086" width="12.54296875" style="31" customWidth="1"/>
    <col min="14087" max="14091" width="13.6328125" style="31" customWidth="1"/>
    <col min="14092" max="14092" width="13.453125" style="31" customWidth="1"/>
    <col min="14093" max="14336" width="9.08984375" style="31"/>
    <col min="14337" max="14337" width="0" style="31" hidden="1" customWidth="1"/>
    <col min="14338" max="14338" width="25.54296875" style="31" customWidth="1"/>
    <col min="14339" max="14339" width="17" style="31" customWidth="1"/>
    <col min="14340" max="14340" width="11.453125" style="31" customWidth="1"/>
    <col min="14341" max="14341" width="14.453125" style="31" customWidth="1"/>
    <col min="14342" max="14342" width="12.54296875" style="31" customWidth="1"/>
    <col min="14343" max="14347" width="13.6328125" style="31" customWidth="1"/>
    <col min="14348" max="14348" width="13.453125" style="31" customWidth="1"/>
    <col min="14349" max="14592" width="9.08984375" style="31"/>
    <col min="14593" max="14593" width="0" style="31" hidden="1" customWidth="1"/>
    <col min="14594" max="14594" width="25.54296875" style="31" customWidth="1"/>
    <col min="14595" max="14595" width="17" style="31" customWidth="1"/>
    <col min="14596" max="14596" width="11.453125" style="31" customWidth="1"/>
    <col min="14597" max="14597" width="14.453125" style="31" customWidth="1"/>
    <col min="14598" max="14598" width="12.54296875" style="31" customWidth="1"/>
    <col min="14599" max="14603" width="13.6328125" style="31" customWidth="1"/>
    <col min="14604" max="14604" width="13.453125" style="31" customWidth="1"/>
    <col min="14605" max="14848" width="9.08984375" style="31"/>
    <col min="14849" max="14849" width="0" style="31" hidden="1" customWidth="1"/>
    <col min="14850" max="14850" width="25.54296875" style="31" customWidth="1"/>
    <col min="14851" max="14851" width="17" style="31" customWidth="1"/>
    <col min="14852" max="14852" width="11.453125" style="31" customWidth="1"/>
    <col min="14853" max="14853" width="14.453125" style="31" customWidth="1"/>
    <col min="14854" max="14854" width="12.54296875" style="31" customWidth="1"/>
    <col min="14855" max="14859" width="13.6328125" style="31" customWidth="1"/>
    <col min="14860" max="14860" width="13.453125" style="31" customWidth="1"/>
    <col min="14861" max="15104" width="9.08984375" style="31"/>
    <col min="15105" max="15105" width="0" style="31" hidden="1" customWidth="1"/>
    <col min="15106" max="15106" width="25.54296875" style="31" customWidth="1"/>
    <col min="15107" max="15107" width="17" style="31" customWidth="1"/>
    <col min="15108" max="15108" width="11.453125" style="31" customWidth="1"/>
    <col min="15109" max="15109" width="14.453125" style="31" customWidth="1"/>
    <col min="15110" max="15110" width="12.54296875" style="31" customWidth="1"/>
    <col min="15111" max="15115" width="13.6328125" style="31" customWidth="1"/>
    <col min="15116" max="15116" width="13.453125" style="31" customWidth="1"/>
    <col min="15117" max="15360" width="9.08984375" style="31"/>
    <col min="15361" max="15361" width="0" style="31" hidden="1" customWidth="1"/>
    <col min="15362" max="15362" width="25.54296875" style="31" customWidth="1"/>
    <col min="15363" max="15363" width="17" style="31" customWidth="1"/>
    <col min="15364" max="15364" width="11.453125" style="31" customWidth="1"/>
    <col min="15365" max="15365" width="14.453125" style="31" customWidth="1"/>
    <col min="15366" max="15366" width="12.54296875" style="31" customWidth="1"/>
    <col min="15367" max="15371" width="13.6328125" style="31" customWidth="1"/>
    <col min="15372" max="15372" width="13.453125" style="31" customWidth="1"/>
    <col min="15373" max="15616" width="9.08984375" style="31"/>
    <col min="15617" max="15617" width="0" style="31" hidden="1" customWidth="1"/>
    <col min="15618" max="15618" width="25.54296875" style="31" customWidth="1"/>
    <col min="15619" max="15619" width="17" style="31" customWidth="1"/>
    <col min="15620" max="15620" width="11.453125" style="31" customWidth="1"/>
    <col min="15621" max="15621" width="14.453125" style="31" customWidth="1"/>
    <col min="15622" max="15622" width="12.54296875" style="31" customWidth="1"/>
    <col min="15623" max="15627" width="13.6328125" style="31" customWidth="1"/>
    <col min="15628" max="15628" width="13.453125" style="31" customWidth="1"/>
    <col min="15629" max="15872" width="9.08984375" style="31"/>
    <col min="15873" max="15873" width="0" style="31" hidden="1" customWidth="1"/>
    <col min="15874" max="15874" width="25.54296875" style="31" customWidth="1"/>
    <col min="15875" max="15875" width="17" style="31" customWidth="1"/>
    <col min="15876" max="15876" width="11.453125" style="31" customWidth="1"/>
    <col min="15877" max="15877" width="14.453125" style="31" customWidth="1"/>
    <col min="15878" max="15878" width="12.54296875" style="31" customWidth="1"/>
    <col min="15879" max="15883" width="13.6328125" style="31" customWidth="1"/>
    <col min="15884" max="15884" width="13.453125" style="31" customWidth="1"/>
    <col min="15885" max="16128" width="9.08984375" style="31"/>
    <col min="16129" max="16129" width="0" style="31" hidden="1" customWidth="1"/>
    <col min="16130" max="16130" width="25.54296875" style="31" customWidth="1"/>
    <col min="16131" max="16131" width="17" style="31" customWidth="1"/>
    <col min="16132" max="16132" width="11.453125" style="31" customWidth="1"/>
    <col min="16133" max="16133" width="14.453125" style="31" customWidth="1"/>
    <col min="16134" max="16134" width="12.54296875" style="31" customWidth="1"/>
    <col min="16135" max="16139" width="13.6328125" style="31" customWidth="1"/>
    <col min="16140" max="16140" width="13.453125" style="31" customWidth="1"/>
    <col min="16141" max="16384" width="9.08984375" style="31"/>
  </cols>
  <sheetData>
    <row r="2" spans="1:26" ht="40.5" customHeight="1" x14ac:dyDescent="0.3">
      <c r="B2" s="120" t="s">
        <v>66</v>
      </c>
      <c r="C2" s="121"/>
      <c r="D2" s="122"/>
      <c r="E2" s="122"/>
      <c r="F2" s="122"/>
      <c r="G2" s="122"/>
      <c r="H2" s="122"/>
      <c r="I2" s="122"/>
      <c r="J2" s="122"/>
      <c r="K2" s="122"/>
      <c r="L2" s="123"/>
    </row>
    <row r="3" spans="1:26" s="93" customFormat="1" ht="43.5" customHeight="1" x14ac:dyDescent="0.35">
      <c r="B3" s="125"/>
      <c r="C3" s="117" t="s">
        <v>67</v>
      </c>
      <c r="D3" s="117"/>
      <c r="E3" s="117"/>
      <c r="F3" s="111" t="s">
        <v>68</v>
      </c>
      <c r="G3" s="111" t="s">
        <v>69</v>
      </c>
      <c r="H3" s="111" t="s">
        <v>70</v>
      </c>
      <c r="I3" s="111" t="s">
        <v>71</v>
      </c>
      <c r="J3" s="111" t="s">
        <v>72</v>
      </c>
      <c r="K3" s="111" t="s">
        <v>73</v>
      </c>
      <c r="L3" s="111" t="s">
        <v>74</v>
      </c>
      <c r="M3" s="111"/>
    </row>
    <row r="4" spans="1:26" s="93" customFormat="1" ht="47.25" customHeight="1" x14ac:dyDescent="0.35">
      <c r="B4" s="116"/>
      <c r="C4" s="33" t="s">
        <v>75</v>
      </c>
      <c r="D4" s="33" t="s">
        <v>76</v>
      </c>
      <c r="E4" s="33" t="s">
        <v>77</v>
      </c>
      <c r="F4" s="112"/>
      <c r="G4" s="112"/>
      <c r="H4" s="112"/>
      <c r="I4" s="112"/>
      <c r="J4" s="112"/>
      <c r="K4" s="112"/>
      <c r="L4" s="112"/>
      <c r="M4" s="112"/>
    </row>
    <row r="5" spans="1:26" s="93" customFormat="1" ht="18" hidden="1" customHeight="1" x14ac:dyDescent="0.35">
      <c r="D5" s="34" t="s">
        <v>78</v>
      </c>
      <c r="E5" s="34" t="s">
        <v>79</v>
      </c>
      <c r="F5" s="35" t="s">
        <v>80</v>
      </c>
      <c r="G5" s="35" t="s">
        <v>81</v>
      </c>
      <c r="H5" s="34" t="s">
        <v>82</v>
      </c>
      <c r="I5" s="34" t="s">
        <v>83</v>
      </c>
      <c r="J5" s="36" t="s">
        <v>84</v>
      </c>
      <c r="K5" s="93" t="s">
        <v>85</v>
      </c>
      <c r="L5" s="93" t="s">
        <v>86</v>
      </c>
    </row>
    <row r="6" spans="1:26" s="93" customFormat="1" ht="25.5" customHeight="1" x14ac:dyDescent="0.35">
      <c r="B6" s="37" t="s">
        <v>0</v>
      </c>
      <c r="C6" s="38">
        <f>C7+C48</f>
        <v>54247</v>
      </c>
      <c r="D6" s="38">
        <f t="shared" ref="D6:L6" si="0">D7+D48</f>
        <v>37096</v>
      </c>
      <c r="E6" s="38">
        <f t="shared" si="0"/>
        <v>17151</v>
      </c>
      <c r="F6" s="38">
        <f t="shared" si="0"/>
        <v>14200</v>
      </c>
      <c r="G6" s="38">
        <f t="shared" si="0"/>
        <v>1369</v>
      </c>
      <c r="H6" s="38">
        <f t="shared" si="0"/>
        <v>527</v>
      </c>
      <c r="I6" s="38">
        <f t="shared" si="0"/>
        <v>68</v>
      </c>
      <c r="J6" s="38">
        <f t="shared" si="0"/>
        <v>61</v>
      </c>
      <c r="K6" s="38">
        <f t="shared" si="0"/>
        <v>3332</v>
      </c>
      <c r="L6" s="38">
        <f t="shared" si="0"/>
        <v>1515170.25</v>
      </c>
      <c r="M6" s="39"/>
      <c r="N6" s="40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s="37" customFormat="1" ht="26.25" customHeight="1" x14ac:dyDescent="0.35">
      <c r="A7" s="27"/>
      <c r="B7" s="37" t="s">
        <v>52</v>
      </c>
      <c r="C7" s="42">
        <f>SUM(C8:C47)</f>
        <v>28992</v>
      </c>
      <c r="D7" s="42">
        <f t="shared" ref="D7:L7" si="1">SUM(D8:D47)</f>
        <v>19889</v>
      </c>
      <c r="E7" s="42">
        <f t="shared" si="1"/>
        <v>9103</v>
      </c>
      <c r="F7" s="42">
        <f t="shared" si="1"/>
        <v>8932</v>
      </c>
      <c r="G7" s="42">
        <f t="shared" si="1"/>
        <v>731</v>
      </c>
      <c r="H7" s="42">
        <f t="shared" si="1"/>
        <v>345</v>
      </c>
      <c r="I7" s="42">
        <f t="shared" si="1"/>
        <v>47</v>
      </c>
      <c r="J7" s="42">
        <f t="shared" si="1"/>
        <v>53</v>
      </c>
      <c r="K7" s="42">
        <f t="shared" si="1"/>
        <v>2457</v>
      </c>
      <c r="L7" s="42">
        <f t="shared" si="1"/>
        <v>1007717.25</v>
      </c>
      <c r="N7" s="41"/>
      <c r="O7" s="41"/>
      <c r="P7" s="41"/>
      <c r="Q7" s="41"/>
      <c r="R7" s="41"/>
      <c r="S7" s="41"/>
      <c r="T7" s="41"/>
      <c r="U7" s="41"/>
      <c r="V7" s="41"/>
      <c r="W7" s="41"/>
    </row>
    <row r="8" spans="1:26" s="93" customFormat="1" ht="12.5" x14ac:dyDescent="0.35">
      <c r="A8" s="28">
        <v>51</v>
      </c>
      <c r="B8" s="93" t="s">
        <v>5</v>
      </c>
      <c r="C8" s="41">
        <v>672</v>
      </c>
      <c r="D8" s="43">
        <v>292</v>
      </c>
      <c r="E8" s="43">
        <v>380</v>
      </c>
      <c r="F8" s="43">
        <v>322</v>
      </c>
      <c r="G8" s="43">
        <v>29</v>
      </c>
      <c r="H8" s="43">
        <v>15</v>
      </c>
      <c r="I8" s="43">
        <v>3</v>
      </c>
      <c r="J8" s="43">
        <v>1</v>
      </c>
      <c r="K8" s="43">
        <v>78</v>
      </c>
      <c r="L8" s="43">
        <v>17118</v>
      </c>
      <c r="N8" s="44"/>
      <c r="O8" s="41"/>
      <c r="P8" s="41"/>
      <c r="Q8" s="41"/>
      <c r="R8" s="41"/>
      <c r="S8" s="41"/>
      <c r="T8" s="41"/>
      <c r="U8" s="41"/>
      <c r="V8" s="41"/>
      <c r="W8" s="41"/>
    </row>
    <row r="9" spans="1:26" s="93" customFormat="1" ht="12.5" x14ac:dyDescent="0.35">
      <c r="A9" s="28">
        <v>52</v>
      </c>
      <c r="B9" s="93" t="s">
        <v>6</v>
      </c>
      <c r="C9" s="41">
        <v>1244</v>
      </c>
      <c r="D9" s="43">
        <v>1071</v>
      </c>
      <c r="E9" s="43">
        <v>173</v>
      </c>
      <c r="F9" s="43">
        <v>0</v>
      </c>
      <c r="G9" s="43">
        <v>2</v>
      </c>
      <c r="H9" s="43">
        <v>5</v>
      </c>
      <c r="I9" s="43">
        <v>0</v>
      </c>
      <c r="J9" s="43">
        <v>1</v>
      </c>
      <c r="K9" s="43">
        <v>30</v>
      </c>
      <c r="L9" s="43">
        <v>19679</v>
      </c>
      <c r="N9" s="41"/>
      <c r="O9" s="41"/>
      <c r="P9" s="41"/>
      <c r="Q9" s="41"/>
      <c r="R9" s="41"/>
      <c r="S9" s="41"/>
      <c r="T9" s="41"/>
      <c r="U9" s="41"/>
      <c r="V9" s="41"/>
      <c r="W9" s="41"/>
    </row>
    <row r="10" spans="1:26" s="93" customFormat="1" ht="12.5" x14ac:dyDescent="0.35">
      <c r="A10" s="28">
        <v>86</v>
      </c>
      <c r="B10" s="93" t="s">
        <v>7</v>
      </c>
      <c r="C10" s="41">
        <v>1596</v>
      </c>
      <c r="D10" s="43">
        <v>1286</v>
      </c>
      <c r="E10" s="43">
        <v>310</v>
      </c>
      <c r="F10" s="43">
        <v>270</v>
      </c>
      <c r="G10" s="43">
        <v>9</v>
      </c>
      <c r="H10" s="43">
        <v>2</v>
      </c>
      <c r="I10" s="43">
        <v>0</v>
      </c>
      <c r="J10" s="43">
        <v>0</v>
      </c>
      <c r="K10" s="43">
        <v>0</v>
      </c>
      <c r="L10" s="43">
        <v>0</v>
      </c>
      <c r="N10" s="41"/>
      <c r="O10" s="41"/>
      <c r="P10" s="41"/>
      <c r="Q10" s="41"/>
      <c r="R10" s="41"/>
      <c r="S10" s="41"/>
      <c r="T10" s="41"/>
      <c r="U10" s="41"/>
      <c r="V10" s="41"/>
      <c r="W10" s="41"/>
    </row>
    <row r="11" spans="1:26" s="93" customFormat="1" ht="12.5" x14ac:dyDescent="0.35">
      <c r="A11" s="28">
        <v>53</v>
      </c>
      <c r="B11" s="93" t="s">
        <v>8</v>
      </c>
      <c r="C11" s="41">
        <v>375</v>
      </c>
      <c r="D11" s="43">
        <v>132</v>
      </c>
      <c r="E11" s="43">
        <v>243</v>
      </c>
      <c r="F11" s="43">
        <v>271</v>
      </c>
      <c r="G11" s="43">
        <v>5</v>
      </c>
      <c r="H11" s="43">
        <v>0</v>
      </c>
      <c r="I11" s="43">
        <v>2</v>
      </c>
      <c r="J11" s="43">
        <v>0</v>
      </c>
      <c r="K11" s="43">
        <v>27</v>
      </c>
      <c r="L11" s="43">
        <v>12216</v>
      </c>
      <c r="N11" s="41"/>
      <c r="O11" s="41"/>
      <c r="P11" s="41"/>
      <c r="Q11" s="41"/>
      <c r="R11" s="41"/>
      <c r="S11" s="41"/>
      <c r="T11" s="41"/>
      <c r="U11" s="41"/>
      <c r="V11" s="41"/>
      <c r="W11" s="41"/>
    </row>
    <row r="12" spans="1:26" s="93" customFormat="1" ht="12.5" x14ac:dyDescent="0.35">
      <c r="A12" s="28">
        <v>54</v>
      </c>
      <c r="B12" s="93" t="s">
        <v>9</v>
      </c>
      <c r="C12" s="41">
        <v>703</v>
      </c>
      <c r="D12" s="43">
        <v>508</v>
      </c>
      <c r="E12" s="43">
        <v>195</v>
      </c>
      <c r="F12" s="43">
        <v>119</v>
      </c>
      <c r="G12" s="43">
        <v>7</v>
      </c>
      <c r="H12" s="43">
        <v>4</v>
      </c>
      <c r="I12" s="43">
        <v>0</v>
      </c>
      <c r="J12" s="43">
        <v>0</v>
      </c>
      <c r="K12" s="43">
        <v>62</v>
      </c>
      <c r="L12" s="43">
        <v>35597</v>
      </c>
      <c r="N12" s="41"/>
      <c r="O12" s="41"/>
      <c r="P12" s="41"/>
      <c r="Q12" s="41"/>
      <c r="R12" s="41"/>
      <c r="S12" s="41"/>
      <c r="T12" s="41"/>
      <c r="U12" s="41"/>
      <c r="V12" s="41"/>
      <c r="W12" s="41"/>
    </row>
    <row r="13" spans="1:26" s="93" customFormat="1" ht="12.5" x14ac:dyDescent="0.35">
      <c r="A13" s="28">
        <v>55</v>
      </c>
      <c r="B13" s="93" t="s">
        <v>10</v>
      </c>
      <c r="C13" s="41">
        <v>1629</v>
      </c>
      <c r="D13" s="43">
        <v>1056</v>
      </c>
      <c r="E13" s="43">
        <v>573</v>
      </c>
      <c r="F13" s="43">
        <v>510</v>
      </c>
      <c r="G13" s="43">
        <v>75</v>
      </c>
      <c r="H13" s="43">
        <v>16</v>
      </c>
      <c r="I13" s="43">
        <v>9</v>
      </c>
      <c r="J13" s="43">
        <v>1</v>
      </c>
      <c r="K13" s="43">
        <v>255</v>
      </c>
      <c r="L13" s="43">
        <v>27235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</row>
    <row r="14" spans="1:26" s="93" customFormat="1" ht="12.5" x14ac:dyDescent="0.35">
      <c r="A14" s="28">
        <v>56</v>
      </c>
      <c r="B14" s="93" t="s">
        <v>11</v>
      </c>
      <c r="C14" s="41">
        <v>1244</v>
      </c>
      <c r="D14" s="43">
        <v>1074</v>
      </c>
      <c r="E14" s="43">
        <v>170</v>
      </c>
      <c r="F14" s="43">
        <v>161</v>
      </c>
      <c r="G14" s="43">
        <v>2</v>
      </c>
      <c r="H14" s="43">
        <v>5</v>
      </c>
      <c r="I14" s="43">
        <v>0</v>
      </c>
      <c r="J14" s="43">
        <v>1</v>
      </c>
      <c r="K14" s="43">
        <v>14</v>
      </c>
      <c r="L14" s="43">
        <v>15076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</row>
    <row r="15" spans="1:26" s="93" customFormat="1" ht="12.5" x14ac:dyDescent="0.35">
      <c r="A15" s="28">
        <v>57</v>
      </c>
      <c r="B15" s="93" t="s">
        <v>12</v>
      </c>
      <c r="C15" s="41">
        <v>535</v>
      </c>
      <c r="D15" s="43">
        <v>366</v>
      </c>
      <c r="E15" s="43">
        <v>169</v>
      </c>
      <c r="F15" s="43">
        <v>160</v>
      </c>
      <c r="G15" s="43">
        <v>6</v>
      </c>
      <c r="H15" s="43">
        <v>6</v>
      </c>
      <c r="I15" s="43">
        <v>0</v>
      </c>
      <c r="J15" s="43">
        <v>0</v>
      </c>
      <c r="K15" s="43">
        <v>14</v>
      </c>
      <c r="L15" s="43">
        <v>17969</v>
      </c>
      <c r="N15" s="41"/>
      <c r="O15" s="41"/>
      <c r="P15" s="41"/>
      <c r="Q15" s="41"/>
      <c r="R15" s="41"/>
      <c r="S15" s="41"/>
      <c r="T15" s="41"/>
      <c r="U15" s="41"/>
      <c r="V15" s="41"/>
      <c r="W15" s="41"/>
    </row>
    <row r="16" spans="1:26" s="93" customFormat="1" ht="12.5" x14ac:dyDescent="0.35">
      <c r="A16" s="28">
        <v>59</v>
      </c>
      <c r="B16" s="93" t="s">
        <v>13</v>
      </c>
      <c r="C16" s="41">
        <v>1003</v>
      </c>
      <c r="D16" s="43">
        <v>704</v>
      </c>
      <c r="E16" s="43">
        <v>299</v>
      </c>
      <c r="F16" s="43">
        <v>287</v>
      </c>
      <c r="G16" s="43">
        <v>31</v>
      </c>
      <c r="H16" s="43">
        <v>6</v>
      </c>
      <c r="I16" s="43">
        <v>0</v>
      </c>
      <c r="J16" s="43">
        <v>0</v>
      </c>
      <c r="K16" s="43">
        <v>34</v>
      </c>
      <c r="L16" s="43">
        <v>6852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</row>
    <row r="17" spans="1:23" s="93" customFormat="1" ht="12.5" x14ac:dyDescent="0.35">
      <c r="A17" s="28">
        <v>60</v>
      </c>
      <c r="B17" s="93" t="s">
        <v>14</v>
      </c>
      <c r="C17" s="41">
        <v>866</v>
      </c>
      <c r="D17" s="43">
        <v>540</v>
      </c>
      <c r="E17" s="43">
        <v>326</v>
      </c>
      <c r="F17" s="43">
        <v>277</v>
      </c>
      <c r="G17" s="43">
        <v>35</v>
      </c>
      <c r="H17" s="43">
        <v>19</v>
      </c>
      <c r="I17" s="43">
        <v>3</v>
      </c>
      <c r="J17" s="43">
        <v>0</v>
      </c>
      <c r="K17" s="43">
        <v>312</v>
      </c>
      <c r="L17" s="43">
        <v>34845</v>
      </c>
      <c r="N17" s="41"/>
      <c r="O17" s="41"/>
      <c r="P17" s="41"/>
      <c r="Q17" s="41"/>
      <c r="R17" s="41"/>
      <c r="S17" s="41"/>
      <c r="T17" s="41"/>
      <c r="U17" s="41"/>
      <c r="V17" s="41"/>
      <c r="W17" s="41"/>
    </row>
    <row r="18" spans="1:23" s="93" customFormat="1" ht="12.5" x14ac:dyDescent="0.35">
      <c r="A18" s="28">
        <v>61</v>
      </c>
      <c r="B18" s="45" t="s">
        <v>53</v>
      </c>
      <c r="C18" s="41">
        <v>581</v>
      </c>
      <c r="D18" s="43">
        <v>177</v>
      </c>
      <c r="E18" s="43">
        <v>404</v>
      </c>
      <c r="F18" s="43">
        <v>337</v>
      </c>
      <c r="G18" s="43">
        <v>59</v>
      </c>
      <c r="H18" s="43">
        <v>33</v>
      </c>
      <c r="I18" s="43">
        <v>4</v>
      </c>
      <c r="J18" s="43">
        <v>10</v>
      </c>
      <c r="K18" s="43">
        <v>54</v>
      </c>
      <c r="L18" s="43">
        <v>98145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</row>
    <row r="19" spans="1:23" s="98" customFormat="1" ht="12.5" x14ac:dyDescent="0.35">
      <c r="A19" s="28"/>
      <c r="B19" s="45" t="s">
        <v>113</v>
      </c>
      <c r="C19" s="41">
        <v>706</v>
      </c>
      <c r="D19" s="43">
        <v>544</v>
      </c>
      <c r="E19" s="43">
        <v>162</v>
      </c>
      <c r="F19" s="43">
        <v>137</v>
      </c>
      <c r="G19" s="43">
        <v>13</v>
      </c>
      <c r="H19" s="43">
        <v>14</v>
      </c>
      <c r="I19" s="43">
        <v>0</v>
      </c>
      <c r="J19" s="43">
        <v>2</v>
      </c>
      <c r="K19" s="43">
        <v>20</v>
      </c>
      <c r="L19" s="43">
        <v>87216</v>
      </c>
      <c r="N19" s="41"/>
      <c r="O19" s="41"/>
      <c r="P19" s="41"/>
      <c r="Q19" s="41"/>
      <c r="R19" s="41"/>
      <c r="S19" s="41"/>
      <c r="T19" s="41"/>
      <c r="U19" s="41"/>
      <c r="V19" s="41"/>
      <c r="W19" s="41"/>
    </row>
    <row r="20" spans="1:23" s="93" customFormat="1" ht="12.5" x14ac:dyDescent="0.35">
      <c r="A20" s="28">
        <v>62</v>
      </c>
      <c r="B20" s="93" t="s">
        <v>16</v>
      </c>
      <c r="C20" s="41" t="s">
        <v>114</v>
      </c>
      <c r="D20" s="41" t="s">
        <v>114</v>
      </c>
      <c r="E20" s="41" t="s">
        <v>114</v>
      </c>
      <c r="F20" s="41" t="s">
        <v>114</v>
      </c>
      <c r="G20" s="41" t="s">
        <v>114</v>
      </c>
      <c r="H20" s="41" t="s">
        <v>114</v>
      </c>
      <c r="I20" s="41" t="s">
        <v>114</v>
      </c>
      <c r="J20" s="41" t="s">
        <v>114</v>
      </c>
      <c r="K20" s="41" t="s">
        <v>114</v>
      </c>
      <c r="L20" s="41" t="s">
        <v>114</v>
      </c>
      <c r="N20" s="41"/>
      <c r="O20" s="41"/>
      <c r="P20" s="41"/>
      <c r="Q20" s="41"/>
      <c r="R20" s="41"/>
      <c r="S20" s="41"/>
      <c r="T20" s="41"/>
      <c r="U20" s="41"/>
      <c r="V20" s="41"/>
      <c r="W20" s="41"/>
    </row>
    <row r="21" spans="1:23" s="93" customFormat="1" ht="12.5" x14ac:dyDescent="0.35">
      <c r="A21" s="28">
        <v>58</v>
      </c>
      <c r="B21" s="93" t="s">
        <v>17</v>
      </c>
      <c r="C21" s="41">
        <v>2066</v>
      </c>
      <c r="D21" s="43">
        <v>1639</v>
      </c>
      <c r="E21" s="43">
        <v>427</v>
      </c>
      <c r="F21" s="43">
        <v>394</v>
      </c>
      <c r="G21" s="43">
        <v>0</v>
      </c>
      <c r="H21" s="43">
        <v>6</v>
      </c>
      <c r="I21" s="43">
        <v>2</v>
      </c>
      <c r="J21" s="43">
        <v>0</v>
      </c>
      <c r="K21" s="43">
        <v>11</v>
      </c>
      <c r="L21" s="43">
        <v>15292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</row>
    <row r="22" spans="1:23" s="93" customFormat="1" ht="12.5" x14ac:dyDescent="0.35">
      <c r="A22" s="28">
        <v>63</v>
      </c>
      <c r="B22" s="93" t="s">
        <v>18</v>
      </c>
      <c r="C22" s="41">
        <v>299</v>
      </c>
      <c r="D22" s="43">
        <v>189</v>
      </c>
      <c r="E22" s="43">
        <v>110</v>
      </c>
      <c r="F22" s="43">
        <v>105</v>
      </c>
      <c r="G22" s="43">
        <v>11</v>
      </c>
      <c r="H22" s="43">
        <v>17</v>
      </c>
      <c r="I22" s="43">
        <v>2</v>
      </c>
      <c r="J22" s="43">
        <v>2</v>
      </c>
      <c r="K22" s="43">
        <v>94</v>
      </c>
      <c r="L22" s="43">
        <v>26377</v>
      </c>
      <c r="N22" s="41"/>
      <c r="O22" s="41"/>
      <c r="P22" s="41"/>
      <c r="Q22" s="41"/>
      <c r="R22" s="41"/>
      <c r="S22" s="41"/>
      <c r="T22" s="41"/>
      <c r="U22" s="41"/>
      <c r="V22" s="41"/>
      <c r="W22" s="41"/>
    </row>
    <row r="23" spans="1:23" s="93" customFormat="1" ht="12.5" x14ac:dyDescent="0.35">
      <c r="A23" s="28">
        <v>64</v>
      </c>
      <c r="B23" s="93" t="s">
        <v>19</v>
      </c>
      <c r="C23" s="41">
        <v>1172</v>
      </c>
      <c r="D23" s="43">
        <v>1085</v>
      </c>
      <c r="E23" s="43">
        <v>87</v>
      </c>
      <c r="F23" s="43">
        <v>0</v>
      </c>
      <c r="G23" s="43">
        <v>1</v>
      </c>
      <c r="H23" s="43">
        <v>1</v>
      </c>
      <c r="I23" s="43">
        <v>1</v>
      </c>
      <c r="J23" s="43">
        <v>0</v>
      </c>
      <c r="K23" s="43">
        <v>0</v>
      </c>
      <c r="L23" s="43">
        <v>31964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</row>
    <row r="24" spans="1:23" s="93" customFormat="1" ht="12.5" x14ac:dyDescent="0.35">
      <c r="A24" s="28">
        <v>65</v>
      </c>
      <c r="B24" s="93" t="s">
        <v>20</v>
      </c>
      <c r="C24" s="41">
        <v>237</v>
      </c>
      <c r="D24" s="43">
        <v>174</v>
      </c>
      <c r="E24" s="43">
        <v>63</v>
      </c>
      <c r="F24" s="43">
        <v>50</v>
      </c>
      <c r="G24" s="43">
        <v>7</v>
      </c>
      <c r="H24" s="43">
        <v>9</v>
      </c>
      <c r="I24" s="43">
        <v>1</v>
      </c>
      <c r="J24" s="43">
        <v>0</v>
      </c>
      <c r="K24" s="43">
        <v>12</v>
      </c>
      <c r="L24" s="43">
        <v>16344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</row>
    <row r="25" spans="1:23" s="93" customFormat="1" ht="12.5" x14ac:dyDescent="0.35">
      <c r="A25" s="28">
        <v>67</v>
      </c>
      <c r="B25" s="93" t="s">
        <v>23</v>
      </c>
      <c r="C25" s="41">
        <v>574</v>
      </c>
      <c r="D25" s="43">
        <v>286</v>
      </c>
      <c r="E25" s="43">
        <v>288</v>
      </c>
      <c r="F25" s="43">
        <v>262</v>
      </c>
      <c r="G25" s="43">
        <v>20</v>
      </c>
      <c r="H25" s="43">
        <v>20</v>
      </c>
      <c r="I25" s="43">
        <v>1</v>
      </c>
      <c r="J25" s="43">
        <v>9</v>
      </c>
      <c r="K25" s="43">
        <v>173</v>
      </c>
      <c r="L25" s="43">
        <v>103595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</row>
    <row r="26" spans="1:23" s="93" customFormat="1" ht="12.5" x14ac:dyDescent="0.35">
      <c r="A26" s="28">
        <v>68</v>
      </c>
      <c r="B26" s="93" t="s">
        <v>54</v>
      </c>
      <c r="C26" s="41">
        <v>591</v>
      </c>
      <c r="D26" s="43">
        <v>325</v>
      </c>
      <c r="E26" s="43">
        <v>266</v>
      </c>
      <c r="F26" s="43">
        <v>270</v>
      </c>
      <c r="G26" s="43">
        <v>45</v>
      </c>
      <c r="H26" s="43">
        <v>37</v>
      </c>
      <c r="I26" s="43">
        <v>0</v>
      </c>
      <c r="J26" s="43">
        <v>0</v>
      </c>
      <c r="K26" s="43">
        <v>18</v>
      </c>
      <c r="L26" s="43">
        <v>17980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</row>
    <row r="27" spans="1:23" s="93" customFormat="1" ht="12.5" x14ac:dyDescent="0.35">
      <c r="A27" s="28">
        <v>69</v>
      </c>
      <c r="B27" s="93" t="s">
        <v>25</v>
      </c>
      <c r="C27" s="41">
        <v>288</v>
      </c>
      <c r="D27" s="43">
        <v>225</v>
      </c>
      <c r="E27" s="43">
        <v>63</v>
      </c>
      <c r="F27" s="43">
        <v>39</v>
      </c>
      <c r="G27" s="43">
        <v>16</v>
      </c>
      <c r="H27" s="43">
        <v>7</v>
      </c>
      <c r="I27" s="43">
        <v>1</v>
      </c>
      <c r="J27" s="43">
        <v>0</v>
      </c>
      <c r="K27" s="43">
        <v>38</v>
      </c>
      <c r="L27" s="43">
        <v>25701</v>
      </c>
      <c r="N27" s="41"/>
      <c r="O27" s="41"/>
      <c r="P27" s="41"/>
      <c r="Q27" s="41"/>
      <c r="R27" s="41"/>
      <c r="S27" s="41"/>
      <c r="T27" s="41"/>
      <c r="U27" s="41"/>
      <c r="V27" s="41"/>
      <c r="W27" s="41"/>
    </row>
    <row r="28" spans="1:23" s="93" customFormat="1" ht="12.5" x14ac:dyDescent="0.35">
      <c r="A28" s="28">
        <v>70</v>
      </c>
      <c r="B28" s="93" t="s">
        <v>26</v>
      </c>
      <c r="C28" s="41">
        <v>1464</v>
      </c>
      <c r="D28" s="43">
        <v>1208</v>
      </c>
      <c r="E28" s="43">
        <v>256</v>
      </c>
      <c r="F28" s="43">
        <v>231</v>
      </c>
      <c r="G28" s="43">
        <v>16</v>
      </c>
      <c r="H28" s="43">
        <v>10</v>
      </c>
      <c r="I28" s="43">
        <v>0</v>
      </c>
      <c r="J28" s="43">
        <v>7</v>
      </c>
      <c r="K28" s="43">
        <v>187</v>
      </c>
      <c r="L28" s="43">
        <v>38390</v>
      </c>
      <c r="N28" s="41"/>
      <c r="O28" s="41"/>
      <c r="P28" s="41"/>
      <c r="Q28" s="41"/>
      <c r="R28" s="41"/>
      <c r="S28" s="41"/>
      <c r="T28" s="41"/>
      <c r="U28" s="41"/>
      <c r="V28" s="41"/>
      <c r="W28" s="41"/>
    </row>
    <row r="29" spans="1:23" s="93" customFormat="1" ht="12.5" x14ac:dyDescent="0.35">
      <c r="A29" s="28">
        <v>71</v>
      </c>
      <c r="B29" s="93" t="s">
        <v>55</v>
      </c>
      <c r="C29" s="41">
        <v>194</v>
      </c>
      <c r="D29" s="43">
        <v>119</v>
      </c>
      <c r="E29" s="43">
        <v>75</v>
      </c>
      <c r="F29" s="43">
        <v>79</v>
      </c>
      <c r="G29" s="43">
        <v>1</v>
      </c>
      <c r="H29" s="43">
        <v>2</v>
      </c>
      <c r="I29" s="43">
        <v>0</v>
      </c>
      <c r="J29" s="43">
        <v>0</v>
      </c>
      <c r="K29" s="43">
        <v>2</v>
      </c>
      <c r="L29" s="43">
        <v>6450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</row>
    <row r="30" spans="1:23" s="93" customFormat="1" ht="12.5" x14ac:dyDescent="0.35">
      <c r="A30" s="28">
        <v>73</v>
      </c>
      <c r="B30" s="93" t="s">
        <v>29</v>
      </c>
      <c r="C30" s="41">
        <v>723</v>
      </c>
      <c r="D30" s="43">
        <v>597</v>
      </c>
      <c r="E30" s="43">
        <v>126</v>
      </c>
      <c r="F30" s="43">
        <v>104</v>
      </c>
      <c r="G30" s="43">
        <v>43</v>
      </c>
      <c r="H30" s="43">
        <v>17</v>
      </c>
      <c r="I30" s="43">
        <v>1</v>
      </c>
      <c r="J30" s="43">
        <v>0</v>
      </c>
      <c r="K30" s="43">
        <v>17</v>
      </c>
      <c r="L30" s="43">
        <v>22825</v>
      </c>
      <c r="N30" s="41"/>
      <c r="O30" s="41"/>
      <c r="P30" s="41"/>
      <c r="Q30" s="41"/>
      <c r="R30" s="41"/>
      <c r="S30" s="41"/>
      <c r="T30" s="41"/>
      <c r="U30" s="41"/>
      <c r="V30" s="41"/>
      <c r="W30" s="41"/>
    </row>
    <row r="31" spans="1:23" s="93" customFormat="1" ht="12.5" x14ac:dyDescent="0.35">
      <c r="A31" s="28">
        <v>74</v>
      </c>
      <c r="B31" s="93" t="s">
        <v>30</v>
      </c>
      <c r="C31" s="41">
        <v>1614</v>
      </c>
      <c r="D31" s="43">
        <v>606</v>
      </c>
      <c r="E31" s="43">
        <v>1008</v>
      </c>
      <c r="F31" s="43">
        <v>1073</v>
      </c>
      <c r="G31" s="43">
        <v>139</v>
      </c>
      <c r="H31" s="43">
        <v>10</v>
      </c>
      <c r="I31" s="43">
        <v>5</v>
      </c>
      <c r="J31" s="43">
        <v>8</v>
      </c>
      <c r="K31" s="43">
        <v>116</v>
      </c>
      <c r="L31" s="43">
        <v>23616</v>
      </c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1:23" s="93" customFormat="1" ht="12.5" x14ac:dyDescent="0.35">
      <c r="A32" s="28">
        <v>75</v>
      </c>
      <c r="B32" s="93" t="s">
        <v>31</v>
      </c>
      <c r="C32" s="41">
        <v>362</v>
      </c>
      <c r="D32" s="43">
        <v>275</v>
      </c>
      <c r="E32" s="43">
        <v>87</v>
      </c>
      <c r="F32" s="43">
        <v>146</v>
      </c>
      <c r="G32" s="43">
        <v>21</v>
      </c>
      <c r="H32" s="43">
        <v>7</v>
      </c>
      <c r="I32" s="43">
        <v>1</v>
      </c>
      <c r="J32" s="43">
        <v>8</v>
      </c>
      <c r="K32" s="43">
        <v>105</v>
      </c>
      <c r="L32" s="43">
        <v>24869</v>
      </c>
      <c r="N32" s="41"/>
      <c r="O32" s="41"/>
      <c r="P32" s="41"/>
      <c r="Q32" s="41"/>
      <c r="R32" s="41"/>
      <c r="S32" s="41"/>
      <c r="T32" s="41"/>
      <c r="U32" s="41"/>
      <c r="V32" s="41"/>
      <c r="W32" s="41"/>
    </row>
    <row r="33" spans="1:23" s="93" customFormat="1" ht="14.5" x14ac:dyDescent="0.35">
      <c r="A33" s="28">
        <v>76</v>
      </c>
      <c r="B33" s="93" t="s">
        <v>87</v>
      </c>
      <c r="C33" s="41">
        <v>298</v>
      </c>
      <c r="D33" s="43">
        <v>177</v>
      </c>
      <c r="E33" s="43">
        <v>121</v>
      </c>
      <c r="F33" s="43">
        <v>203</v>
      </c>
      <c r="G33" s="43">
        <v>3</v>
      </c>
      <c r="H33" s="43">
        <v>4</v>
      </c>
      <c r="I33" s="43">
        <v>0</v>
      </c>
      <c r="J33" s="43">
        <v>0</v>
      </c>
      <c r="K33" s="43">
        <v>1</v>
      </c>
      <c r="L33" s="43">
        <v>27611</v>
      </c>
      <c r="N33" s="41"/>
      <c r="O33" s="41"/>
      <c r="P33" s="41"/>
      <c r="Q33" s="41"/>
      <c r="R33" s="41"/>
      <c r="S33" s="41"/>
      <c r="T33" s="41"/>
      <c r="U33" s="41"/>
      <c r="V33" s="41"/>
      <c r="W33" s="41"/>
    </row>
    <row r="34" spans="1:23" s="93" customFormat="1" ht="12.5" x14ac:dyDescent="0.35">
      <c r="A34" s="28">
        <v>79</v>
      </c>
      <c r="B34" s="93" t="s">
        <v>34</v>
      </c>
      <c r="C34" s="41" t="s">
        <v>95</v>
      </c>
      <c r="D34" s="41" t="s">
        <v>95</v>
      </c>
      <c r="E34" s="41" t="s">
        <v>95</v>
      </c>
      <c r="F34" s="41" t="s">
        <v>95</v>
      </c>
      <c r="G34" s="41" t="s">
        <v>95</v>
      </c>
      <c r="H34" s="41" t="s">
        <v>95</v>
      </c>
      <c r="I34" s="41" t="s">
        <v>95</v>
      </c>
      <c r="J34" s="41" t="s">
        <v>95</v>
      </c>
      <c r="K34" s="41" t="s">
        <v>95</v>
      </c>
      <c r="L34" s="41" t="s">
        <v>95</v>
      </c>
      <c r="N34" s="41"/>
      <c r="O34" s="41"/>
      <c r="P34" s="41"/>
      <c r="Q34" s="41"/>
      <c r="R34" s="41"/>
      <c r="S34" s="41"/>
      <c r="T34" s="41"/>
      <c r="U34" s="41"/>
      <c r="V34" s="41"/>
      <c r="W34" s="41"/>
    </row>
    <row r="35" spans="1:23" s="93" customFormat="1" ht="12.5" x14ac:dyDescent="0.35">
      <c r="A35" s="28">
        <v>80</v>
      </c>
      <c r="B35" s="93" t="s">
        <v>35</v>
      </c>
      <c r="C35" s="41">
        <v>2010</v>
      </c>
      <c r="D35" s="43">
        <v>1237</v>
      </c>
      <c r="E35" s="43">
        <v>773</v>
      </c>
      <c r="F35" s="43">
        <v>752</v>
      </c>
      <c r="G35" s="43">
        <v>15</v>
      </c>
      <c r="H35" s="43">
        <v>6</v>
      </c>
      <c r="I35" s="43">
        <v>2</v>
      </c>
      <c r="J35" s="43">
        <v>0</v>
      </c>
      <c r="K35" s="43">
        <v>184</v>
      </c>
      <c r="L35" s="43">
        <v>43968</v>
      </c>
      <c r="N35" s="41"/>
      <c r="O35" s="41"/>
      <c r="P35" s="41"/>
      <c r="Q35" s="41"/>
      <c r="R35" s="41"/>
      <c r="S35" s="41"/>
      <c r="T35" s="41"/>
      <c r="U35" s="41"/>
      <c r="V35" s="41"/>
      <c r="W35" s="41"/>
    </row>
    <row r="36" spans="1:23" s="93" customFormat="1" ht="12.5" x14ac:dyDescent="0.35">
      <c r="A36" s="28">
        <v>81</v>
      </c>
      <c r="B36" s="93" t="s">
        <v>36</v>
      </c>
      <c r="C36" s="41">
        <v>716</v>
      </c>
      <c r="D36" s="43">
        <v>545</v>
      </c>
      <c r="E36" s="43">
        <v>171</v>
      </c>
      <c r="F36" s="43">
        <v>65</v>
      </c>
      <c r="G36" s="43">
        <v>26</v>
      </c>
      <c r="H36" s="43">
        <v>7</v>
      </c>
      <c r="I36" s="43">
        <v>0</v>
      </c>
      <c r="J36" s="43">
        <v>0</v>
      </c>
      <c r="K36" s="43">
        <v>14</v>
      </c>
      <c r="L36" s="43">
        <v>20031</v>
      </c>
      <c r="N36" s="41"/>
      <c r="O36" s="41"/>
      <c r="P36" s="41"/>
      <c r="Q36" s="41"/>
      <c r="R36" s="41"/>
      <c r="S36" s="41"/>
      <c r="T36" s="41"/>
      <c r="U36" s="41"/>
      <c r="V36" s="41"/>
      <c r="W36" s="41"/>
    </row>
    <row r="37" spans="1:23" s="93" customFormat="1" ht="12.5" x14ac:dyDescent="0.35">
      <c r="A37" s="28">
        <v>83</v>
      </c>
      <c r="B37" s="93" t="s">
        <v>37</v>
      </c>
      <c r="C37" s="41">
        <v>786</v>
      </c>
      <c r="D37" s="43">
        <v>372</v>
      </c>
      <c r="E37" s="43">
        <v>414</v>
      </c>
      <c r="F37" s="43">
        <v>383</v>
      </c>
      <c r="G37" s="43">
        <v>1</v>
      </c>
      <c r="H37" s="43">
        <v>1</v>
      </c>
      <c r="I37" s="43">
        <v>1</v>
      </c>
      <c r="J37" s="43">
        <v>1</v>
      </c>
      <c r="K37" s="43">
        <v>28</v>
      </c>
      <c r="L37" s="43">
        <v>8733</v>
      </c>
      <c r="N37" s="41"/>
      <c r="O37" s="41"/>
      <c r="P37" s="41"/>
      <c r="Q37" s="41"/>
      <c r="R37" s="41"/>
      <c r="S37" s="41"/>
      <c r="T37" s="41"/>
      <c r="U37" s="41"/>
      <c r="V37" s="41"/>
      <c r="W37" s="41"/>
    </row>
    <row r="38" spans="1:23" s="93" customFormat="1" ht="12.5" x14ac:dyDescent="0.35">
      <c r="A38" s="28">
        <v>84</v>
      </c>
      <c r="B38" s="93" t="s">
        <v>38</v>
      </c>
      <c r="C38" s="41">
        <v>596</v>
      </c>
      <c r="D38" s="43">
        <v>316</v>
      </c>
      <c r="E38" s="43">
        <v>280</v>
      </c>
      <c r="F38" s="43">
        <v>246</v>
      </c>
      <c r="G38" s="43">
        <v>30</v>
      </c>
      <c r="H38" s="43">
        <v>21</v>
      </c>
      <c r="I38" s="43">
        <v>1</v>
      </c>
      <c r="J38" s="43">
        <v>0</v>
      </c>
      <c r="K38" s="43">
        <v>178</v>
      </c>
      <c r="L38" s="43">
        <v>25444</v>
      </c>
      <c r="N38" s="41"/>
      <c r="O38" s="41"/>
      <c r="P38" s="41"/>
      <c r="Q38" s="41"/>
      <c r="R38" s="41"/>
      <c r="S38" s="41"/>
      <c r="T38" s="41"/>
      <c r="U38" s="41"/>
      <c r="V38" s="41"/>
      <c r="W38" s="41"/>
    </row>
    <row r="39" spans="1:23" s="93" customFormat="1" ht="12.5" x14ac:dyDescent="0.35">
      <c r="A39" s="28">
        <v>85</v>
      </c>
      <c r="B39" s="93" t="s">
        <v>39</v>
      </c>
      <c r="C39" s="41">
        <v>455</v>
      </c>
      <c r="D39" s="43">
        <v>283</v>
      </c>
      <c r="E39" s="43">
        <v>172</v>
      </c>
      <c r="F39" s="43">
        <v>137</v>
      </c>
      <c r="G39" s="43">
        <v>12</v>
      </c>
      <c r="H39" s="43">
        <v>4</v>
      </c>
      <c r="I39" s="43">
        <v>2</v>
      </c>
      <c r="J39" s="43">
        <v>0</v>
      </c>
      <c r="K39" s="43">
        <v>143</v>
      </c>
      <c r="L39" s="43">
        <v>19804</v>
      </c>
      <c r="N39" s="41"/>
      <c r="O39" s="41"/>
      <c r="P39" s="41"/>
      <c r="Q39" s="41"/>
      <c r="R39" s="41"/>
      <c r="S39" s="41"/>
      <c r="T39" s="41"/>
      <c r="U39" s="41"/>
      <c r="V39" s="41"/>
      <c r="W39" s="41"/>
    </row>
    <row r="40" spans="1:23" s="93" customFormat="1" ht="12.5" x14ac:dyDescent="0.35">
      <c r="A40" s="28">
        <v>87</v>
      </c>
      <c r="B40" s="93" t="s">
        <v>40</v>
      </c>
      <c r="C40" s="41">
        <v>542</v>
      </c>
      <c r="D40" s="43">
        <v>424</v>
      </c>
      <c r="E40" s="43">
        <v>118</v>
      </c>
      <c r="F40" s="43">
        <v>113</v>
      </c>
      <c r="G40" s="43">
        <v>1</v>
      </c>
      <c r="H40" s="43">
        <v>2</v>
      </c>
      <c r="I40" s="43">
        <v>1</v>
      </c>
      <c r="J40" s="43">
        <v>0</v>
      </c>
      <c r="K40" s="43">
        <v>1</v>
      </c>
      <c r="L40" s="43">
        <v>14360</v>
      </c>
      <c r="N40" s="41"/>
      <c r="O40" s="41"/>
      <c r="P40" s="41"/>
      <c r="Q40" s="41"/>
      <c r="R40" s="41"/>
      <c r="S40" s="41"/>
      <c r="T40" s="41"/>
      <c r="U40" s="41"/>
      <c r="V40" s="41"/>
      <c r="W40" s="41"/>
    </row>
    <row r="41" spans="1:23" s="93" customFormat="1" ht="14.5" x14ac:dyDescent="0.35">
      <c r="A41" s="28">
        <v>90</v>
      </c>
      <c r="B41" s="93" t="s">
        <v>88</v>
      </c>
      <c r="C41" s="41">
        <v>317</v>
      </c>
      <c r="D41" s="43">
        <v>183</v>
      </c>
      <c r="E41" s="43">
        <v>134</v>
      </c>
      <c r="F41" s="43">
        <v>129</v>
      </c>
      <c r="G41" s="43">
        <v>2</v>
      </c>
      <c r="H41" s="43">
        <v>2</v>
      </c>
      <c r="I41" s="43">
        <v>0</v>
      </c>
      <c r="J41" s="43">
        <v>1</v>
      </c>
      <c r="K41" s="43">
        <v>0</v>
      </c>
      <c r="L41" s="43">
        <v>25825</v>
      </c>
      <c r="N41" s="41"/>
      <c r="O41" s="41"/>
      <c r="P41" s="41"/>
      <c r="Q41" s="41"/>
      <c r="R41" s="41"/>
      <c r="S41" s="41"/>
      <c r="T41" s="41"/>
      <c r="U41" s="41"/>
      <c r="V41" s="41"/>
      <c r="W41" s="41"/>
    </row>
    <row r="42" spans="1:23" s="93" customFormat="1" ht="12.5" x14ac:dyDescent="0.35">
      <c r="A42" s="28">
        <v>91</v>
      </c>
      <c r="B42" s="93" t="s">
        <v>43</v>
      </c>
      <c r="C42" s="41">
        <v>386</v>
      </c>
      <c r="D42" s="43">
        <v>330</v>
      </c>
      <c r="E42" s="43">
        <v>56</v>
      </c>
      <c r="F42" s="43">
        <v>53</v>
      </c>
      <c r="G42" s="43">
        <v>6</v>
      </c>
      <c r="H42" s="43">
        <v>9</v>
      </c>
      <c r="I42" s="43">
        <v>0</v>
      </c>
      <c r="J42" s="43">
        <v>0</v>
      </c>
      <c r="K42" s="43">
        <v>36</v>
      </c>
      <c r="L42" s="43">
        <v>34553</v>
      </c>
      <c r="N42" s="41"/>
      <c r="O42" s="41"/>
      <c r="P42" s="41"/>
      <c r="Q42" s="41"/>
      <c r="R42" s="41"/>
      <c r="S42" s="41"/>
      <c r="T42" s="41"/>
      <c r="U42" s="41"/>
      <c r="V42" s="41"/>
      <c r="W42" s="41"/>
    </row>
    <row r="43" spans="1:23" s="93" customFormat="1" ht="12.5" x14ac:dyDescent="0.35">
      <c r="A43" s="28">
        <v>92</v>
      </c>
      <c r="B43" s="93" t="s">
        <v>44</v>
      </c>
      <c r="C43" s="41">
        <v>1148</v>
      </c>
      <c r="D43" s="43">
        <v>792</v>
      </c>
      <c r="E43" s="43">
        <v>356</v>
      </c>
      <c r="F43" s="43">
        <v>1173</v>
      </c>
      <c r="G43" s="43">
        <v>16</v>
      </c>
      <c r="H43" s="43">
        <v>3</v>
      </c>
      <c r="I43" s="43">
        <v>2</v>
      </c>
      <c r="J43" s="43">
        <v>1</v>
      </c>
      <c r="K43" s="43">
        <v>5</v>
      </c>
      <c r="L43" s="43">
        <v>27697.25</v>
      </c>
      <c r="N43" s="41"/>
      <c r="O43" s="41"/>
      <c r="P43" s="41"/>
      <c r="Q43" s="41"/>
      <c r="R43" s="41"/>
      <c r="S43" s="41"/>
      <c r="T43" s="41"/>
      <c r="U43" s="41"/>
      <c r="V43" s="41"/>
      <c r="W43" s="41"/>
    </row>
    <row r="44" spans="1:23" s="93" customFormat="1" ht="12.5" x14ac:dyDescent="0.35">
      <c r="A44" s="28">
        <v>94</v>
      </c>
      <c r="B44" s="93" t="s">
        <v>46</v>
      </c>
      <c r="C44" s="41">
        <v>599</v>
      </c>
      <c r="D44" s="43">
        <v>372</v>
      </c>
      <c r="E44" s="43">
        <v>227</v>
      </c>
      <c r="F44" s="43">
        <v>13</v>
      </c>
      <c r="G44" s="43">
        <v>13</v>
      </c>
      <c r="H44" s="43">
        <v>10</v>
      </c>
      <c r="I44" s="43">
        <v>0</v>
      </c>
      <c r="J44" s="43">
        <v>0</v>
      </c>
      <c r="K44" s="43">
        <v>176</v>
      </c>
      <c r="L44" s="43">
        <v>13749</v>
      </c>
      <c r="N44" s="41"/>
      <c r="O44" s="41"/>
      <c r="P44" s="41"/>
      <c r="Q44" s="41"/>
      <c r="R44" s="41"/>
      <c r="S44" s="41"/>
      <c r="T44" s="41"/>
      <c r="U44" s="41"/>
      <c r="V44" s="41"/>
      <c r="W44" s="41"/>
    </row>
    <row r="45" spans="1:23" s="93" customFormat="1" ht="12.5" x14ac:dyDescent="0.35">
      <c r="A45" s="28">
        <v>96</v>
      </c>
      <c r="B45" s="93" t="s">
        <v>48</v>
      </c>
      <c r="C45" s="41">
        <v>394</v>
      </c>
      <c r="D45" s="43">
        <v>373</v>
      </c>
      <c r="E45" s="43">
        <v>21</v>
      </c>
      <c r="F45" s="43">
        <v>61</v>
      </c>
      <c r="G45" s="43">
        <v>13</v>
      </c>
      <c r="H45" s="43">
        <v>8</v>
      </c>
      <c r="I45" s="43">
        <v>2</v>
      </c>
      <c r="J45" s="43">
        <v>0</v>
      </c>
      <c r="K45" s="43">
        <v>18</v>
      </c>
      <c r="L45" s="43">
        <v>20251</v>
      </c>
      <c r="N45" s="41"/>
      <c r="O45" s="41"/>
      <c r="P45" s="41"/>
      <c r="Q45" s="41"/>
      <c r="R45" s="41"/>
      <c r="S45" s="41"/>
      <c r="T45" s="41"/>
      <c r="U45" s="41"/>
      <c r="V45" s="41"/>
      <c r="W45" s="41"/>
    </row>
    <row r="46" spans="1:23" s="93" customFormat="1" ht="12.5" x14ac:dyDescent="0.35">
      <c r="A46" s="28">
        <v>98</v>
      </c>
      <c r="B46" s="93" t="s">
        <v>50</v>
      </c>
      <c r="C46" s="41" t="s">
        <v>114</v>
      </c>
      <c r="D46" s="41" t="s">
        <v>114</v>
      </c>
      <c r="E46" s="41" t="s">
        <v>114</v>
      </c>
      <c r="F46" s="41" t="s">
        <v>114</v>
      </c>
      <c r="G46" s="41" t="s">
        <v>114</v>
      </c>
      <c r="H46" s="41" t="s">
        <v>114</v>
      </c>
      <c r="I46" s="41" t="s">
        <v>114</v>
      </c>
      <c r="J46" s="41" t="s">
        <v>114</v>
      </c>
      <c r="K46" s="41" t="s">
        <v>114</v>
      </c>
      <c r="L46" s="41" t="s">
        <v>114</v>
      </c>
      <c r="N46" s="41"/>
      <c r="O46" s="41"/>
      <c r="P46" s="41"/>
      <c r="Q46" s="41"/>
      <c r="R46" s="41"/>
      <c r="S46" s="41"/>
      <c r="T46" s="41"/>
      <c r="U46" s="41"/>
      <c r="V46" s="41"/>
      <c r="W46" s="41"/>
    </row>
    <row r="47" spans="1:23" s="93" customFormat="1" ht="12.5" x14ac:dyDescent="0.35">
      <c r="A47" s="28">
        <v>72</v>
      </c>
      <c r="B47" s="93" t="s">
        <v>28</v>
      </c>
      <c r="C47" s="41">
        <v>7</v>
      </c>
      <c r="D47" s="43">
        <v>7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340</v>
      </c>
      <c r="N47" s="41"/>
      <c r="O47" s="41"/>
      <c r="P47" s="41"/>
      <c r="Q47" s="41"/>
      <c r="R47" s="41"/>
      <c r="S47" s="41"/>
      <c r="T47" s="41"/>
      <c r="U47" s="41"/>
      <c r="V47" s="41"/>
      <c r="W47" s="41"/>
    </row>
    <row r="48" spans="1:23" s="37" customFormat="1" ht="26.25" customHeight="1" x14ac:dyDescent="0.35">
      <c r="B48" s="37" t="s">
        <v>56</v>
      </c>
      <c r="C48" s="42">
        <f>SUM(C49:C55)</f>
        <v>25255</v>
      </c>
      <c r="D48" s="42">
        <f t="shared" ref="D48:L48" si="2">SUM(D49:D55)</f>
        <v>17207</v>
      </c>
      <c r="E48" s="42">
        <f t="shared" si="2"/>
        <v>8048</v>
      </c>
      <c r="F48" s="42">
        <f t="shared" si="2"/>
        <v>5268</v>
      </c>
      <c r="G48" s="42">
        <f t="shared" si="2"/>
        <v>638</v>
      </c>
      <c r="H48" s="42">
        <f t="shared" si="2"/>
        <v>182</v>
      </c>
      <c r="I48" s="42">
        <f t="shared" si="2"/>
        <v>21</v>
      </c>
      <c r="J48" s="42">
        <f t="shared" si="2"/>
        <v>8</v>
      </c>
      <c r="K48" s="42">
        <f t="shared" si="2"/>
        <v>875</v>
      </c>
      <c r="L48" s="42">
        <f t="shared" si="2"/>
        <v>507453</v>
      </c>
      <c r="N48" s="41"/>
      <c r="O48" s="41"/>
      <c r="P48" s="41"/>
      <c r="Q48" s="41"/>
      <c r="R48" s="41"/>
      <c r="S48" s="41"/>
      <c r="T48" s="41"/>
      <c r="U48" s="41"/>
      <c r="V48" s="41"/>
      <c r="W48" s="41"/>
    </row>
    <row r="49" spans="1:23" s="93" customFormat="1" ht="12.5" x14ac:dyDescent="0.35">
      <c r="A49" s="28">
        <v>66</v>
      </c>
      <c r="B49" s="93" t="s">
        <v>22</v>
      </c>
      <c r="C49" s="41">
        <v>4595</v>
      </c>
      <c r="D49" s="43">
        <v>2738</v>
      </c>
      <c r="E49" s="43">
        <v>1857</v>
      </c>
      <c r="F49" s="43">
        <v>541</v>
      </c>
      <c r="G49" s="43">
        <v>69</v>
      </c>
      <c r="H49" s="43">
        <v>49</v>
      </c>
      <c r="I49" s="43">
        <v>5</v>
      </c>
      <c r="J49" s="43">
        <v>0</v>
      </c>
      <c r="K49" s="43">
        <v>7</v>
      </c>
      <c r="L49" s="43">
        <v>68001</v>
      </c>
      <c r="N49" s="41"/>
      <c r="O49" s="41"/>
      <c r="P49" s="41"/>
      <c r="Q49" s="41"/>
      <c r="R49" s="41"/>
      <c r="S49" s="41"/>
      <c r="T49" s="41"/>
      <c r="U49" s="41"/>
      <c r="V49" s="41"/>
      <c r="W49" s="41"/>
    </row>
    <row r="50" spans="1:23" s="93" customFormat="1" ht="12.5" x14ac:dyDescent="0.35">
      <c r="A50" s="28">
        <v>78</v>
      </c>
      <c r="B50" s="93" t="s">
        <v>33</v>
      </c>
      <c r="C50" s="41">
        <v>1166</v>
      </c>
      <c r="D50" s="43">
        <v>978</v>
      </c>
      <c r="E50" s="43">
        <v>188</v>
      </c>
      <c r="F50" s="43">
        <v>122</v>
      </c>
      <c r="G50" s="43">
        <v>33</v>
      </c>
      <c r="H50" s="43">
        <v>33</v>
      </c>
      <c r="I50" s="43">
        <v>4</v>
      </c>
      <c r="J50" s="43">
        <v>1</v>
      </c>
      <c r="K50" s="43">
        <v>64</v>
      </c>
      <c r="L50" s="43">
        <v>28898</v>
      </c>
      <c r="N50" s="41"/>
      <c r="O50" s="41"/>
      <c r="P50" s="41"/>
      <c r="Q50" s="41"/>
      <c r="R50" s="41"/>
      <c r="S50" s="41"/>
      <c r="T50" s="41"/>
      <c r="U50" s="41"/>
      <c r="V50" s="41"/>
      <c r="W50" s="41"/>
    </row>
    <row r="51" spans="1:23" s="93" customFormat="1" ht="12.5" x14ac:dyDescent="0.35">
      <c r="A51" s="28">
        <v>89</v>
      </c>
      <c r="B51" s="93" t="s">
        <v>41</v>
      </c>
      <c r="C51" s="41">
        <v>2340</v>
      </c>
      <c r="D51" s="43">
        <v>990</v>
      </c>
      <c r="E51" s="43">
        <v>1350</v>
      </c>
      <c r="F51" s="43">
        <v>1191</v>
      </c>
      <c r="G51" s="43">
        <v>38</v>
      </c>
      <c r="H51" s="43">
        <v>6</v>
      </c>
      <c r="I51" s="43">
        <v>0</v>
      </c>
      <c r="J51" s="43">
        <v>0</v>
      </c>
      <c r="K51" s="43">
        <v>109</v>
      </c>
      <c r="L51" s="43">
        <v>38258</v>
      </c>
      <c r="N51" s="41"/>
      <c r="O51" s="41"/>
      <c r="P51" s="41"/>
      <c r="Q51" s="41"/>
      <c r="R51" s="41"/>
      <c r="S51" s="41"/>
      <c r="T51" s="41"/>
      <c r="U51" s="41"/>
      <c r="V51" s="41"/>
      <c r="W51" s="41"/>
    </row>
    <row r="52" spans="1:23" s="93" customFormat="1" ht="12.5" x14ac:dyDescent="0.35">
      <c r="A52" s="28">
        <v>93</v>
      </c>
      <c r="B52" s="93" t="s">
        <v>57</v>
      </c>
      <c r="C52" s="41">
        <v>1745</v>
      </c>
      <c r="D52" s="43">
        <v>1189</v>
      </c>
      <c r="E52" s="43">
        <v>556</v>
      </c>
      <c r="F52" s="43">
        <v>548</v>
      </c>
      <c r="G52" s="43">
        <v>6</v>
      </c>
      <c r="H52" s="43">
        <v>5</v>
      </c>
      <c r="I52" s="43">
        <v>1</v>
      </c>
      <c r="J52" s="43">
        <v>3</v>
      </c>
      <c r="K52" s="43">
        <v>14</v>
      </c>
      <c r="L52" s="43">
        <v>31299</v>
      </c>
      <c r="N52" s="41"/>
      <c r="O52" s="41"/>
      <c r="P52" s="41"/>
      <c r="Q52" s="41"/>
      <c r="R52" s="41"/>
      <c r="S52" s="41"/>
      <c r="T52" s="41"/>
      <c r="U52" s="41"/>
      <c r="V52" s="41"/>
      <c r="W52" s="41"/>
    </row>
    <row r="53" spans="1:23" s="93" customFormat="1" ht="12.5" x14ac:dyDescent="0.35">
      <c r="A53" s="28">
        <v>95</v>
      </c>
      <c r="B53" s="93" t="s">
        <v>47</v>
      </c>
      <c r="C53" s="41">
        <v>1594</v>
      </c>
      <c r="D53" s="43">
        <v>360</v>
      </c>
      <c r="E53" s="43">
        <v>1234</v>
      </c>
      <c r="F53" s="43">
        <v>520</v>
      </c>
      <c r="G53" s="43">
        <v>25</v>
      </c>
      <c r="H53" s="43">
        <v>26</v>
      </c>
      <c r="I53" s="43">
        <v>6</v>
      </c>
      <c r="J53" s="43">
        <v>3</v>
      </c>
      <c r="K53" s="43">
        <v>132</v>
      </c>
      <c r="L53" s="43">
        <v>91154</v>
      </c>
      <c r="N53" s="41"/>
      <c r="O53" s="41"/>
      <c r="P53" s="41"/>
      <c r="Q53" s="41"/>
      <c r="R53" s="41"/>
      <c r="S53" s="41"/>
      <c r="T53" s="41"/>
      <c r="U53" s="41"/>
      <c r="V53" s="41"/>
      <c r="W53" s="41"/>
    </row>
    <row r="54" spans="1:23" s="93" customFormat="1" ht="12.5" x14ac:dyDescent="0.35">
      <c r="A54" s="28">
        <v>97</v>
      </c>
      <c r="B54" s="93" t="s">
        <v>49</v>
      </c>
      <c r="C54" s="41">
        <v>1184</v>
      </c>
      <c r="D54" s="43">
        <v>704</v>
      </c>
      <c r="E54" s="43">
        <v>480</v>
      </c>
      <c r="F54" s="43">
        <v>271</v>
      </c>
      <c r="G54" s="43">
        <v>79</v>
      </c>
      <c r="H54" s="43">
        <v>12</v>
      </c>
      <c r="I54" s="43">
        <v>0</v>
      </c>
      <c r="J54" s="43">
        <v>1</v>
      </c>
      <c r="K54" s="43">
        <v>133</v>
      </c>
      <c r="L54" s="43">
        <v>81416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</row>
    <row r="55" spans="1:23" s="93" customFormat="1" ht="12.5" x14ac:dyDescent="0.35">
      <c r="A55" s="28">
        <v>77</v>
      </c>
      <c r="B55" s="92" t="s">
        <v>21</v>
      </c>
      <c r="C55" s="41">
        <v>12631</v>
      </c>
      <c r="D55" s="43">
        <v>10248</v>
      </c>
      <c r="E55" s="43">
        <v>2383</v>
      </c>
      <c r="F55" s="43">
        <v>2075</v>
      </c>
      <c r="G55" s="43">
        <v>388</v>
      </c>
      <c r="H55" s="43">
        <v>51</v>
      </c>
      <c r="I55" s="43">
        <v>5</v>
      </c>
      <c r="J55" s="43">
        <v>0</v>
      </c>
      <c r="K55" s="43">
        <v>416</v>
      </c>
      <c r="L55" s="43">
        <v>168427</v>
      </c>
      <c r="N55" s="41"/>
      <c r="O55" s="41"/>
      <c r="P55" s="41"/>
      <c r="Q55" s="41"/>
      <c r="R55" s="41"/>
      <c r="S55" s="41"/>
      <c r="T55" s="41"/>
      <c r="U55" s="41"/>
      <c r="V55" s="41"/>
      <c r="W55" s="41"/>
    </row>
    <row r="56" spans="1:23" s="93" customFormat="1" ht="6" customHeight="1" x14ac:dyDescent="0.35">
      <c r="B56" s="50"/>
      <c r="C56" s="50"/>
      <c r="I56" s="51"/>
    </row>
    <row r="57" spans="1:23" s="93" customFormat="1" ht="14.25" customHeight="1" x14ac:dyDescent="0.35">
      <c r="B57" s="52" t="s">
        <v>89</v>
      </c>
      <c r="C57" s="50"/>
      <c r="I57" s="51"/>
    </row>
    <row r="58" spans="1:23" s="93" customFormat="1" ht="14.25" customHeight="1" x14ac:dyDescent="0.35">
      <c r="B58" s="52" t="s">
        <v>90</v>
      </c>
      <c r="C58" s="50"/>
      <c r="I58" s="51"/>
    </row>
    <row r="59" spans="1:23" s="93" customFormat="1" ht="14.25" customHeight="1" x14ac:dyDescent="0.35">
      <c r="B59" s="50"/>
      <c r="C59" s="50"/>
      <c r="I59" s="51"/>
    </row>
    <row r="60" spans="1:23" s="93" customFormat="1" x14ac:dyDescent="0.35">
      <c r="B60" s="53" t="s">
        <v>91</v>
      </c>
      <c r="C60" s="53"/>
      <c r="I60" s="54"/>
    </row>
    <row r="61" spans="1:23" s="93" customFormat="1" ht="9.75" customHeight="1" x14ac:dyDescent="0.35">
      <c r="I61" s="51"/>
    </row>
  </sheetData>
  <mergeCells count="11">
    <mergeCell ref="M3:M4"/>
    <mergeCell ref="B2:L2"/>
    <mergeCell ref="B3:B4"/>
    <mergeCell ref="C3:E3"/>
    <mergeCell ref="F3:F4"/>
    <mergeCell ref="G3:G4"/>
    <mergeCell ref="H3:H4"/>
    <mergeCell ref="I3:I4"/>
    <mergeCell ref="J3:J4"/>
    <mergeCell ref="K3:K4"/>
    <mergeCell ref="L3:L4"/>
  </mergeCells>
  <pageMargins left="0.48" right="0.31" top="0.24" bottom="0.16" header="0.5" footer="0.16"/>
  <pageSetup paperSize="9" scale="6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FF0000"/>
    <pageSetUpPr fitToPage="1"/>
  </sheetPr>
  <dimension ref="A2:Z61"/>
  <sheetViews>
    <sheetView showGridLines="0" zoomScale="85" zoomScaleNormal="85" workbookViewId="0">
      <pane xSplit="2" ySplit="4" topLeftCell="C5" activePane="bottomRight" state="frozen"/>
      <selection activeCell="B1" sqref="B1"/>
      <selection pane="topRight" activeCell="C1" sqref="C1"/>
      <selection pane="bottomLeft" activeCell="B4" sqref="B4"/>
      <selection pane="bottomRight" activeCell="L11" sqref="L11"/>
    </sheetView>
  </sheetViews>
  <sheetFormatPr defaultRowHeight="13" x14ac:dyDescent="0.3"/>
  <cols>
    <col min="1" max="1" width="3" style="31" hidden="1" customWidth="1"/>
    <col min="2" max="2" width="25.54296875" style="31" customWidth="1"/>
    <col min="3" max="3" width="17" style="31" customWidth="1"/>
    <col min="4" max="4" width="11.453125" style="31" customWidth="1"/>
    <col min="5" max="5" width="14.453125" style="55" customWidth="1"/>
    <col min="6" max="6" width="12.54296875" style="55" customWidth="1"/>
    <col min="7" max="9" width="13.6328125" style="55" customWidth="1"/>
    <col min="10" max="11" width="13.6328125" style="31" customWidth="1"/>
    <col min="12" max="12" width="13.453125" style="31" customWidth="1"/>
    <col min="13" max="256" width="9.08984375" style="31"/>
    <col min="257" max="257" width="0" style="31" hidden="1" customWidth="1"/>
    <col min="258" max="258" width="25.54296875" style="31" customWidth="1"/>
    <col min="259" max="259" width="17" style="31" customWidth="1"/>
    <col min="260" max="260" width="11.453125" style="31" customWidth="1"/>
    <col min="261" max="261" width="14.453125" style="31" customWidth="1"/>
    <col min="262" max="262" width="12.54296875" style="31" customWidth="1"/>
    <col min="263" max="267" width="13.6328125" style="31" customWidth="1"/>
    <col min="268" max="268" width="13.453125" style="31" customWidth="1"/>
    <col min="269" max="512" width="9.08984375" style="31"/>
    <col min="513" max="513" width="0" style="31" hidden="1" customWidth="1"/>
    <col min="514" max="514" width="25.54296875" style="31" customWidth="1"/>
    <col min="515" max="515" width="17" style="31" customWidth="1"/>
    <col min="516" max="516" width="11.453125" style="31" customWidth="1"/>
    <col min="517" max="517" width="14.453125" style="31" customWidth="1"/>
    <col min="518" max="518" width="12.54296875" style="31" customWidth="1"/>
    <col min="519" max="523" width="13.6328125" style="31" customWidth="1"/>
    <col min="524" max="524" width="13.453125" style="31" customWidth="1"/>
    <col min="525" max="768" width="9.08984375" style="31"/>
    <col min="769" max="769" width="0" style="31" hidden="1" customWidth="1"/>
    <col min="770" max="770" width="25.54296875" style="31" customWidth="1"/>
    <col min="771" max="771" width="17" style="31" customWidth="1"/>
    <col min="772" max="772" width="11.453125" style="31" customWidth="1"/>
    <col min="773" max="773" width="14.453125" style="31" customWidth="1"/>
    <col min="774" max="774" width="12.54296875" style="31" customWidth="1"/>
    <col min="775" max="779" width="13.6328125" style="31" customWidth="1"/>
    <col min="780" max="780" width="13.453125" style="31" customWidth="1"/>
    <col min="781" max="1024" width="9.08984375" style="31"/>
    <col min="1025" max="1025" width="0" style="31" hidden="1" customWidth="1"/>
    <col min="1026" max="1026" width="25.54296875" style="31" customWidth="1"/>
    <col min="1027" max="1027" width="17" style="31" customWidth="1"/>
    <col min="1028" max="1028" width="11.453125" style="31" customWidth="1"/>
    <col min="1029" max="1029" width="14.453125" style="31" customWidth="1"/>
    <col min="1030" max="1030" width="12.54296875" style="31" customWidth="1"/>
    <col min="1031" max="1035" width="13.6328125" style="31" customWidth="1"/>
    <col min="1036" max="1036" width="13.453125" style="31" customWidth="1"/>
    <col min="1037" max="1280" width="9.08984375" style="31"/>
    <col min="1281" max="1281" width="0" style="31" hidden="1" customWidth="1"/>
    <col min="1282" max="1282" width="25.54296875" style="31" customWidth="1"/>
    <col min="1283" max="1283" width="17" style="31" customWidth="1"/>
    <col min="1284" max="1284" width="11.453125" style="31" customWidth="1"/>
    <col min="1285" max="1285" width="14.453125" style="31" customWidth="1"/>
    <col min="1286" max="1286" width="12.54296875" style="31" customWidth="1"/>
    <col min="1287" max="1291" width="13.6328125" style="31" customWidth="1"/>
    <col min="1292" max="1292" width="13.453125" style="31" customWidth="1"/>
    <col min="1293" max="1536" width="9.08984375" style="31"/>
    <col min="1537" max="1537" width="0" style="31" hidden="1" customWidth="1"/>
    <col min="1538" max="1538" width="25.54296875" style="31" customWidth="1"/>
    <col min="1539" max="1539" width="17" style="31" customWidth="1"/>
    <col min="1540" max="1540" width="11.453125" style="31" customWidth="1"/>
    <col min="1541" max="1541" width="14.453125" style="31" customWidth="1"/>
    <col min="1542" max="1542" width="12.54296875" style="31" customWidth="1"/>
    <col min="1543" max="1547" width="13.6328125" style="31" customWidth="1"/>
    <col min="1548" max="1548" width="13.453125" style="31" customWidth="1"/>
    <col min="1549" max="1792" width="9.08984375" style="31"/>
    <col min="1793" max="1793" width="0" style="31" hidden="1" customWidth="1"/>
    <col min="1794" max="1794" width="25.54296875" style="31" customWidth="1"/>
    <col min="1795" max="1795" width="17" style="31" customWidth="1"/>
    <col min="1796" max="1796" width="11.453125" style="31" customWidth="1"/>
    <col min="1797" max="1797" width="14.453125" style="31" customWidth="1"/>
    <col min="1798" max="1798" width="12.54296875" style="31" customWidth="1"/>
    <col min="1799" max="1803" width="13.6328125" style="31" customWidth="1"/>
    <col min="1804" max="1804" width="13.453125" style="31" customWidth="1"/>
    <col min="1805" max="2048" width="9.08984375" style="31"/>
    <col min="2049" max="2049" width="0" style="31" hidden="1" customWidth="1"/>
    <col min="2050" max="2050" width="25.54296875" style="31" customWidth="1"/>
    <col min="2051" max="2051" width="17" style="31" customWidth="1"/>
    <col min="2052" max="2052" width="11.453125" style="31" customWidth="1"/>
    <col min="2053" max="2053" width="14.453125" style="31" customWidth="1"/>
    <col min="2054" max="2054" width="12.54296875" style="31" customWidth="1"/>
    <col min="2055" max="2059" width="13.6328125" style="31" customWidth="1"/>
    <col min="2060" max="2060" width="13.453125" style="31" customWidth="1"/>
    <col min="2061" max="2304" width="9.08984375" style="31"/>
    <col min="2305" max="2305" width="0" style="31" hidden="1" customWidth="1"/>
    <col min="2306" max="2306" width="25.54296875" style="31" customWidth="1"/>
    <col min="2307" max="2307" width="17" style="31" customWidth="1"/>
    <col min="2308" max="2308" width="11.453125" style="31" customWidth="1"/>
    <col min="2309" max="2309" width="14.453125" style="31" customWidth="1"/>
    <col min="2310" max="2310" width="12.54296875" style="31" customWidth="1"/>
    <col min="2311" max="2315" width="13.6328125" style="31" customWidth="1"/>
    <col min="2316" max="2316" width="13.453125" style="31" customWidth="1"/>
    <col min="2317" max="2560" width="9.08984375" style="31"/>
    <col min="2561" max="2561" width="0" style="31" hidden="1" customWidth="1"/>
    <col min="2562" max="2562" width="25.54296875" style="31" customWidth="1"/>
    <col min="2563" max="2563" width="17" style="31" customWidth="1"/>
    <col min="2564" max="2564" width="11.453125" style="31" customWidth="1"/>
    <col min="2565" max="2565" width="14.453125" style="31" customWidth="1"/>
    <col min="2566" max="2566" width="12.54296875" style="31" customWidth="1"/>
    <col min="2567" max="2571" width="13.6328125" style="31" customWidth="1"/>
    <col min="2572" max="2572" width="13.453125" style="31" customWidth="1"/>
    <col min="2573" max="2816" width="9.08984375" style="31"/>
    <col min="2817" max="2817" width="0" style="31" hidden="1" customWidth="1"/>
    <col min="2818" max="2818" width="25.54296875" style="31" customWidth="1"/>
    <col min="2819" max="2819" width="17" style="31" customWidth="1"/>
    <col min="2820" max="2820" width="11.453125" style="31" customWidth="1"/>
    <col min="2821" max="2821" width="14.453125" style="31" customWidth="1"/>
    <col min="2822" max="2822" width="12.54296875" style="31" customWidth="1"/>
    <col min="2823" max="2827" width="13.6328125" style="31" customWidth="1"/>
    <col min="2828" max="2828" width="13.453125" style="31" customWidth="1"/>
    <col min="2829" max="3072" width="9.08984375" style="31"/>
    <col min="3073" max="3073" width="0" style="31" hidden="1" customWidth="1"/>
    <col min="3074" max="3074" width="25.54296875" style="31" customWidth="1"/>
    <col min="3075" max="3075" width="17" style="31" customWidth="1"/>
    <col min="3076" max="3076" width="11.453125" style="31" customWidth="1"/>
    <col min="3077" max="3077" width="14.453125" style="31" customWidth="1"/>
    <col min="3078" max="3078" width="12.54296875" style="31" customWidth="1"/>
    <col min="3079" max="3083" width="13.6328125" style="31" customWidth="1"/>
    <col min="3084" max="3084" width="13.453125" style="31" customWidth="1"/>
    <col min="3085" max="3328" width="9.08984375" style="31"/>
    <col min="3329" max="3329" width="0" style="31" hidden="1" customWidth="1"/>
    <col min="3330" max="3330" width="25.54296875" style="31" customWidth="1"/>
    <col min="3331" max="3331" width="17" style="31" customWidth="1"/>
    <col min="3332" max="3332" width="11.453125" style="31" customWidth="1"/>
    <col min="3333" max="3333" width="14.453125" style="31" customWidth="1"/>
    <col min="3334" max="3334" width="12.54296875" style="31" customWidth="1"/>
    <col min="3335" max="3339" width="13.6328125" style="31" customWidth="1"/>
    <col min="3340" max="3340" width="13.453125" style="31" customWidth="1"/>
    <col min="3341" max="3584" width="9.08984375" style="31"/>
    <col min="3585" max="3585" width="0" style="31" hidden="1" customWidth="1"/>
    <col min="3586" max="3586" width="25.54296875" style="31" customWidth="1"/>
    <col min="3587" max="3587" width="17" style="31" customWidth="1"/>
    <col min="3588" max="3588" width="11.453125" style="31" customWidth="1"/>
    <col min="3589" max="3589" width="14.453125" style="31" customWidth="1"/>
    <col min="3590" max="3590" width="12.54296875" style="31" customWidth="1"/>
    <col min="3591" max="3595" width="13.6328125" style="31" customWidth="1"/>
    <col min="3596" max="3596" width="13.453125" style="31" customWidth="1"/>
    <col min="3597" max="3840" width="9.08984375" style="31"/>
    <col min="3841" max="3841" width="0" style="31" hidden="1" customWidth="1"/>
    <col min="3842" max="3842" width="25.54296875" style="31" customWidth="1"/>
    <col min="3843" max="3843" width="17" style="31" customWidth="1"/>
    <col min="3844" max="3844" width="11.453125" style="31" customWidth="1"/>
    <col min="3845" max="3845" width="14.453125" style="31" customWidth="1"/>
    <col min="3846" max="3846" width="12.54296875" style="31" customWidth="1"/>
    <col min="3847" max="3851" width="13.6328125" style="31" customWidth="1"/>
    <col min="3852" max="3852" width="13.453125" style="31" customWidth="1"/>
    <col min="3853" max="4096" width="9.08984375" style="31"/>
    <col min="4097" max="4097" width="0" style="31" hidden="1" customWidth="1"/>
    <col min="4098" max="4098" width="25.54296875" style="31" customWidth="1"/>
    <col min="4099" max="4099" width="17" style="31" customWidth="1"/>
    <col min="4100" max="4100" width="11.453125" style="31" customWidth="1"/>
    <col min="4101" max="4101" width="14.453125" style="31" customWidth="1"/>
    <col min="4102" max="4102" width="12.54296875" style="31" customWidth="1"/>
    <col min="4103" max="4107" width="13.6328125" style="31" customWidth="1"/>
    <col min="4108" max="4108" width="13.453125" style="31" customWidth="1"/>
    <col min="4109" max="4352" width="9.08984375" style="31"/>
    <col min="4353" max="4353" width="0" style="31" hidden="1" customWidth="1"/>
    <col min="4354" max="4354" width="25.54296875" style="31" customWidth="1"/>
    <col min="4355" max="4355" width="17" style="31" customWidth="1"/>
    <col min="4356" max="4356" width="11.453125" style="31" customWidth="1"/>
    <col min="4357" max="4357" width="14.453125" style="31" customWidth="1"/>
    <col min="4358" max="4358" width="12.54296875" style="31" customWidth="1"/>
    <col min="4359" max="4363" width="13.6328125" style="31" customWidth="1"/>
    <col min="4364" max="4364" width="13.453125" style="31" customWidth="1"/>
    <col min="4365" max="4608" width="9.08984375" style="31"/>
    <col min="4609" max="4609" width="0" style="31" hidden="1" customWidth="1"/>
    <col min="4610" max="4610" width="25.54296875" style="31" customWidth="1"/>
    <col min="4611" max="4611" width="17" style="31" customWidth="1"/>
    <col min="4612" max="4612" width="11.453125" style="31" customWidth="1"/>
    <col min="4613" max="4613" width="14.453125" style="31" customWidth="1"/>
    <col min="4614" max="4614" width="12.54296875" style="31" customWidth="1"/>
    <col min="4615" max="4619" width="13.6328125" style="31" customWidth="1"/>
    <col min="4620" max="4620" width="13.453125" style="31" customWidth="1"/>
    <col min="4621" max="4864" width="9.08984375" style="31"/>
    <col min="4865" max="4865" width="0" style="31" hidden="1" customWidth="1"/>
    <col min="4866" max="4866" width="25.54296875" style="31" customWidth="1"/>
    <col min="4867" max="4867" width="17" style="31" customWidth="1"/>
    <col min="4868" max="4868" width="11.453125" style="31" customWidth="1"/>
    <col min="4869" max="4869" width="14.453125" style="31" customWidth="1"/>
    <col min="4870" max="4870" width="12.54296875" style="31" customWidth="1"/>
    <col min="4871" max="4875" width="13.6328125" style="31" customWidth="1"/>
    <col min="4876" max="4876" width="13.453125" style="31" customWidth="1"/>
    <col min="4877" max="5120" width="9.08984375" style="31"/>
    <col min="5121" max="5121" width="0" style="31" hidden="1" customWidth="1"/>
    <col min="5122" max="5122" width="25.54296875" style="31" customWidth="1"/>
    <col min="5123" max="5123" width="17" style="31" customWidth="1"/>
    <col min="5124" max="5124" width="11.453125" style="31" customWidth="1"/>
    <col min="5125" max="5125" width="14.453125" style="31" customWidth="1"/>
    <col min="5126" max="5126" width="12.54296875" style="31" customWidth="1"/>
    <col min="5127" max="5131" width="13.6328125" style="31" customWidth="1"/>
    <col min="5132" max="5132" width="13.453125" style="31" customWidth="1"/>
    <col min="5133" max="5376" width="9.08984375" style="31"/>
    <col min="5377" max="5377" width="0" style="31" hidden="1" customWidth="1"/>
    <col min="5378" max="5378" width="25.54296875" style="31" customWidth="1"/>
    <col min="5379" max="5379" width="17" style="31" customWidth="1"/>
    <col min="5380" max="5380" width="11.453125" style="31" customWidth="1"/>
    <col min="5381" max="5381" width="14.453125" style="31" customWidth="1"/>
    <col min="5382" max="5382" width="12.54296875" style="31" customWidth="1"/>
    <col min="5383" max="5387" width="13.6328125" style="31" customWidth="1"/>
    <col min="5388" max="5388" width="13.453125" style="31" customWidth="1"/>
    <col min="5389" max="5632" width="9.08984375" style="31"/>
    <col min="5633" max="5633" width="0" style="31" hidden="1" customWidth="1"/>
    <col min="5634" max="5634" width="25.54296875" style="31" customWidth="1"/>
    <col min="5635" max="5635" width="17" style="31" customWidth="1"/>
    <col min="5636" max="5636" width="11.453125" style="31" customWidth="1"/>
    <col min="5637" max="5637" width="14.453125" style="31" customWidth="1"/>
    <col min="5638" max="5638" width="12.54296875" style="31" customWidth="1"/>
    <col min="5639" max="5643" width="13.6328125" style="31" customWidth="1"/>
    <col min="5644" max="5644" width="13.453125" style="31" customWidth="1"/>
    <col min="5645" max="5888" width="9.08984375" style="31"/>
    <col min="5889" max="5889" width="0" style="31" hidden="1" customWidth="1"/>
    <col min="5890" max="5890" width="25.54296875" style="31" customWidth="1"/>
    <col min="5891" max="5891" width="17" style="31" customWidth="1"/>
    <col min="5892" max="5892" width="11.453125" style="31" customWidth="1"/>
    <col min="5893" max="5893" width="14.453125" style="31" customWidth="1"/>
    <col min="5894" max="5894" width="12.54296875" style="31" customWidth="1"/>
    <col min="5895" max="5899" width="13.6328125" style="31" customWidth="1"/>
    <col min="5900" max="5900" width="13.453125" style="31" customWidth="1"/>
    <col min="5901" max="6144" width="9.08984375" style="31"/>
    <col min="6145" max="6145" width="0" style="31" hidden="1" customWidth="1"/>
    <col min="6146" max="6146" width="25.54296875" style="31" customWidth="1"/>
    <col min="6147" max="6147" width="17" style="31" customWidth="1"/>
    <col min="6148" max="6148" width="11.453125" style="31" customWidth="1"/>
    <col min="6149" max="6149" width="14.453125" style="31" customWidth="1"/>
    <col min="6150" max="6150" width="12.54296875" style="31" customWidth="1"/>
    <col min="6151" max="6155" width="13.6328125" style="31" customWidth="1"/>
    <col min="6156" max="6156" width="13.453125" style="31" customWidth="1"/>
    <col min="6157" max="6400" width="9.08984375" style="31"/>
    <col min="6401" max="6401" width="0" style="31" hidden="1" customWidth="1"/>
    <col min="6402" max="6402" width="25.54296875" style="31" customWidth="1"/>
    <col min="6403" max="6403" width="17" style="31" customWidth="1"/>
    <col min="6404" max="6404" width="11.453125" style="31" customWidth="1"/>
    <col min="6405" max="6405" width="14.453125" style="31" customWidth="1"/>
    <col min="6406" max="6406" width="12.54296875" style="31" customWidth="1"/>
    <col min="6407" max="6411" width="13.6328125" style="31" customWidth="1"/>
    <col min="6412" max="6412" width="13.453125" style="31" customWidth="1"/>
    <col min="6413" max="6656" width="9.08984375" style="31"/>
    <col min="6657" max="6657" width="0" style="31" hidden="1" customWidth="1"/>
    <col min="6658" max="6658" width="25.54296875" style="31" customWidth="1"/>
    <col min="6659" max="6659" width="17" style="31" customWidth="1"/>
    <col min="6660" max="6660" width="11.453125" style="31" customWidth="1"/>
    <col min="6661" max="6661" width="14.453125" style="31" customWidth="1"/>
    <col min="6662" max="6662" width="12.54296875" style="31" customWidth="1"/>
    <col min="6663" max="6667" width="13.6328125" style="31" customWidth="1"/>
    <col min="6668" max="6668" width="13.453125" style="31" customWidth="1"/>
    <col min="6669" max="6912" width="9.08984375" style="31"/>
    <col min="6913" max="6913" width="0" style="31" hidden="1" customWidth="1"/>
    <col min="6914" max="6914" width="25.54296875" style="31" customWidth="1"/>
    <col min="6915" max="6915" width="17" style="31" customWidth="1"/>
    <col min="6916" max="6916" width="11.453125" style="31" customWidth="1"/>
    <col min="6917" max="6917" width="14.453125" style="31" customWidth="1"/>
    <col min="6918" max="6918" width="12.54296875" style="31" customWidth="1"/>
    <col min="6919" max="6923" width="13.6328125" style="31" customWidth="1"/>
    <col min="6924" max="6924" width="13.453125" style="31" customWidth="1"/>
    <col min="6925" max="7168" width="9.08984375" style="31"/>
    <col min="7169" max="7169" width="0" style="31" hidden="1" customWidth="1"/>
    <col min="7170" max="7170" width="25.54296875" style="31" customWidth="1"/>
    <col min="7171" max="7171" width="17" style="31" customWidth="1"/>
    <col min="7172" max="7172" width="11.453125" style="31" customWidth="1"/>
    <col min="7173" max="7173" width="14.453125" style="31" customWidth="1"/>
    <col min="7174" max="7174" width="12.54296875" style="31" customWidth="1"/>
    <col min="7175" max="7179" width="13.6328125" style="31" customWidth="1"/>
    <col min="7180" max="7180" width="13.453125" style="31" customWidth="1"/>
    <col min="7181" max="7424" width="9.08984375" style="31"/>
    <col min="7425" max="7425" width="0" style="31" hidden="1" customWidth="1"/>
    <col min="7426" max="7426" width="25.54296875" style="31" customWidth="1"/>
    <col min="7427" max="7427" width="17" style="31" customWidth="1"/>
    <col min="7428" max="7428" width="11.453125" style="31" customWidth="1"/>
    <col min="7429" max="7429" width="14.453125" style="31" customWidth="1"/>
    <col min="7430" max="7430" width="12.54296875" style="31" customWidth="1"/>
    <col min="7431" max="7435" width="13.6328125" style="31" customWidth="1"/>
    <col min="7436" max="7436" width="13.453125" style="31" customWidth="1"/>
    <col min="7437" max="7680" width="9.08984375" style="31"/>
    <col min="7681" max="7681" width="0" style="31" hidden="1" customWidth="1"/>
    <col min="7682" max="7682" width="25.54296875" style="31" customWidth="1"/>
    <col min="7683" max="7683" width="17" style="31" customWidth="1"/>
    <col min="7684" max="7684" width="11.453125" style="31" customWidth="1"/>
    <col min="7685" max="7685" width="14.453125" style="31" customWidth="1"/>
    <col min="7686" max="7686" width="12.54296875" style="31" customWidth="1"/>
    <col min="7687" max="7691" width="13.6328125" style="31" customWidth="1"/>
    <col min="7692" max="7692" width="13.453125" style="31" customWidth="1"/>
    <col min="7693" max="7936" width="9.08984375" style="31"/>
    <col min="7937" max="7937" width="0" style="31" hidden="1" customWidth="1"/>
    <col min="7938" max="7938" width="25.54296875" style="31" customWidth="1"/>
    <col min="7939" max="7939" width="17" style="31" customWidth="1"/>
    <col min="7940" max="7940" width="11.453125" style="31" customWidth="1"/>
    <col min="7941" max="7941" width="14.453125" style="31" customWidth="1"/>
    <col min="7942" max="7942" width="12.54296875" style="31" customWidth="1"/>
    <col min="7943" max="7947" width="13.6328125" style="31" customWidth="1"/>
    <col min="7948" max="7948" width="13.453125" style="31" customWidth="1"/>
    <col min="7949" max="8192" width="9.08984375" style="31"/>
    <col min="8193" max="8193" width="0" style="31" hidden="1" customWidth="1"/>
    <col min="8194" max="8194" width="25.54296875" style="31" customWidth="1"/>
    <col min="8195" max="8195" width="17" style="31" customWidth="1"/>
    <col min="8196" max="8196" width="11.453125" style="31" customWidth="1"/>
    <col min="8197" max="8197" width="14.453125" style="31" customWidth="1"/>
    <col min="8198" max="8198" width="12.54296875" style="31" customWidth="1"/>
    <col min="8199" max="8203" width="13.6328125" style="31" customWidth="1"/>
    <col min="8204" max="8204" width="13.453125" style="31" customWidth="1"/>
    <col min="8205" max="8448" width="9.08984375" style="31"/>
    <col min="8449" max="8449" width="0" style="31" hidden="1" customWidth="1"/>
    <col min="8450" max="8450" width="25.54296875" style="31" customWidth="1"/>
    <col min="8451" max="8451" width="17" style="31" customWidth="1"/>
    <col min="8452" max="8452" width="11.453125" style="31" customWidth="1"/>
    <col min="8453" max="8453" width="14.453125" style="31" customWidth="1"/>
    <col min="8454" max="8454" width="12.54296875" style="31" customWidth="1"/>
    <col min="8455" max="8459" width="13.6328125" style="31" customWidth="1"/>
    <col min="8460" max="8460" width="13.453125" style="31" customWidth="1"/>
    <col min="8461" max="8704" width="9.08984375" style="31"/>
    <col min="8705" max="8705" width="0" style="31" hidden="1" customWidth="1"/>
    <col min="8706" max="8706" width="25.54296875" style="31" customWidth="1"/>
    <col min="8707" max="8707" width="17" style="31" customWidth="1"/>
    <col min="8708" max="8708" width="11.453125" style="31" customWidth="1"/>
    <col min="8709" max="8709" width="14.453125" style="31" customWidth="1"/>
    <col min="8710" max="8710" width="12.54296875" style="31" customWidth="1"/>
    <col min="8711" max="8715" width="13.6328125" style="31" customWidth="1"/>
    <col min="8716" max="8716" width="13.453125" style="31" customWidth="1"/>
    <col min="8717" max="8960" width="9.08984375" style="31"/>
    <col min="8961" max="8961" width="0" style="31" hidden="1" customWidth="1"/>
    <col min="8962" max="8962" width="25.54296875" style="31" customWidth="1"/>
    <col min="8963" max="8963" width="17" style="31" customWidth="1"/>
    <col min="8964" max="8964" width="11.453125" style="31" customWidth="1"/>
    <col min="8965" max="8965" width="14.453125" style="31" customWidth="1"/>
    <col min="8966" max="8966" width="12.54296875" style="31" customWidth="1"/>
    <col min="8967" max="8971" width="13.6328125" style="31" customWidth="1"/>
    <col min="8972" max="8972" width="13.453125" style="31" customWidth="1"/>
    <col min="8973" max="9216" width="9.08984375" style="31"/>
    <col min="9217" max="9217" width="0" style="31" hidden="1" customWidth="1"/>
    <col min="9218" max="9218" width="25.54296875" style="31" customWidth="1"/>
    <col min="9219" max="9219" width="17" style="31" customWidth="1"/>
    <col min="9220" max="9220" width="11.453125" style="31" customWidth="1"/>
    <col min="9221" max="9221" width="14.453125" style="31" customWidth="1"/>
    <col min="9222" max="9222" width="12.54296875" style="31" customWidth="1"/>
    <col min="9223" max="9227" width="13.6328125" style="31" customWidth="1"/>
    <col min="9228" max="9228" width="13.453125" style="31" customWidth="1"/>
    <col min="9229" max="9472" width="9.08984375" style="31"/>
    <col min="9473" max="9473" width="0" style="31" hidden="1" customWidth="1"/>
    <col min="9474" max="9474" width="25.54296875" style="31" customWidth="1"/>
    <col min="9475" max="9475" width="17" style="31" customWidth="1"/>
    <col min="9476" max="9476" width="11.453125" style="31" customWidth="1"/>
    <col min="9477" max="9477" width="14.453125" style="31" customWidth="1"/>
    <col min="9478" max="9478" width="12.54296875" style="31" customWidth="1"/>
    <col min="9479" max="9483" width="13.6328125" style="31" customWidth="1"/>
    <col min="9484" max="9484" width="13.453125" style="31" customWidth="1"/>
    <col min="9485" max="9728" width="9.08984375" style="31"/>
    <col min="9729" max="9729" width="0" style="31" hidden="1" customWidth="1"/>
    <col min="9730" max="9730" width="25.54296875" style="31" customWidth="1"/>
    <col min="9731" max="9731" width="17" style="31" customWidth="1"/>
    <col min="9732" max="9732" width="11.453125" style="31" customWidth="1"/>
    <col min="9733" max="9733" width="14.453125" style="31" customWidth="1"/>
    <col min="9734" max="9734" width="12.54296875" style="31" customWidth="1"/>
    <col min="9735" max="9739" width="13.6328125" style="31" customWidth="1"/>
    <col min="9740" max="9740" width="13.453125" style="31" customWidth="1"/>
    <col min="9741" max="9984" width="9.08984375" style="31"/>
    <col min="9985" max="9985" width="0" style="31" hidden="1" customWidth="1"/>
    <col min="9986" max="9986" width="25.54296875" style="31" customWidth="1"/>
    <col min="9987" max="9987" width="17" style="31" customWidth="1"/>
    <col min="9988" max="9988" width="11.453125" style="31" customWidth="1"/>
    <col min="9989" max="9989" width="14.453125" style="31" customWidth="1"/>
    <col min="9990" max="9990" width="12.54296875" style="31" customWidth="1"/>
    <col min="9991" max="9995" width="13.6328125" style="31" customWidth="1"/>
    <col min="9996" max="9996" width="13.453125" style="31" customWidth="1"/>
    <col min="9997" max="10240" width="9.08984375" style="31"/>
    <col min="10241" max="10241" width="0" style="31" hidden="1" customWidth="1"/>
    <col min="10242" max="10242" width="25.54296875" style="31" customWidth="1"/>
    <col min="10243" max="10243" width="17" style="31" customWidth="1"/>
    <col min="10244" max="10244" width="11.453125" style="31" customWidth="1"/>
    <col min="10245" max="10245" width="14.453125" style="31" customWidth="1"/>
    <col min="10246" max="10246" width="12.54296875" style="31" customWidth="1"/>
    <col min="10247" max="10251" width="13.6328125" style="31" customWidth="1"/>
    <col min="10252" max="10252" width="13.453125" style="31" customWidth="1"/>
    <col min="10253" max="10496" width="9.08984375" style="31"/>
    <col min="10497" max="10497" width="0" style="31" hidden="1" customWidth="1"/>
    <col min="10498" max="10498" width="25.54296875" style="31" customWidth="1"/>
    <col min="10499" max="10499" width="17" style="31" customWidth="1"/>
    <col min="10500" max="10500" width="11.453125" style="31" customWidth="1"/>
    <col min="10501" max="10501" width="14.453125" style="31" customWidth="1"/>
    <col min="10502" max="10502" width="12.54296875" style="31" customWidth="1"/>
    <col min="10503" max="10507" width="13.6328125" style="31" customWidth="1"/>
    <col min="10508" max="10508" width="13.453125" style="31" customWidth="1"/>
    <col min="10509" max="10752" width="9.08984375" style="31"/>
    <col min="10753" max="10753" width="0" style="31" hidden="1" customWidth="1"/>
    <col min="10754" max="10754" width="25.54296875" style="31" customWidth="1"/>
    <col min="10755" max="10755" width="17" style="31" customWidth="1"/>
    <col min="10756" max="10756" width="11.453125" style="31" customWidth="1"/>
    <col min="10757" max="10757" width="14.453125" style="31" customWidth="1"/>
    <col min="10758" max="10758" width="12.54296875" style="31" customWidth="1"/>
    <col min="10759" max="10763" width="13.6328125" style="31" customWidth="1"/>
    <col min="10764" max="10764" width="13.453125" style="31" customWidth="1"/>
    <col min="10765" max="11008" width="9.08984375" style="31"/>
    <col min="11009" max="11009" width="0" style="31" hidden="1" customWidth="1"/>
    <col min="11010" max="11010" width="25.54296875" style="31" customWidth="1"/>
    <col min="11011" max="11011" width="17" style="31" customWidth="1"/>
    <col min="11012" max="11012" width="11.453125" style="31" customWidth="1"/>
    <col min="11013" max="11013" width="14.453125" style="31" customWidth="1"/>
    <col min="11014" max="11014" width="12.54296875" style="31" customWidth="1"/>
    <col min="11015" max="11019" width="13.6328125" style="31" customWidth="1"/>
    <col min="11020" max="11020" width="13.453125" style="31" customWidth="1"/>
    <col min="11021" max="11264" width="9.08984375" style="31"/>
    <col min="11265" max="11265" width="0" style="31" hidden="1" customWidth="1"/>
    <col min="11266" max="11266" width="25.54296875" style="31" customWidth="1"/>
    <col min="11267" max="11267" width="17" style="31" customWidth="1"/>
    <col min="11268" max="11268" width="11.453125" style="31" customWidth="1"/>
    <col min="11269" max="11269" width="14.453125" style="31" customWidth="1"/>
    <col min="11270" max="11270" width="12.54296875" style="31" customWidth="1"/>
    <col min="11271" max="11275" width="13.6328125" style="31" customWidth="1"/>
    <col min="11276" max="11276" width="13.453125" style="31" customWidth="1"/>
    <col min="11277" max="11520" width="9.08984375" style="31"/>
    <col min="11521" max="11521" width="0" style="31" hidden="1" customWidth="1"/>
    <col min="11522" max="11522" width="25.54296875" style="31" customWidth="1"/>
    <col min="11523" max="11523" width="17" style="31" customWidth="1"/>
    <col min="11524" max="11524" width="11.453125" style="31" customWidth="1"/>
    <col min="11525" max="11525" width="14.453125" style="31" customWidth="1"/>
    <col min="11526" max="11526" width="12.54296875" style="31" customWidth="1"/>
    <col min="11527" max="11531" width="13.6328125" style="31" customWidth="1"/>
    <col min="11532" max="11532" width="13.453125" style="31" customWidth="1"/>
    <col min="11533" max="11776" width="9.08984375" style="31"/>
    <col min="11777" max="11777" width="0" style="31" hidden="1" customWidth="1"/>
    <col min="11778" max="11778" width="25.54296875" style="31" customWidth="1"/>
    <col min="11779" max="11779" width="17" style="31" customWidth="1"/>
    <col min="11780" max="11780" width="11.453125" style="31" customWidth="1"/>
    <col min="11781" max="11781" width="14.453125" style="31" customWidth="1"/>
    <col min="11782" max="11782" width="12.54296875" style="31" customWidth="1"/>
    <col min="11783" max="11787" width="13.6328125" style="31" customWidth="1"/>
    <col min="11788" max="11788" width="13.453125" style="31" customWidth="1"/>
    <col min="11789" max="12032" width="9.08984375" style="31"/>
    <col min="12033" max="12033" width="0" style="31" hidden="1" customWidth="1"/>
    <col min="12034" max="12034" width="25.54296875" style="31" customWidth="1"/>
    <col min="12035" max="12035" width="17" style="31" customWidth="1"/>
    <col min="12036" max="12036" width="11.453125" style="31" customWidth="1"/>
    <col min="12037" max="12037" width="14.453125" style="31" customWidth="1"/>
    <col min="12038" max="12038" width="12.54296875" style="31" customWidth="1"/>
    <col min="12039" max="12043" width="13.6328125" style="31" customWidth="1"/>
    <col min="12044" max="12044" width="13.453125" style="31" customWidth="1"/>
    <col min="12045" max="12288" width="9.08984375" style="31"/>
    <col min="12289" max="12289" width="0" style="31" hidden="1" customWidth="1"/>
    <col min="12290" max="12290" width="25.54296875" style="31" customWidth="1"/>
    <col min="12291" max="12291" width="17" style="31" customWidth="1"/>
    <col min="12292" max="12292" width="11.453125" style="31" customWidth="1"/>
    <col min="12293" max="12293" width="14.453125" style="31" customWidth="1"/>
    <col min="12294" max="12294" width="12.54296875" style="31" customWidth="1"/>
    <col min="12295" max="12299" width="13.6328125" style="31" customWidth="1"/>
    <col min="12300" max="12300" width="13.453125" style="31" customWidth="1"/>
    <col min="12301" max="12544" width="9.08984375" style="31"/>
    <col min="12545" max="12545" width="0" style="31" hidden="1" customWidth="1"/>
    <col min="12546" max="12546" width="25.54296875" style="31" customWidth="1"/>
    <col min="12547" max="12547" width="17" style="31" customWidth="1"/>
    <col min="12548" max="12548" width="11.453125" style="31" customWidth="1"/>
    <col min="12549" max="12549" width="14.453125" style="31" customWidth="1"/>
    <col min="12550" max="12550" width="12.54296875" style="31" customWidth="1"/>
    <col min="12551" max="12555" width="13.6328125" style="31" customWidth="1"/>
    <col min="12556" max="12556" width="13.453125" style="31" customWidth="1"/>
    <col min="12557" max="12800" width="9.08984375" style="31"/>
    <col min="12801" max="12801" width="0" style="31" hidden="1" customWidth="1"/>
    <col min="12802" max="12802" width="25.54296875" style="31" customWidth="1"/>
    <col min="12803" max="12803" width="17" style="31" customWidth="1"/>
    <col min="12804" max="12804" width="11.453125" style="31" customWidth="1"/>
    <col min="12805" max="12805" width="14.453125" style="31" customWidth="1"/>
    <col min="12806" max="12806" width="12.54296875" style="31" customWidth="1"/>
    <col min="12807" max="12811" width="13.6328125" style="31" customWidth="1"/>
    <col min="12812" max="12812" width="13.453125" style="31" customWidth="1"/>
    <col min="12813" max="13056" width="9.08984375" style="31"/>
    <col min="13057" max="13057" width="0" style="31" hidden="1" customWidth="1"/>
    <col min="13058" max="13058" width="25.54296875" style="31" customWidth="1"/>
    <col min="13059" max="13059" width="17" style="31" customWidth="1"/>
    <col min="13060" max="13060" width="11.453125" style="31" customWidth="1"/>
    <col min="13061" max="13061" width="14.453125" style="31" customWidth="1"/>
    <col min="13062" max="13062" width="12.54296875" style="31" customWidth="1"/>
    <col min="13063" max="13067" width="13.6328125" style="31" customWidth="1"/>
    <col min="13068" max="13068" width="13.453125" style="31" customWidth="1"/>
    <col min="13069" max="13312" width="9.08984375" style="31"/>
    <col min="13313" max="13313" width="0" style="31" hidden="1" customWidth="1"/>
    <col min="13314" max="13314" width="25.54296875" style="31" customWidth="1"/>
    <col min="13315" max="13315" width="17" style="31" customWidth="1"/>
    <col min="13316" max="13316" width="11.453125" style="31" customWidth="1"/>
    <col min="13317" max="13317" width="14.453125" style="31" customWidth="1"/>
    <col min="13318" max="13318" width="12.54296875" style="31" customWidth="1"/>
    <col min="13319" max="13323" width="13.6328125" style="31" customWidth="1"/>
    <col min="13324" max="13324" width="13.453125" style="31" customWidth="1"/>
    <col min="13325" max="13568" width="9.08984375" style="31"/>
    <col min="13569" max="13569" width="0" style="31" hidden="1" customWidth="1"/>
    <col min="13570" max="13570" width="25.54296875" style="31" customWidth="1"/>
    <col min="13571" max="13571" width="17" style="31" customWidth="1"/>
    <col min="13572" max="13572" width="11.453125" style="31" customWidth="1"/>
    <col min="13573" max="13573" width="14.453125" style="31" customWidth="1"/>
    <col min="13574" max="13574" width="12.54296875" style="31" customWidth="1"/>
    <col min="13575" max="13579" width="13.6328125" style="31" customWidth="1"/>
    <col min="13580" max="13580" width="13.453125" style="31" customWidth="1"/>
    <col min="13581" max="13824" width="9.08984375" style="31"/>
    <col min="13825" max="13825" width="0" style="31" hidden="1" customWidth="1"/>
    <col min="13826" max="13826" width="25.54296875" style="31" customWidth="1"/>
    <col min="13827" max="13827" width="17" style="31" customWidth="1"/>
    <col min="13828" max="13828" width="11.453125" style="31" customWidth="1"/>
    <col min="13829" max="13829" width="14.453125" style="31" customWidth="1"/>
    <col min="13830" max="13830" width="12.54296875" style="31" customWidth="1"/>
    <col min="13831" max="13835" width="13.6328125" style="31" customWidth="1"/>
    <col min="13836" max="13836" width="13.453125" style="31" customWidth="1"/>
    <col min="13837" max="14080" width="9.08984375" style="31"/>
    <col min="14081" max="14081" width="0" style="31" hidden="1" customWidth="1"/>
    <col min="14082" max="14082" width="25.54296875" style="31" customWidth="1"/>
    <col min="14083" max="14083" width="17" style="31" customWidth="1"/>
    <col min="14084" max="14084" width="11.453125" style="31" customWidth="1"/>
    <col min="14085" max="14085" width="14.453125" style="31" customWidth="1"/>
    <col min="14086" max="14086" width="12.54296875" style="31" customWidth="1"/>
    <col min="14087" max="14091" width="13.6328125" style="31" customWidth="1"/>
    <col min="14092" max="14092" width="13.453125" style="31" customWidth="1"/>
    <col min="14093" max="14336" width="9.08984375" style="31"/>
    <col min="14337" max="14337" width="0" style="31" hidden="1" customWidth="1"/>
    <col min="14338" max="14338" width="25.54296875" style="31" customWidth="1"/>
    <col min="14339" max="14339" width="17" style="31" customWidth="1"/>
    <col min="14340" max="14340" width="11.453125" style="31" customWidth="1"/>
    <col min="14341" max="14341" width="14.453125" style="31" customWidth="1"/>
    <col min="14342" max="14342" width="12.54296875" style="31" customWidth="1"/>
    <col min="14343" max="14347" width="13.6328125" style="31" customWidth="1"/>
    <col min="14348" max="14348" width="13.453125" style="31" customWidth="1"/>
    <col min="14349" max="14592" width="9.08984375" style="31"/>
    <col min="14593" max="14593" width="0" style="31" hidden="1" customWidth="1"/>
    <col min="14594" max="14594" width="25.54296875" style="31" customWidth="1"/>
    <col min="14595" max="14595" width="17" style="31" customWidth="1"/>
    <col min="14596" max="14596" width="11.453125" style="31" customWidth="1"/>
    <col min="14597" max="14597" width="14.453125" style="31" customWidth="1"/>
    <col min="14598" max="14598" width="12.54296875" style="31" customWidth="1"/>
    <col min="14599" max="14603" width="13.6328125" style="31" customWidth="1"/>
    <col min="14604" max="14604" width="13.453125" style="31" customWidth="1"/>
    <col min="14605" max="14848" width="9.08984375" style="31"/>
    <col min="14849" max="14849" width="0" style="31" hidden="1" customWidth="1"/>
    <col min="14850" max="14850" width="25.54296875" style="31" customWidth="1"/>
    <col min="14851" max="14851" width="17" style="31" customWidth="1"/>
    <col min="14852" max="14852" width="11.453125" style="31" customWidth="1"/>
    <col min="14853" max="14853" width="14.453125" style="31" customWidth="1"/>
    <col min="14854" max="14854" width="12.54296875" style="31" customWidth="1"/>
    <col min="14855" max="14859" width="13.6328125" style="31" customWidth="1"/>
    <col min="14860" max="14860" width="13.453125" style="31" customWidth="1"/>
    <col min="14861" max="15104" width="9.08984375" style="31"/>
    <col min="15105" max="15105" width="0" style="31" hidden="1" customWidth="1"/>
    <col min="15106" max="15106" width="25.54296875" style="31" customWidth="1"/>
    <col min="15107" max="15107" width="17" style="31" customWidth="1"/>
    <col min="15108" max="15108" width="11.453125" style="31" customWidth="1"/>
    <col min="15109" max="15109" width="14.453125" style="31" customWidth="1"/>
    <col min="15110" max="15110" width="12.54296875" style="31" customWidth="1"/>
    <col min="15111" max="15115" width="13.6328125" style="31" customWidth="1"/>
    <col min="15116" max="15116" width="13.453125" style="31" customWidth="1"/>
    <col min="15117" max="15360" width="9.08984375" style="31"/>
    <col min="15361" max="15361" width="0" style="31" hidden="1" customWidth="1"/>
    <col min="15362" max="15362" width="25.54296875" style="31" customWidth="1"/>
    <col min="15363" max="15363" width="17" style="31" customWidth="1"/>
    <col min="15364" max="15364" width="11.453125" style="31" customWidth="1"/>
    <col min="15365" max="15365" width="14.453125" style="31" customWidth="1"/>
    <col min="15366" max="15366" width="12.54296875" style="31" customWidth="1"/>
    <col min="15367" max="15371" width="13.6328125" style="31" customWidth="1"/>
    <col min="15372" max="15372" width="13.453125" style="31" customWidth="1"/>
    <col min="15373" max="15616" width="9.08984375" style="31"/>
    <col min="15617" max="15617" width="0" style="31" hidden="1" customWidth="1"/>
    <col min="15618" max="15618" width="25.54296875" style="31" customWidth="1"/>
    <col min="15619" max="15619" width="17" style="31" customWidth="1"/>
    <col min="15620" max="15620" width="11.453125" style="31" customWidth="1"/>
    <col min="15621" max="15621" width="14.453125" style="31" customWidth="1"/>
    <col min="15622" max="15622" width="12.54296875" style="31" customWidth="1"/>
    <col min="15623" max="15627" width="13.6328125" style="31" customWidth="1"/>
    <col min="15628" max="15628" width="13.453125" style="31" customWidth="1"/>
    <col min="15629" max="15872" width="9.08984375" style="31"/>
    <col min="15873" max="15873" width="0" style="31" hidden="1" customWidth="1"/>
    <col min="15874" max="15874" width="25.54296875" style="31" customWidth="1"/>
    <col min="15875" max="15875" width="17" style="31" customWidth="1"/>
    <col min="15876" max="15876" width="11.453125" style="31" customWidth="1"/>
    <col min="15877" max="15877" width="14.453125" style="31" customWidth="1"/>
    <col min="15878" max="15878" width="12.54296875" style="31" customWidth="1"/>
    <col min="15879" max="15883" width="13.6328125" style="31" customWidth="1"/>
    <col min="15884" max="15884" width="13.453125" style="31" customWidth="1"/>
    <col min="15885" max="16128" width="9.08984375" style="31"/>
    <col min="16129" max="16129" width="0" style="31" hidden="1" customWidth="1"/>
    <col min="16130" max="16130" width="25.54296875" style="31" customWidth="1"/>
    <col min="16131" max="16131" width="17" style="31" customWidth="1"/>
    <col min="16132" max="16132" width="11.453125" style="31" customWidth="1"/>
    <col min="16133" max="16133" width="14.453125" style="31" customWidth="1"/>
    <col min="16134" max="16134" width="12.54296875" style="31" customWidth="1"/>
    <col min="16135" max="16139" width="13.6328125" style="31" customWidth="1"/>
    <col min="16140" max="16140" width="13.453125" style="31" customWidth="1"/>
    <col min="16141" max="16384" width="9.08984375" style="31"/>
  </cols>
  <sheetData>
    <row r="2" spans="1:26" ht="40.5" customHeight="1" x14ac:dyDescent="0.3">
      <c r="B2" s="120" t="s">
        <v>66</v>
      </c>
      <c r="C2" s="121"/>
      <c r="D2" s="122"/>
      <c r="E2" s="122"/>
      <c r="F2" s="122"/>
      <c r="G2" s="122"/>
      <c r="H2" s="122"/>
      <c r="I2" s="122"/>
      <c r="J2" s="122"/>
      <c r="K2" s="122"/>
      <c r="L2" s="123"/>
    </row>
    <row r="3" spans="1:26" s="98" customFormat="1" ht="43.5" customHeight="1" x14ac:dyDescent="0.35">
      <c r="B3" s="125"/>
      <c r="C3" s="117" t="s">
        <v>67</v>
      </c>
      <c r="D3" s="117"/>
      <c r="E3" s="117"/>
      <c r="F3" s="111" t="s">
        <v>68</v>
      </c>
      <c r="G3" s="111" t="s">
        <v>69</v>
      </c>
      <c r="H3" s="111" t="s">
        <v>70</v>
      </c>
      <c r="I3" s="111" t="s">
        <v>71</v>
      </c>
      <c r="J3" s="111" t="s">
        <v>72</v>
      </c>
      <c r="K3" s="111" t="s">
        <v>73</v>
      </c>
      <c r="L3" s="111" t="s">
        <v>74</v>
      </c>
      <c r="M3" s="111"/>
    </row>
    <row r="4" spans="1:26" s="98" customFormat="1" ht="47.25" customHeight="1" x14ac:dyDescent="0.35">
      <c r="B4" s="116"/>
      <c r="C4" s="33" t="s">
        <v>75</v>
      </c>
      <c r="D4" s="33" t="s">
        <v>76</v>
      </c>
      <c r="E4" s="33" t="s">
        <v>77</v>
      </c>
      <c r="F4" s="112"/>
      <c r="G4" s="112"/>
      <c r="H4" s="112"/>
      <c r="I4" s="112"/>
      <c r="J4" s="112"/>
      <c r="K4" s="112"/>
      <c r="L4" s="112"/>
      <c r="M4" s="112"/>
    </row>
    <row r="5" spans="1:26" s="98" customFormat="1" ht="18" hidden="1" customHeight="1" x14ac:dyDescent="0.35">
      <c r="D5" s="34" t="s">
        <v>78</v>
      </c>
      <c r="E5" s="34" t="s">
        <v>79</v>
      </c>
      <c r="F5" s="35" t="s">
        <v>80</v>
      </c>
      <c r="G5" s="35" t="s">
        <v>81</v>
      </c>
      <c r="H5" s="34" t="s">
        <v>82</v>
      </c>
      <c r="I5" s="34" t="s">
        <v>83</v>
      </c>
      <c r="J5" s="36" t="s">
        <v>84</v>
      </c>
      <c r="K5" s="98" t="s">
        <v>85</v>
      </c>
      <c r="L5" s="98" t="s">
        <v>86</v>
      </c>
    </row>
    <row r="6" spans="1:26" s="98" customFormat="1" ht="25.5" customHeight="1" x14ac:dyDescent="0.35">
      <c r="B6" s="37" t="s">
        <v>0</v>
      </c>
      <c r="C6" s="38">
        <f>C7+C48</f>
        <v>54247</v>
      </c>
      <c r="D6" s="38">
        <f t="shared" ref="D6:L6" si="0">D7+D48</f>
        <v>37096</v>
      </c>
      <c r="E6" s="38">
        <f t="shared" si="0"/>
        <v>17151</v>
      </c>
      <c r="F6" s="38">
        <f t="shared" si="0"/>
        <v>14200</v>
      </c>
      <c r="G6" s="38">
        <f t="shared" si="0"/>
        <v>1369</v>
      </c>
      <c r="H6" s="38">
        <f t="shared" si="0"/>
        <v>527</v>
      </c>
      <c r="I6" s="38">
        <f t="shared" si="0"/>
        <v>68</v>
      </c>
      <c r="J6" s="38">
        <f t="shared" si="0"/>
        <v>61</v>
      </c>
      <c r="K6" s="38">
        <f t="shared" si="0"/>
        <v>3332</v>
      </c>
      <c r="L6" s="38">
        <f t="shared" si="0"/>
        <v>1515170.25</v>
      </c>
      <c r="M6" s="39"/>
      <c r="N6" s="40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s="37" customFormat="1" ht="26.25" customHeight="1" x14ac:dyDescent="0.35">
      <c r="A7" s="27"/>
      <c r="B7" s="37" t="s">
        <v>52</v>
      </c>
      <c r="C7" s="42">
        <f>SUM(C8:C47)</f>
        <v>28992</v>
      </c>
      <c r="D7" s="42">
        <f t="shared" ref="D7:L7" si="1">SUM(D8:D47)</f>
        <v>19889</v>
      </c>
      <c r="E7" s="42">
        <f t="shared" si="1"/>
        <v>9103</v>
      </c>
      <c r="F7" s="42">
        <f t="shared" si="1"/>
        <v>8932</v>
      </c>
      <c r="G7" s="42">
        <f t="shared" si="1"/>
        <v>731</v>
      </c>
      <c r="H7" s="42">
        <f t="shared" si="1"/>
        <v>345</v>
      </c>
      <c r="I7" s="42">
        <f t="shared" si="1"/>
        <v>47</v>
      </c>
      <c r="J7" s="42">
        <f t="shared" si="1"/>
        <v>53</v>
      </c>
      <c r="K7" s="42">
        <f t="shared" si="1"/>
        <v>2457</v>
      </c>
      <c r="L7" s="42">
        <f t="shared" si="1"/>
        <v>1007717.25</v>
      </c>
      <c r="N7" s="41"/>
      <c r="O7" s="41"/>
      <c r="P7" s="41"/>
      <c r="Q7" s="41"/>
      <c r="R7" s="41"/>
      <c r="S7" s="41"/>
      <c r="T7" s="41"/>
      <c r="U7" s="41"/>
      <c r="V7" s="41"/>
      <c r="W7" s="41"/>
    </row>
    <row r="8" spans="1:26" s="98" customFormat="1" ht="12.5" x14ac:dyDescent="0.35">
      <c r="A8" s="28">
        <v>51</v>
      </c>
      <c r="B8" s="98" t="s">
        <v>5</v>
      </c>
      <c r="C8" s="41">
        <f>'2016-17_working'!C8</f>
        <v>672</v>
      </c>
      <c r="D8" s="41">
        <f>'2016-17_working'!D8</f>
        <v>292</v>
      </c>
      <c r="E8" s="41">
        <f>'2016-17_working'!E8</f>
        <v>380</v>
      </c>
      <c r="F8" s="41">
        <f>'2016-17_working'!F8</f>
        <v>322</v>
      </c>
      <c r="G8" s="41">
        <f>'2016-17_working'!G8</f>
        <v>29</v>
      </c>
      <c r="H8" s="41">
        <f>'2016-17_working'!H8</f>
        <v>15</v>
      </c>
      <c r="I8" s="41">
        <f>'2016-17_working'!I8</f>
        <v>3</v>
      </c>
      <c r="J8" s="41">
        <f>'2016-17_working'!J8</f>
        <v>1</v>
      </c>
      <c r="K8" s="41">
        <f>'2016-17_working'!K8</f>
        <v>78</v>
      </c>
      <c r="L8" s="41">
        <f>'2016-17_working'!L8</f>
        <v>17118</v>
      </c>
      <c r="N8" s="44"/>
      <c r="O8" s="41"/>
      <c r="P8" s="41"/>
      <c r="Q8" s="41"/>
      <c r="R8" s="41"/>
      <c r="S8" s="41"/>
      <c r="T8" s="41"/>
      <c r="U8" s="41"/>
      <c r="V8" s="41"/>
      <c r="W8" s="41"/>
    </row>
    <row r="9" spans="1:26" s="98" customFormat="1" ht="12.5" x14ac:dyDescent="0.35">
      <c r="A9" s="28">
        <v>52</v>
      </c>
      <c r="B9" s="98" t="s">
        <v>6</v>
      </c>
      <c r="C9" s="41">
        <f>'2016-17_working'!C9</f>
        <v>1244</v>
      </c>
      <c r="D9" s="41">
        <f>'2016-17_working'!D9</f>
        <v>1071</v>
      </c>
      <c r="E9" s="41">
        <f>'2016-17_working'!E9</f>
        <v>173</v>
      </c>
      <c r="F9" s="41">
        <f>'2016-17_working'!F9</f>
        <v>0</v>
      </c>
      <c r="G9" s="41">
        <f>'2016-17_working'!G9</f>
        <v>2</v>
      </c>
      <c r="H9" s="41">
        <f>'2016-17_working'!H9</f>
        <v>5</v>
      </c>
      <c r="I9" s="41">
        <f>'2016-17_working'!I9</f>
        <v>0</v>
      </c>
      <c r="J9" s="41">
        <f>'2016-17_working'!J9</f>
        <v>1</v>
      </c>
      <c r="K9" s="41">
        <f>'2016-17_working'!K9</f>
        <v>30</v>
      </c>
      <c r="L9" s="41">
        <f>'2016-17_working'!L9</f>
        <v>19679</v>
      </c>
      <c r="N9" s="41"/>
      <c r="O9" s="41"/>
      <c r="P9" s="41"/>
      <c r="Q9" s="41"/>
      <c r="R9" s="41"/>
      <c r="S9" s="41"/>
      <c r="T9" s="41"/>
      <c r="U9" s="41"/>
      <c r="V9" s="41"/>
      <c r="W9" s="41"/>
    </row>
    <row r="10" spans="1:26" s="98" customFormat="1" ht="12.5" x14ac:dyDescent="0.35">
      <c r="A10" s="28">
        <v>86</v>
      </c>
      <c r="B10" s="98" t="s">
        <v>7</v>
      </c>
      <c r="C10" s="41">
        <f>'2016-17_working'!C10</f>
        <v>1596</v>
      </c>
      <c r="D10" s="41">
        <f>'2016-17_working'!D10</f>
        <v>1286</v>
      </c>
      <c r="E10" s="41">
        <f>'2016-17_working'!E10</f>
        <v>310</v>
      </c>
      <c r="F10" s="41">
        <f>'2016-17_working'!F10</f>
        <v>270</v>
      </c>
      <c r="G10" s="41">
        <f>'2016-17_working'!G10</f>
        <v>9</v>
      </c>
      <c r="H10" s="41">
        <f>'2016-17_working'!H10</f>
        <v>2</v>
      </c>
      <c r="I10" s="41">
        <f>'2016-17_working'!I10</f>
        <v>0</v>
      </c>
      <c r="J10" s="41">
        <f>'2016-17_working'!J10</f>
        <v>0</v>
      </c>
      <c r="K10" s="41">
        <f>'2016-17_working'!K10</f>
        <v>0</v>
      </c>
      <c r="L10" s="41" t="s">
        <v>95</v>
      </c>
      <c r="N10" s="41"/>
      <c r="O10" s="41"/>
      <c r="P10" s="41"/>
      <c r="Q10" s="41"/>
      <c r="R10" s="41"/>
      <c r="S10" s="41"/>
      <c r="T10" s="41"/>
      <c r="U10" s="41"/>
      <c r="V10" s="41"/>
      <c r="W10" s="41"/>
    </row>
    <row r="11" spans="1:26" s="98" customFormat="1" ht="12.5" x14ac:dyDescent="0.35">
      <c r="A11" s="28">
        <v>53</v>
      </c>
      <c r="B11" s="98" t="s">
        <v>8</v>
      </c>
      <c r="C11" s="41">
        <f>'2016-17_working'!C11</f>
        <v>375</v>
      </c>
      <c r="D11" s="41">
        <f>'2016-17_working'!D11</f>
        <v>132</v>
      </c>
      <c r="E11" s="41">
        <f>'2016-17_working'!E11</f>
        <v>243</v>
      </c>
      <c r="F11" s="41">
        <f>'2016-17_working'!F11</f>
        <v>271</v>
      </c>
      <c r="G11" s="41">
        <f>'2016-17_working'!G11</f>
        <v>5</v>
      </c>
      <c r="H11" s="41">
        <f>'2016-17_working'!H11</f>
        <v>0</v>
      </c>
      <c r="I11" s="41">
        <f>'2016-17_working'!I11</f>
        <v>2</v>
      </c>
      <c r="J11" s="41">
        <f>'2016-17_working'!J11</f>
        <v>0</v>
      </c>
      <c r="K11" s="41">
        <f>'2016-17_working'!K11</f>
        <v>27</v>
      </c>
      <c r="L11" s="41">
        <f>'2016-17_working'!L11</f>
        <v>12216</v>
      </c>
      <c r="N11" s="41"/>
      <c r="O11" s="41"/>
      <c r="P11" s="41"/>
      <c r="Q11" s="41"/>
      <c r="R11" s="41"/>
      <c r="S11" s="41"/>
      <c r="T11" s="41"/>
      <c r="U11" s="41"/>
      <c r="V11" s="41"/>
      <c r="W11" s="41"/>
    </row>
    <row r="12" spans="1:26" s="98" customFormat="1" ht="12.5" x14ac:dyDescent="0.35">
      <c r="A12" s="28">
        <v>54</v>
      </c>
      <c r="B12" s="98" t="s">
        <v>9</v>
      </c>
      <c r="C12" s="41">
        <f>'2016-17_working'!C12</f>
        <v>703</v>
      </c>
      <c r="D12" s="41">
        <f>'2016-17_working'!D12</f>
        <v>508</v>
      </c>
      <c r="E12" s="41">
        <f>'2016-17_working'!E12</f>
        <v>195</v>
      </c>
      <c r="F12" s="41">
        <f>'2016-17_working'!F12</f>
        <v>119</v>
      </c>
      <c r="G12" s="41">
        <f>'2016-17_working'!G12</f>
        <v>7</v>
      </c>
      <c r="H12" s="41">
        <f>'2016-17_working'!H12</f>
        <v>4</v>
      </c>
      <c r="I12" s="41">
        <f>'2016-17_working'!I12</f>
        <v>0</v>
      </c>
      <c r="J12" s="41">
        <f>'2016-17_working'!J12</f>
        <v>0</v>
      </c>
      <c r="K12" s="41">
        <f>'2016-17_working'!K12</f>
        <v>62</v>
      </c>
      <c r="L12" s="41">
        <f>'2016-17_working'!L12</f>
        <v>35597</v>
      </c>
      <c r="N12" s="41"/>
      <c r="O12" s="41"/>
      <c r="P12" s="41"/>
      <c r="Q12" s="41"/>
      <c r="R12" s="41"/>
      <c r="S12" s="41"/>
      <c r="T12" s="41"/>
      <c r="U12" s="41"/>
      <c r="V12" s="41"/>
      <c r="W12" s="41"/>
    </row>
    <row r="13" spans="1:26" s="98" customFormat="1" ht="12.5" x14ac:dyDescent="0.35">
      <c r="A13" s="28">
        <v>55</v>
      </c>
      <c r="B13" s="98" t="s">
        <v>10</v>
      </c>
      <c r="C13" s="41">
        <f>'2016-17_working'!C13</f>
        <v>1629</v>
      </c>
      <c r="D13" s="41">
        <f>'2016-17_working'!D13</f>
        <v>1056</v>
      </c>
      <c r="E13" s="41">
        <f>'2016-17_working'!E13</f>
        <v>573</v>
      </c>
      <c r="F13" s="41">
        <f>'2016-17_working'!F13</f>
        <v>510</v>
      </c>
      <c r="G13" s="41">
        <f>'2016-17_working'!G13</f>
        <v>75</v>
      </c>
      <c r="H13" s="41">
        <f>'2016-17_working'!H13</f>
        <v>16</v>
      </c>
      <c r="I13" s="41">
        <f>'2016-17_working'!I13</f>
        <v>9</v>
      </c>
      <c r="J13" s="41">
        <f>'2016-17_working'!J13</f>
        <v>1</v>
      </c>
      <c r="K13" s="41">
        <f>'2016-17_working'!K13</f>
        <v>255</v>
      </c>
      <c r="L13" s="41">
        <f>'2016-17_working'!L13</f>
        <v>27235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</row>
    <row r="14" spans="1:26" s="98" customFormat="1" ht="12.5" x14ac:dyDescent="0.35">
      <c r="A14" s="28">
        <v>56</v>
      </c>
      <c r="B14" s="98" t="s">
        <v>11</v>
      </c>
      <c r="C14" s="41">
        <f>'2016-17_working'!C14</f>
        <v>1244</v>
      </c>
      <c r="D14" s="41">
        <f>'2016-17_working'!D14</f>
        <v>1074</v>
      </c>
      <c r="E14" s="41">
        <f>'2016-17_working'!E14</f>
        <v>170</v>
      </c>
      <c r="F14" s="41">
        <f>'2016-17_working'!F14</f>
        <v>161</v>
      </c>
      <c r="G14" s="41">
        <f>'2016-17_working'!G14</f>
        <v>2</v>
      </c>
      <c r="H14" s="41">
        <f>'2016-17_working'!H14</f>
        <v>5</v>
      </c>
      <c r="I14" s="41">
        <f>'2016-17_working'!I14</f>
        <v>0</v>
      </c>
      <c r="J14" s="41">
        <f>'2016-17_working'!J14</f>
        <v>1</v>
      </c>
      <c r="K14" s="41">
        <f>'2016-17_working'!K14</f>
        <v>14</v>
      </c>
      <c r="L14" s="41">
        <f>'2016-17_working'!L14</f>
        <v>15076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</row>
    <row r="15" spans="1:26" s="98" customFormat="1" ht="12.5" x14ac:dyDescent="0.35">
      <c r="A15" s="28">
        <v>57</v>
      </c>
      <c r="B15" s="98" t="s">
        <v>12</v>
      </c>
      <c r="C15" s="41">
        <f>'2016-17_working'!C15</f>
        <v>535</v>
      </c>
      <c r="D15" s="41">
        <f>'2016-17_working'!D15</f>
        <v>366</v>
      </c>
      <c r="E15" s="41">
        <f>'2016-17_working'!E15</f>
        <v>169</v>
      </c>
      <c r="F15" s="41">
        <f>'2016-17_working'!F15</f>
        <v>160</v>
      </c>
      <c r="G15" s="41">
        <f>'2016-17_working'!G15</f>
        <v>6</v>
      </c>
      <c r="H15" s="41">
        <f>'2016-17_working'!H15</f>
        <v>6</v>
      </c>
      <c r="I15" s="41">
        <f>'2016-17_working'!I15</f>
        <v>0</v>
      </c>
      <c r="J15" s="41">
        <f>'2016-17_working'!J15</f>
        <v>0</v>
      </c>
      <c r="K15" s="41">
        <f>'2016-17_working'!K15</f>
        <v>14</v>
      </c>
      <c r="L15" s="41">
        <f>'2016-17_working'!L15</f>
        <v>17969</v>
      </c>
      <c r="N15" s="41"/>
      <c r="O15" s="41"/>
      <c r="P15" s="41"/>
      <c r="Q15" s="41"/>
      <c r="R15" s="41"/>
      <c r="S15" s="41"/>
      <c r="T15" s="41"/>
      <c r="U15" s="41"/>
      <c r="V15" s="41"/>
      <c r="W15" s="41"/>
    </row>
    <row r="16" spans="1:26" s="98" customFormat="1" ht="12.5" x14ac:dyDescent="0.35">
      <c r="A16" s="28">
        <v>59</v>
      </c>
      <c r="B16" s="98" t="s">
        <v>13</v>
      </c>
      <c r="C16" s="41">
        <f>'2016-17_working'!C16</f>
        <v>1003</v>
      </c>
      <c r="D16" s="41">
        <f>'2016-17_working'!D16</f>
        <v>704</v>
      </c>
      <c r="E16" s="41">
        <f>'2016-17_working'!E16</f>
        <v>299</v>
      </c>
      <c r="F16" s="41">
        <f>'2016-17_working'!F16</f>
        <v>287</v>
      </c>
      <c r="G16" s="41">
        <f>'2016-17_working'!G16</f>
        <v>31</v>
      </c>
      <c r="H16" s="41">
        <f>'2016-17_working'!H16</f>
        <v>6</v>
      </c>
      <c r="I16" s="41">
        <f>'2016-17_working'!I16</f>
        <v>0</v>
      </c>
      <c r="J16" s="41">
        <f>'2016-17_working'!J16</f>
        <v>0</v>
      </c>
      <c r="K16" s="41">
        <f>'2016-17_working'!K16</f>
        <v>34</v>
      </c>
      <c r="L16" s="41">
        <f>'2016-17_working'!L16</f>
        <v>6852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</row>
    <row r="17" spans="1:23" s="98" customFormat="1" ht="12.5" x14ac:dyDescent="0.35">
      <c r="A17" s="28">
        <v>60</v>
      </c>
      <c r="B17" s="98" t="s">
        <v>14</v>
      </c>
      <c r="C17" s="41">
        <f>'2016-17_working'!C17</f>
        <v>866</v>
      </c>
      <c r="D17" s="41">
        <f>'2016-17_working'!D17</f>
        <v>540</v>
      </c>
      <c r="E17" s="41">
        <f>'2016-17_working'!E17</f>
        <v>326</v>
      </c>
      <c r="F17" s="41">
        <f>'2016-17_working'!F17</f>
        <v>277</v>
      </c>
      <c r="G17" s="41">
        <f>'2016-17_working'!G17</f>
        <v>35</v>
      </c>
      <c r="H17" s="41">
        <f>'2016-17_working'!H17</f>
        <v>19</v>
      </c>
      <c r="I17" s="41">
        <f>'2016-17_working'!I17</f>
        <v>3</v>
      </c>
      <c r="J17" s="41">
        <f>'2016-17_working'!J17</f>
        <v>0</v>
      </c>
      <c r="K17" s="41">
        <f>'2016-17_working'!K17</f>
        <v>312</v>
      </c>
      <c r="L17" s="41">
        <f>'2016-17_working'!L17</f>
        <v>34845</v>
      </c>
      <c r="N17" s="41"/>
      <c r="O17" s="41"/>
      <c r="P17" s="41"/>
      <c r="Q17" s="41"/>
      <c r="R17" s="41"/>
      <c r="S17" s="41"/>
      <c r="T17" s="41"/>
      <c r="U17" s="41"/>
      <c r="V17" s="41"/>
      <c r="W17" s="41"/>
    </row>
    <row r="18" spans="1:23" s="98" customFormat="1" ht="12.5" x14ac:dyDescent="0.35">
      <c r="A18" s="28">
        <v>61</v>
      </c>
      <c r="B18" s="45" t="s">
        <v>53</v>
      </c>
      <c r="C18" s="41">
        <f>'2016-17_working'!C18</f>
        <v>581</v>
      </c>
      <c r="D18" s="41">
        <f>'2016-17_working'!D18</f>
        <v>177</v>
      </c>
      <c r="E18" s="41">
        <f>'2016-17_working'!E18</f>
        <v>404</v>
      </c>
      <c r="F18" s="41">
        <f>'2016-17_working'!F18</f>
        <v>337</v>
      </c>
      <c r="G18" s="41">
        <f>'2016-17_working'!G18</f>
        <v>59</v>
      </c>
      <c r="H18" s="41">
        <f>'2016-17_working'!H18</f>
        <v>33</v>
      </c>
      <c r="I18" s="41">
        <f>'2016-17_working'!I18</f>
        <v>4</v>
      </c>
      <c r="J18" s="41">
        <f>'2016-17_working'!J18</f>
        <v>10</v>
      </c>
      <c r="K18" s="41">
        <f>'2016-17_working'!K18</f>
        <v>54</v>
      </c>
      <c r="L18" s="41">
        <f>'2016-17_working'!L18</f>
        <v>98145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</row>
    <row r="19" spans="1:23" s="98" customFormat="1" ht="12.5" x14ac:dyDescent="0.35">
      <c r="A19" s="28"/>
      <c r="B19" s="45" t="s">
        <v>113</v>
      </c>
      <c r="C19" s="41">
        <f>'2016-17_working'!C19</f>
        <v>706</v>
      </c>
      <c r="D19" s="41">
        <f>'2016-17_working'!D19</f>
        <v>544</v>
      </c>
      <c r="E19" s="41">
        <f>'2016-17_working'!E19</f>
        <v>162</v>
      </c>
      <c r="F19" s="41">
        <f>'2016-17_working'!F19</f>
        <v>137</v>
      </c>
      <c r="G19" s="41">
        <f>'2016-17_working'!G19</f>
        <v>13</v>
      </c>
      <c r="H19" s="41">
        <f>'2016-17_working'!H19</f>
        <v>14</v>
      </c>
      <c r="I19" s="41">
        <f>'2016-17_working'!I19</f>
        <v>0</v>
      </c>
      <c r="J19" s="41">
        <f>'2016-17_working'!J19</f>
        <v>2</v>
      </c>
      <c r="K19" s="41">
        <f>'2016-17_working'!K19</f>
        <v>20</v>
      </c>
      <c r="L19" s="41">
        <f>'2016-17_working'!L19</f>
        <v>87216</v>
      </c>
      <c r="N19" s="41"/>
      <c r="O19" s="41"/>
      <c r="P19" s="41"/>
      <c r="Q19" s="41"/>
      <c r="R19" s="41"/>
      <c r="S19" s="41"/>
      <c r="T19" s="41"/>
      <c r="U19" s="41"/>
      <c r="V19" s="41"/>
      <c r="W19" s="41"/>
    </row>
    <row r="20" spans="1:23" s="98" customFormat="1" ht="12.5" x14ac:dyDescent="0.35">
      <c r="A20" s="28">
        <v>62</v>
      </c>
      <c r="B20" s="98" t="s">
        <v>16</v>
      </c>
      <c r="C20" s="41" t="str">
        <f>'2016-17_working'!C20</f>
        <v>..</v>
      </c>
      <c r="D20" s="41" t="str">
        <f>'2016-17_working'!D20</f>
        <v>..</v>
      </c>
      <c r="E20" s="41" t="str">
        <f>'2016-17_working'!E20</f>
        <v>..</v>
      </c>
      <c r="F20" s="41" t="str">
        <f>'2016-17_working'!F20</f>
        <v>..</v>
      </c>
      <c r="G20" s="41" t="str">
        <f>'2016-17_working'!G20</f>
        <v>..</v>
      </c>
      <c r="H20" s="41" t="str">
        <f>'2016-17_working'!H20</f>
        <v>..</v>
      </c>
      <c r="I20" s="41" t="str">
        <f>'2016-17_working'!I20</f>
        <v>..</v>
      </c>
      <c r="J20" s="41" t="str">
        <f>'2016-17_working'!J20</f>
        <v>..</v>
      </c>
      <c r="K20" s="41" t="str">
        <f>'2016-17_working'!K20</f>
        <v>..</v>
      </c>
      <c r="L20" s="41" t="str">
        <f>'2016-17_working'!L20</f>
        <v>..</v>
      </c>
      <c r="N20" s="41"/>
      <c r="O20" s="41"/>
      <c r="P20" s="41"/>
      <c r="Q20" s="41"/>
      <c r="R20" s="41"/>
      <c r="S20" s="41"/>
      <c r="T20" s="41"/>
      <c r="U20" s="41"/>
      <c r="V20" s="41"/>
      <c r="W20" s="41"/>
    </row>
    <row r="21" spans="1:23" s="98" customFormat="1" ht="12.5" x14ac:dyDescent="0.35">
      <c r="A21" s="28">
        <v>58</v>
      </c>
      <c r="B21" s="98" t="s">
        <v>17</v>
      </c>
      <c r="C21" s="41">
        <f>'2016-17_working'!C21</f>
        <v>2066</v>
      </c>
      <c r="D21" s="41">
        <f>'2016-17_working'!D21</f>
        <v>1639</v>
      </c>
      <c r="E21" s="41">
        <f>'2016-17_working'!E21</f>
        <v>427</v>
      </c>
      <c r="F21" s="41">
        <f>'2016-17_working'!F21</f>
        <v>394</v>
      </c>
      <c r="G21" s="41">
        <f>'2016-17_working'!G21</f>
        <v>0</v>
      </c>
      <c r="H21" s="41">
        <f>'2016-17_working'!H21</f>
        <v>6</v>
      </c>
      <c r="I21" s="41">
        <f>'2016-17_working'!I21</f>
        <v>2</v>
      </c>
      <c r="J21" s="41">
        <f>'2016-17_working'!J21</f>
        <v>0</v>
      </c>
      <c r="K21" s="41">
        <f>'2016-17_working'!K21</f>
        <v>11</v>
      </c>
      <c r="L21" s="41">
        <f>'2016-17_working'!L21</f>
        <v>15292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</row>
    <row r="22" spans="1:23" s="98" customFormat="1" ht="12.5" x14ac:dyDescent="0.35">
      <c r="A22" s="28">
        <v>63</v>
      </c>
      <c r="B22" s="98" t="s">
        <v>18</v>
      </c>
      <c r="C22" s="41">
        <f>'2016-17_working'!C22</f>
        <v>299</v>
      </c>
      <c r="D22" s="41">
        <f>'2016-17_working'!D22</f>
        <v>189</v>
      </c>
      <c r="E22" s="41">
        <f>'2016-17_working'!E22</f>
        <v>110</v>
      </c>
      <c r="F22" s="41">
        <f>'2016-17_working'!F22</f>
        <v>105</v>
      </c>
      <c r="G22" s="41">
        <f>'2016-17_working'!G22</f>
        <v>11</v>
      </c>
      <c r="H22" s="41">
        <f>'2016-17_working'!H22</f>
        <v>17</v>
      </c>
      <c r="I22" s="41">
        <f>'2016-17_working'!I22</f>
        <v>2</v>
      </c>
      <c r="J22" s="41">
        <f>'2016-17_working'!J22</f>
        <v>2</v>
      </c>
      <c r="K22" s="41">
        <f>'2016-17_working'!K22</f>
        <v>94</v>
      </c>
      <c r="L22" s="41">
        <f>'2016-17_working'!L22</f>
        <v>26377</v>
      </c>
      <c r="N22" s="41"/>
      <c r="O22" s="41"/>
      <c r="P22" s="41"/>
      <c r="Q22" s="41"/>
      <c r="R22" s="41"/>
      <c r="S22" s="41"/>
      <c r="T22" s="41"/>
      <c r="U22" s="41"/>
      <c r="V22" s="41"/>
      <c r="W22" s="41"/>
    </row>
    <row r="23" spans="1:23" s="98" customFormat="1" ht="12.5" x14ac:dyDescent="0.35">
      <c r="A23" s="28">
        <v>64</v>
      </c>
      <c r="B23" s="98" t="s">
        <v>19</v>
      </c>
      <c r="C23" s="41">
        <f>'2016-17_working'!C23</f>
        <v>1172</v>
      </c>
      <c r="D23" s="41">
        <f>'2016-17_working'!D23</f>
        <v>1085</v>
      </c>
      <c r="E23" s="41">
        <f>'2016-17_working'!E23</f>
        <v>87</v>
      </c>
      <c r="F23" s="41">
        <f>'2016-17_working'!F23</f>
        <v>0</v>
      </c>
      <c r="G23" s="41">
        <f>'2016-17_working'!G23</f>
        <v>1</v>
      </c>
      <c r="H23" s="41">
        <f>'2016-17_working'!H23</f>
        <v>1</v>
      </c>
      <c r="I23" s="41">
        <f>'2016-17_working'!I23</f>
        <v>1</v>
      </c>
      <c r="J23" s="41">
        <f>'2016-17_working'!J23</f>
        <v>0</v>
      </c>
      <c r="K23" s="41">
        <f>'2016-17_working'!K23</f>
        <v>0</v>
      </c>
      <c r="L23" s="41">
        <f>'2016-17_working'!L23</f>
        <v>31964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</row>
    <row r="24" spans="1:23" s="98" customFormat="1" ht="12.5" x14ac:dyDescent="0.35">
      <c r="A24" s="28">
        <v>65</v>
      </c>
      <c r="B24" s="98" t="s">
        <v>20</v>
      </c>
      <c r="C24" s="41">
        <f>'2016-17_working'!C24</f>
        <v>237</v>
      </c>
      <c r="D24" s="41">
        <f>'2016-17_working'!D24</f>
        <v>174</v>
      </c>
      <c r="E24" s="41">
        <f>'2016-17_working'!E24</f>
        <v>63</v>
      </c>
      <c r="F24" s="41">
        <f>'2016-17_working'!F24</f>
        <v>50</v>
      </c>
      <c r="G24" s="41">
        <f>'2016-17_working'!G24</f>
        <v>7</v>
      </c>
      <c r="H24" s="41">
        <f>'2016-17_working'!H24</f>
        <v>9</v>
      </c>
      <c r="I24" s="41">
        <f>'2016-17_working'!I24</f>
        <v>1</v>
      </c>
      <c r="J24" s="41">
        <f>'2016-17_working'!J24</f>
        <v>0</v>
      </c>
      <c r="K24" s="41">
        <f>'2016-17_working'!K24</f>
        <v>12</v>
      </c>
      <c r="L24" s="41">
        <f>'2016-17_working'!L24</f>
        <v>16344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</row>
    <row r="25" spans="1:23" s="98" customFormat="1" ht="12.5" x14ac:dyDescent="0.35">
      <c r="A25" s="28">
        <v>67</v>
      </c>
      <c r="B25" s="98" t="s">
        <v>23</v>
      </c>
      <c r="C25" s="41">
        <f>'2016-17_working'!C25</f>
        <v>574</v>
      </c>
      <c r="D25" s="41">
        <f>'2016-17_working'!D25</f>
        <v>286</v>
      </c>
      <c r="E25" s="41">
        <f>'2016-17_working'!E25</f>
        <v>288</v>
      </c>
      <c r="F25" s="41">
        <f>'2016-17_working'!F25</f>
        <v>262</v>
      </c>
      <c r="G25" s="41">
        <f>'2016-17_working'!G25</f>
        <v>20</v>
      </c>
      <c r="H25" s="41">
        <f>'2016-17_working'!H25</f>
        <v>20</v>
      </c>
      <c r="I25" s="41">
        <f>'2016-17_working'!I25</f>
        <v>1</v>
      </c>
      <c r="J25" s="41">
        <f>'2016-17_working'!J25</f>
        <v>9</v>
      </c>
      <c r="K25" s="41">
        <f>'2016-17_working'!K25</f>
        <v>173</v>
      </c>
      <c r="L25" s="41">
        <f>'2016-17_working'!L25</f>
        <v>103595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</row>
    <row r="26" spans="1:23" s="98" customFormat="1" ht="12.5" x14ac:dyDescent="0.35">
      <c r="A26" s="28">
        <v>68</v>
      </c>
      <c r="B26" s="98" t="s">
        <v>54</v>
      </c>
      <c r="C26" s="41">
        <f>'2016-17_working'!C26</f>
        <v>591</v>
      </c>
      <c r="D26" s="41">
        <f>'2016-17_working'!D26</f>
        <v>325</v>
      </c>
      <c r="E26" s="41">
        <f>'2016-17_working'!E26</f>
        <v>266</v>
      </c>
      <c r="F26" s="41">
        <f>'2016-17_working'!F26</f>
        <v>270</v>
      </c>
      <c r="G26" s="41">
        <f>'2016-17_working'!G26</f>
        <v>45</v>
      </c>
      <c r="H26" s="41">
        <f>'2016-17_working'!H26</f>
        <v>37</v>
      </c>
      <c r="I26" s="41">
        <f>'2016-17_working'!I26</f>
        <v>0</v>
      </c>
      <c r="J26" s="41">
        <f>'2016-17_working'!J26</f>
        <v>0</v>
      </c>
      <c r="K26" s="41">
        <f>'2016-17_working'!K26</f>
        <v>18</v>
      </c>
      <c r="L26" s="41">
        <f>'2016-17_working'!L26</f>
        <v>17980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</row>
    <row r="27" spans="1:23" s="98" customFormat="1" ht="12.5" x14ac:dyDescent="0.35">
      <c r="A27" s="28">
        <v>69</v>
      </c>
      <c r="B27" s="98" t="s">
        <v>25</v>
      </c>
      <c r="C27" s="41">
        <f>'2016-17_working'!C27</f>
        <v>288</v>
      </c>
      <c r="D27" s="41">
        <f>'2016-17_working'!D27</f>
        <v>225</v>
      </c>
      <c r="E27" s="41">
        <f>'2016-17_working'!E27</f>
        <v>63</v>
      </c>
      <c r="F27" s="41">
        <f>'2016-17_working'!F27</f>
        <v>39</v>
      </c>
      <c r="G27" s="41">
        <f>'2016-17_working'!G27</f>
        <v>16</v>
      </c>
      <c r="H27" s="41">
        <f>'2016-17_working'!H27</f>
        <v>7</v>
      </c>
      <c r="I27" s="41">
        <f>'2016-17_working'!I27</f>
        <v>1</v>
      </c>
      <c r="J27" s="41">
        <f>'2016-17_working'!J27</f>
        <v>0</v>
      </c>
      <c r="K27" s="41">
        <f>'2016-17_working'!K27</f>
        <v>38</v>
      </c>
      <c r="L27" s="41">
        <f>'2016-17_working'!L27</f>
        <v>25701</v>
      </c>
      <c r="N27" s="41"/>
      <c r="O27" s="41"/>
      <c r="P27" s="41"/>
      <c r="Q27" s="41"/>
      <c r="R27" s="41"/>
      <c r="S27" s="41"/>
      <c r="T27" s="41"/>
      <c r="U27" s="41"/>
      <c r="V27" s="41"/>
      <c r="W27" s="41"/>
    </row>
    <row r="28" spans="1:23" s="98" customFormat="1" ht="12.5" x14ac:dyDescent="0.35">
      <c r="A28" s="28">
        <v>70</v>
      </c>
      <c r="B28" s="98" t="s">
        <v>26</v>
      </c>
      <c r="C28" s="41">
        <f>'2016-17_working'!C28</f>
        <v>1464</v>
      </c>
      <c r="D28" s="41">
        <f>'2016-17_working'!D28</f>
        <v>1208</v>
      </c>
      <c r="E28" s="41">
        <f>'2016-17_working'!E28</f>
        <v>256</v>
      </c>
      <c r="F28" s="41">
        <f>'2016-17_working'!F28</f>
        <v>231</v>
      </c>
      <c r="G28" s="41">
        <f>'2016-17_working'!G28</f>
        <v>16</v>
      </c>
      <c r="H28" s="41">
        <f>'2016-17_working'!H28</f>
        <v>10</v>
      </c>
      <c r="I28" s="41">
        <f>'2016-17_working'!I28</f>
        <v>0</v>
      </c>
      <c r="J28" s="41">
        <f>'2016-17_working'!J28</f>
        <v>7</v>
      </c>
      <c r="K28" s="41">
        <f>'2016-17_working'!K28</f>
        <v>187</v>
      </c>
      <c r="L28" s="41">
        <f>'2016-17_working'!L28</f>
        <v>38390</v>
      </c>
      <c r="N28" s="41"/>
      <c r="O28" s="41"/>
      <c r="P28" s="41"/>
      <c r="Q28" s="41"/>
      <c r="R28" s="41"/>
      <c r="S28" s="41"/>
      <c r="T28" s="41"/>
      <c r="U28" s="41"/>
      <c r="V28" s="41"/>
      <c r="W28" s="41"/>
    </row>
    <row r="29" spans="1:23" s="98" customFormat="1" ht="12.5" x14ac:dyDescent="0.35">
      <c r="A29" s="28">
        <v>71</v>
      </c>
      <c r="B29" s="98" t="s">
        <v>55</v>
      </c>
      <c r="C29" s="41">
        <f>'2016-17_working'!C29</f>
        <v>194</v>
      </c>
      <c r="D29" s="41">
        <f>'2016-17_working'!D29</f>
        <v>119</v>
      </c>
      <c r="E29" s="41">
        <f>'2016-17_working'!E29</f>
        <v>75</v>
      </c>
      <c r="F29" s="41">
        <f>'2016-17_working'!F29</f>
        <v>79</v>
      </c>
      <c r="G29" s="41">
        <f>'2016-17_working'!G29</f>
        <v>1</v>
      </c>
      <c r="H29" s="41">
        <f>'2016-17_working'!H29</f>
        <v>2</v>
      </c>
      <c r="I29" s="41">
        <f>'2016-17_working'!I29</f>
        <v>0</v>
      </c>
      <c r="J29" s="41">
        <f>'2016-17_working'!J29</f>
        <v>0</v>
      </c>
      <c r="K29" s="41">
        <f>'2016-17_working'!K29</f>
        <v>2</v>
      </c>
      <c r="L29" s="41">
        <f>'2016-17_working'!L29</f>
        <v>6450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</row>
    <row r="30" spans="1:23" s="98" customFormat="1" ht="12.5" x14ac:dyDescent="0.35">
      <c r="A30" s="28">
        <v>73</v>
      </c>
      <c r="B30" s="98" t="s">
        <v>29</v>
      </c>
      <c r="C30" s="41">
        <f>'2016-17_working'!C30</f>
        <v>723</v>
      </c>
      <c r="D30" s="41">
        <f>'2016-17_working'!D30</f>
        <v>597</v>
      </c>
      <c r="E30" s="41">
        <f>'2016-17_working'!E30</f>
        <v>126</v>
      </c>
      <c r="F30" s="41">
        <f>'2016-17_working'!F30</f>
        <v>104</v>
      </c>
      <c r="G30" s="41">
        <f>'2016-17_working'!G30</f>
        <v>43</v>
      </c>
      <c r="H30" s="41">
        <f>'2016-17_working'!H30</f>
        <v>17</v>
      </c>
      <c r="I30" s="41">
        <f>'2016-17_working'!I30</f>
        <v>1</v>
      </c>
      <c r="J30" s="41">
        <f>'2016-17_working'!J30</f>
        <v>0</v>
      </c>
      <c r="K30" s="41">
        <f>'2016-17_working'!K30</f>
        <v>17</v>
      </c>
      <c r="L30" s="41">
        <f>'2016-17_working'!L30</f>
        <v>22825</v>
      </c>
      <c r="N30" s="41"/>
      <c r="O30" s="41"/>
      <c r="P30" s="41"/>
      <c r="Q30" s="41"/>
      <c r="R30" s="41"/>
      <c r="S30" s="41"/>
      <c r="T30" s="41"/>
      <c r="U30" s="41"/>
      <c r="V30" s="41"/>
      <c r="W30" s="41"/>
    </row>
    <row r="31" spans="1:23" s="98" customFormat="1" ht="12.5" x14ac:dyDescent="0.35">
      <c r="A31" s="28">
        <v>74</v>
      </c>
      <c r="B31" s="98" t="s">
        <v>30</v>
      </c>
      <c r="C31" s="41">
        <f>'2016-17_working'!C31</f>
        <v>1614</v>
      </c>
      <c r="D31" s="41">
        <f>'2016-17_working'!D31</f>
        <v>606</v>
      </c>
      <c r="E31" s="41">
        <f>'2016-17_working'!E31</f>
        <v>1008</v>
      </c>
      <c r="F31" s="41">
        <f>'2016-17_working'!F31</f>
        <v>1073</v>
      </c>
      <c r="G31" s="41">
        <f>'2016-17_working'!G31</f>
        <v>139</v>
      </c>
      <c r="H31" s="41">
        <f>'2016-17_working'!H31</f>
        <v>10</v>
      </c>
      <c r="I31" s="41">
        <f>'2016-17_working'!I31</f>
        <v>5</v>
      </c>
      <c r="J31" s="41">
        <f>'2016-17_working'!J31</f>
        <v>8</v>
      </c>
      <c r="K31" s="41">
        <f>'2016-17_working'!K31</f>
        <v>116</v>
      </c>
      <c r="L31" s="41">
        <f>'2016-17_working'!L31</f>
        <v>23616</v>
      </c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1:23" s="98" customFormat="1" ht="12.5" x14ac:dyDescent="0.35">
      <c r="A32" s="28">
        <v>75</v>
      </c>
      <c r="B32" s="98" t="s">
        <v>31</v>
      </c>
      <c r="C32" s="41">
        <f>'2016-17_working'!C32</f>
        <v>362</v>
      </c>
      <c r="D32" s="41">
        <f>'2016-17_working'!D32</f>
        <v>275</v>
      </c>
      <c r="E32" s="41">
        <f>'2016-17_working'!E32</f>
        <v>87</v>
      </c>
      <c r="F32" s="41">
        <f>'2016-17_working'!F32</f>
        <v>146</v>
      </c>
      <c r="G32" s="41">
        <f>'2016-17_working'!G32</f>
        <v>21</v>
      </c>
      <c r="H32" s="41">
        <f>'2016-17_working'!H32</f>
        <v>7</v>
      </c>
      <c r="I32" s="41">
        <f>'2016-17_working'!I32</f>
        <v>1</v>
      </c>
      <c r="J32" s="41">
        <f>'2016-17_working'!J32</f>
        <v>8</v>
      </c>
      <c r="K32" s="41">
        <f>'2016-17_working'!K32</f>
        <v>105</v>
      </c>
      <c r="L32" s="41">
        <f>'2016-17_working'!L32</f>
        <v>24869</v>
      </c>
      <c r="N32" s="41"/>
      <c r="O32" s="41"/>
      <c r="P32" s="41"/>
      <c r="Q32" s="41"/>
      <c r="R32" s="41"/>
      <c r="S32" s="41"/>
      <c r="T32" s="41"/>
      <c r="U32" s="41"/>
      <c r="V32" s="41"/>
      <c r="W32" s="41"/>
    </row>
    <row r="33" spans="1:23" s="98" customFormat="1" ht="14.5" x14ac:dyDescent="0.35">
      <c r="A33" s="28">
        <v>76</v>
      </c>
      <c r="B33" s="98" t="s">
        <v>87</v>
      </c>
      <c r="C33" s="41">
        <f>'2016-17_working'!C33</f>
        <v>298</v>
      </c>
      <c r="D33" s="41">
        <f>'2016-17_working'!D33</f>
        <v>177</v>
      </c>
      <c r="E33" s="41">
        <f>'2016-17_working'!E33</f>
        <v>121</v>
      </c>
      <c r="F33" s="41">
        <f>'2016-17_working'!F33</f>
        <v>203</v>
      </c>
      <c r="G33" s="41">
        <f>'2016-17_working'!G33</f>
        <v>3</v>
      </c>
      <c r="H33" s="41">
        <f>'2016-17_working'!H33</f>
        <v>4</v>
      </c>
      <c r="I33" s="41">
        <f>'2016-17_working'!I33</f>
        <v>0</v>
      </c>
      <c r="J33" s="41">
        <f>'2016-17_working'!J33</f>
        <v>0</v>
      </c>
      <c r="K33" s="41">
        <f>'2016-17_working'!K33</f>
        <v>1</v>
      </c>
      <c r="L33" s="41">
        <f>'2016-17_working'!L33</f>
        <v>27611</v>
      </c>
      <c r="N33" s="41"/>
      <c r="O33" s="41"/>
      <c r="P33" s="41"/>
      <c r="Q33" s="41"/>
      <c r="R33" s="41"/>
      <c r="S33" s="41"/>
      <c r="T33" s="41"/>
      <c r="U33" s="41"/>
      <c r="V33" s="41"/>
      <c r="W33" s="41"/>
    </row>
    <row r="34" spans="1:23" s="98" customFormat="1" ht="12.5" x14ac:dyDescent="0.35">
      <c r="A34" s="28">
        <v>79</v>
      </c>
      <c r="B34" s="98" t="s">
        <v>34</v>
      </c>
      <c r="C34" s="41" t="str">
        <f>'2016-17_working'!C34</f>
        <v>N/A</v>
      </c>
      <c r="D34" s="41" t="str">
        <f>'2016-17_working'!D34</f>
        <v>N/A</v>
      </c>
      <c r="E34" s="41" t="str">
        <f>'2016-17_working'!E34</f>
        <v>N/A</v>
      </c>
      <c r="F34" s="41" t="str">
        <f>'2016-17_working'!F34</f>
        <v>N/A</v>
      </c>
      <c r="G34" s="41" t="str">
        <f>'2016-17_working'!G34</f>
        <v>N/A</v>
      </c>
      <c r="H34" s="41" t="str">
        <f>'2016-17_working'!H34</f>
        <v>N/A</v>
      </c>
      <c r="I34" s="41" t="str">
        <f>'2016-17_working'!I34</f>
        <v>N/A</v>
      </c>
      <c r="J34" s="41" t="str">
        <f>'2016-17_working'!J34</f>
        <v>N/A</v>
      </c>
      <c r="K34" s="41" t="str">
        <f>'2016-17_working'!K34</f>
        <v>N/A</v>
      </c>
      <c r="L34" s="41" t="str">
        <f>'2016-17_working'!L34</f>
        <v>N/A</v>
      </c>
      <c r="N34" s="41"/>
      <c r="O34" s="41"/>
      <c r="P34" s="41"/>
      <c r="Q34" s="41"/>
      <c r="R34" s="41"/>
      <c r="S34" s="41"/>
      <c r="T34" s="41"/>
      <c r="U34" s="41"/>
      <c r="V34" s="41"/>
      <c r="W34" s="41"/>
    </row>
    <row r="35" spans="1:23" s="98" customFormat="1" ht="12.5" x14ac:dyDescent="0.35">
      <c r="A35" s="28">
        <v>80</v>
      </c>
      <c r="B35" s="98" t="s">
        <v>35</v>
      </c>
      <c r="C35" s="41">
        <f>'2016-17_working'!C35</f>
        <v>2010</v>
      </c>
      <c r="D35" s="41">
        <f>'2016-17_working'!D35</f>
        <v>1237</v>
      </c>
      <c r="E35" s="41">
        <f>'2016-17_working'!E35</f>
        <v>773</v>
      </c>
      <c r="F35" s="41">
        <f>'2016-17_working'!F35</f>
        <v>752</v>
      </c>
      <c r="G35" s="41">
        <f>'2016-17_working'!G35</f>
        <v>15</v>
      </c>
      <c r="H35" s="41">
        <f>'2016-17_working'!H35</f>
        <v>6</v>
      </c>
      <c r="I35" s="41">
        <f>'2016-17_working'!I35</f>
        <v>2</v>
      </c>
      <c r="J35" s="41">
        <f>'2016-17_working'!J35</f>
        <v>0</v>
      </c>
      <c r="K35" s="41">
        <f>'2016-17_working'!K35</f>
        <v>184</v>
      </c>
      <c r="L35" s="41">
        <f>'2016-17_working'!L35</f>
        <v>43968</v>
      </c>
      <c r="N35" s="41"/>
      <c r="O35" s="41"/>
      <c r="P35" s="41"/>
      <c r="Q35" s="41"/>
      <c r="R35" s="41"/>
      <c r="S35" s="41"/>
      <c r="T35" s="41"/>
      <c r="U35" s="41"/>
      <c r="V35" s="41"/>
      <c r="W35" s="41"/>
    </row>
    <row r="36" spans="1:23" s="98" customFormat="1" ht="12.5" x14ac:dyDescent="0.35">
      <c r="A36" s="28">
        <v>81</v>
      </c>
      <c r="B36" s="98" t="s">
        <v>36</v>
      </c>
      <c r="C36" s="41">
        <f>'2016-17_working'!C36</f>
        <v>716</v>
      </c>
      <c r="D36" s="41">
        <f>'2016-17_working'!D36</f>
        <v>545</v>
      </c>
      <c r="E36" s="41">
        <f>'2016-17_working'!E36</f>
        <v>171</v>
      </c>
      <c r="F36" s="41">
        <f>'2016-17_working'!F36</f>
        <v>65</v>
      </c>
      <c r="G36" s="41">
        <f>'2016-17_working'!G36</f>
        <v>26</v>
      </c>
      <c r="H36" s="41">
        <f>'2016-17_working'!H36</f>
        <v>7</v>
      </c>
      <c r="I36" s="41">
        <f>'2016-17_working'!I36</f>
        <v>0</v>
      </c>
      <c r="J36" s="41">
        <f>'2016-17_working'!J36</f>
        <v>0</v>
      </c>
      <c r="K36" s="41">
        <f>'2016-17_working'!K36</f>
        <v>14</v>
      </c>
      <c r="L36" s="41">
        <f>'2016-17_working'!L36</f>
        <v>20031</v>
      </c>
      <c r="N36" s="41"/>
      <c r="O36" s="41"/>
      <c r="P36" s="41"/>
      <c r="Q36" s="41"/>
      <c r="R36" s="41"/>
      <c r="S36" s="41"/>
      <c r="T36" s="41"/>
      <c r="U36" s="41"/>
      <c r="V36" s="41"/>
      <c r="W36" s="41"/>
    </row>
    <row r="37" spans="1:23" s="98" customFormat="1" ht="12.5" x14ac:dyDescent="0.35">
      <c r="A37" s="28">
        <v>83</v>
      </c>
      <c r="B37" s="98" t="s">
        <v>37</v>
      </c>
      <c r="C37" s="41">
        <f>'2016-17_working'!C37</f>
        <v>786</v>
      </c>
      <c r="D37" s="41">
        <f>'2016-17_working'!D37</f>
        <v>372</v>
      </c>
      <c r="E37" s="41">
        <f>'2016-17_working'!E37</f>
        <v>414</v>
      </c>
      <c r="F37" s="41">
        <f>'2016-17_working'!F37</f>
        <v>383</v>
      </c>
      <c r="G37" s="41">
        <f>'2016-17_working'!G37</f>
        <v>1</v>
      </c>
      <c r="H37" s="41">
        <f>'2016-17_working'!H37</f>
        <v>1</v>
      </c>
      <c r="I37" s="41">
        <f>'2016-17_working'!I37</f>
        <v>1</v>
      </c>
      <c r="J37" s="41">
        <f>'2016-17_working'!J37</f>
        <v>1</v>
      </c>
      <c r="K37" s="41">
        <f>'2016-17_working'!K37</f>
        <v>28</v>
      </c>
      <c r="L37" s="41">
        <f>'2016-17_working'!L37</f>
        <v>8733</v>
      </c>
      <c r="N37" s="41"/>
      <c r="O37" s="41"/>
      <c r="P37" s="41"/>
      <c r="Q37" s="41"/>
      <c r="R37" s="41"/>
      <c r="S37" s="41"/>
      <c r="T37" s="41"/>
      <c r="U37" s="41"/>
      <c r="V37" s="41"/>
      <c r="W37" s="41"/>
    </row>
    <row r="38" spans="1:23" s="98" customFormat="1" ht="12.5" x14ac:dyDescent="0.35">
      <c r="A38" s="28">
        <v>84</v>
      </c>
      <c r="B38" s="98" t="s">
        <v>38</v>
      </c>
      <c r="C38" s="41">
        <f>'2016-17_working'!C38</f>
        <v>596</v>
      </c>
      <c r="D38" s="41">
        <f>'2016-17_working'!D38</f>
        <v>316</v>
      </c>
      <c r="E38" s="41">
        <f>'2016-17_working'!E38</f>
        <v>280</v>
      </c>
      <c r="F38" s="41">
        <f>'2016-17_working'!F38</f>
        <v>246</v>
      </c>
      <c r="G38" s="41">
        <f>'2016-17_working'!G38</f>
        <v>30</v>
      </c>
      <c r="H38" s="41">
        <f>'2016-17_working'!H38</f>
        <v>21</v>
      </c>
      <c r="I38" s="41">
        <f>'2016-17_working'!I38</f>
        <v>1</v>
      </c>
      <c r="J38" s="41">
        <f>'2016-17_working'!J38</f>
        <v>0</v>
      </c>
      <c r="K38" s="41">
        <f>'2016-17_working'!K38</f>
        <v>178</v>
      </c>
      <c r="L38" s="41">
        <f>'2016-17_working'!L38</f>
        <v>25444</v>
      </c>
      <c r="N38" s="41"/>
      <c r="O38" s="41"/>
      <c r="P38" s="41"/>
      <c r="Q38" s="41"/>
      <c r="R38" s="41"/>
      <c r="S38" s="41"/>
      <c r="T38" s="41"/>
      <c r="U38" s="41"/>
      <c r="V38" s="41"/>
      <c r="W38" s="41"/>
    </row>
    <row r="39" spans="1:23" s="98" customFormat="1" ht="12.5" x14ac:dyDescent="0.35">
      <c r="A39" s="28">
        <v>85</v>
      </c>
      <c r="B39" s="98" t="s">
        <v>39</v>
      </c>
      <c r="C39" s="41">
        <f>'2016-17_working'!C39</f>
        <v>455</v>
      </c>
      <c r="D39" s="41">
        <f>'2016-17_working'!D39</f>
        <v>283</v>
      </c>
      <c r="E39" s="41">
        <f>'2016-17_working'!E39</f>
        <v>172</v>
      </c>
      <c r="F39" s="41">
        <f>'2016-17_working'!F39</f>
        <v>137</v>
      </c>
      <c r="G39" s="41">
        <f>'2016-17_working'!G39</f>
        <v>12</v>
      </c>
      <c r="H39" s="41">
        <f>'2016-17_working'!H39</f>
        <v>4</v>
      </c>
      <c r="I39" s="41">
        <f>'2016-17_working'!I39</f>
        <v>2</v>
      </c>
      <c r="J39" s="41">
        <f>'2016-17_working'!J39</f>
        <v>0</v>
      </c>
      <c r="K39" s="41">
        <f>'2016-17_working'!K39</f>
        <v>143</v>
      </c>
      <c r="L39" s="41">
        <f>'2016-17_working'!L39</f>
        <v>19804</v>
      </c>
      <c r="N39" s="41"/>
      <c r="O39" s="41"/>
      <c r="P39" s="41"/>
      <c r="Q39" s="41"/>
      <c r="R39" s="41"/>
      <c r="S39" s="41"/>
      <c r="T39" s="41"/>
      <c r="U39" s="41"/>
      <c r="V39" s="41"/>
      <c r="W39" s="41"/>
    </row>
    <row r="40" spans="1:23" s="98" customFormat="1" ht="12.5" x14ac:dyDescent="0.35">
      <c r="A40" s="28">
        <v>87</v>
      </c>
      <c r="B40" s="98" t="s">
        <v>40</v>
      </c>
      <c r="C40" s="41">
        <f>'2016-17_working'!C40</f>
        <v>542</v>
      </c>
      <c r="D40" s="41">
        <f>'2016-17_working'!D40</f>
        <v>424</v>
      </c>
      <c r="E40" s="41">
        <f>'2016-17_working'!E40</f>
        <v>118</v>
      </c>
      <c r="F40" s="41">
        <f>'2016-17_working'!F40</f>
        <v>113</v>
      </c>
      <c r="G40" s="41">
        <f>'2016-17_working'!G40</f>
        <v>1</v>
      </c>
      <c r="H40" s="41">
        <f>'2016-17_working'!H40</f>
        <v>2</v>
      </c>
      <c r="I40" s="41">
        <f>'2016-17_working'!I40</f>
        <v>1</v>
      </c>
      <c r="J40" s="41">
        <f>'2016-17_working'!J40</f>
        <v>0</v>
      </c>
      <c r="K40" s="41">
        <f>'2016-17_working'!K40</f>
        <v>1</v>
      </c>
      <c r="L40" s="41">
        <f>'2016-17_working'!L40</f>
        <v>14360</v>
      </c>
      <c r="N40" s="41"/>
      <c r="O40" s="41"/>
      <c r="P40" s="41"/>
      <c r="Q40" s="41"/>
      <c r="R40" s="41"/>
      <c r="S40" s="41"/>
      <c r="T40" s="41"/>
      <c r="U40" s="41"/>
      <c r="V40" s="41"/>
      <c r="W40" s="41"/>
    </row>
    <row r="41" spans="1:23" s="98" customFormat="1" ht="14.5" x14ac:dyDescent="0.35">
      <c r="A41" s="28">
        <v>90</v>
      </c>
      <c r="B41" s="98" t="s">
        <v>88</v>
      </c>
      <c r="C41" s="41">
        <f>'2016-17_working'!C41</f>
        <v>317</v>
      </c>
      <c r="D41" s="41">
        <f>'2016-17_working'!D41</f>
        <v>183</v>
      </c>
      <c r="E41" s="41">
        <f>'2016-17_working'!E41</f>
        <v>134</v>
      </c>
      <c r="F41" s="41">
        <f>'2016-17_working'!F41</f>
        <v>129</v>
      </c>
      <c r="G41" s="41">
        <f>'2016-17_working'!G41</f>
        <v>2</v>
      </c>
      <c r="H41" s="41">
        <f>'2016-17_working'!H41</f>
        <v>2</v>
      </c>
      <c r="I41" s="41">
        <f>'2016-17_working'!I41</f>
        <v>0</v>
      </c>
      <c r="J41" s="41">
        <f>'2016-17_working'!J41</f>
        <v>1</v>
      </c>
      <c r="K41" s="41">
        <f>'2016-17_working'!K41</f>
        <v>0</v>
      </c>
      <c r="L41" s="41">
        <f>'2016-17_working'!L41</f>
        <v>25825</v>
      </c>
      <c r="N41" s="41"/>
      <c r="O41" s="41"/>
      <c r="P41" s="41"/>
      <c r="Q41" s="41"/>
      <c r="R41" s="41"/>
      <c r="S41" s="41"/>
      <c r="T41" s="41"/>
      <c r="U41" s="41"/>
      <c r="V41" s="41"/>
      <c r="W41" s="41"/>
    </row>
    <row r="42" spans="1:23" s="98" customFormat="1" ht="12.5" x14ac:dyDescent="0.35">
      <c r="A42" s="28">
        <v>91</v>
      </c>
      <c r="B42" s="98" t="s">
        <v>43</v>
      </c>
      <c r="C42" s="41">
        <f>'2016-17_working'!C42</f>
        <v>386</v>
      </c>
      <c r="D42" s="41">
        <f>'2016-17_working'!D42</f>
        <v>330</v>
      </c>
      <c r="E42" s="41">
        <f>'2016-17_working'!E42</f>
        <v>56</v>
      </c>
      <c r="F42" s="41">
        <f>'2016-17_working'!F42</f>
        <v>53</v>
      </c>
      <c r="G42" s="41">
        <f>'2016-17_working'!G42</f>
        <v>6</v>
      </c>
      <c r="H42" s="41">
        <f>'2016-17_working'!H42</f>
        <v>9</v>
      </c>
      <c r="I42" s="41">
        <f>'2016-17_working'!I42</f>
        <v>0</v>
      </c>
      <c r="J42" s="41">
        <f>'2016-17_working'!J42</f>
        <v>0</v>
      </c>
      <c r="K42" s="41">
        <f>'2016-17_working'!K42</f>
        <v>36</v>
      </c>
      <c r="L42" s="41">
        <f>'2016-17_working'!L42</f>
        <v>34553</v>
      </c>
      <c r="N42" s="41"/>
      <c r="O42" s="41"/>
      <c r="P42" s="41"/>
      <c r="Q42" s="41"/>
      <c r="R42" s="41"/>
      <c r="S42" s="41"/>
      <c r="T42" s="41"/>
      <c r="U42" s="41"/>
      <c r="V42" s="41"/>
      <c r="W42" s="41"/>
    </row>
    <row r="43" spans="1:23" s="98" customFormat="1" ht="12.5" x14ac:dyDescent="0.35">
      <c r="A43" s="28">
        <v>92</v>
      </c>
      <c r="B43" s="98" t="s">
        <v>44</v>
      </c>
      <c r="C43" s="41">
        <f>'2016-17_working'!C43</f>
        <v>1148</v>
      </c>
      <c r="D43" s="41">
        <f>'2016-17_working'!D43</f>
        <v>792</v>
      </c>
      <c r="E43" s="41">
        <f>'2016-17_working'!E43</f>
        <v>356</v>
      </c>
      <c r="F43" s="41">
        <f>'2016-17_working'!F43</f>
        <v>1173</v>
      </c>
      <c r="G43" s="41">
        <f>'2016-17_working'!G43</f>
        <v>16</v>
      </c>
      <c r="H43" s="41">
        <f>'2016-17_working'!H43</f>
        <v>3</v>
      </c>
      <c r="I43" s="41">
        <f>'2016-17_working'!I43</f>
        <v>2</v>
      </c>
      <c r="J43" s="41">
        <f>'2016-17_working'!J43</f>
        <v>1</v>
      </c>
      <c r="K43" s="41">
        <f>'2016-17_working'!K43</f>
        <v>5</v>
      </c>
      <c r="L43" s="41">
        <f>'2016-17_working'!L43</f>
        <v>27697.25</v>
      </c>
      <c r="N43" s="41"/>
      <c r="O43" s="41"/>
      <c r="P43" s="41"/>
      <c r="Q43" s="41"/>
      <c r="R43" s="41"/>
      <c r="S43" s="41"/>
      <c r="T43" s="41"/>
      <c r="U43" s="41"/>
      <c r="V43" s="41"/>
      <c r="W43" s="41"/>
    </row>
    <row r="44" spans="1:23" s="98" customFormat="1" ht="12.5" x14ac:dyDescent="0.35">
      <c r="A44" s="28">
        <v>94</v>
      </c>
      <c r="B44" s="98" t="s">
        <v>46</v>
      </c>
      <c r="C44" s="41">
        <f>'2016-17_working'!C44</f>
        <v>599</v>
      </c>
      <c r="D44" s="41">
        <f>'2016-17_working'!D44</f>
        <v>372</v>
      </c>
      <c r="E44" s="41">
        <f>'2016-17_working'!E44</f>
        <v>227</v>
      </c>
      <c r="F44" s="41">
        <f>'2016-17_working'!F44</f>
        <v>13</v>
      </c>
      <c r="G44" s="41">
        <f>'2016-17_working'!G44</f>
        <v>13</v>
      </c>
      <c r="H44" s="41">
        <f>'2016-17_working'!H44</f>
        <v>10</v>
      </c>
      <c r="I44" s="41">
        <f>'2016-17_working'!I44</f>
        <v>0</v>
      </c>
      <c r="J44" s="41">
        <f>'2016-17_working'!J44</f>
        <v>0</v>
      </c>
      <c r="K44" s="41">
        <f>'2016-17_working'!K44</f>
        <v>176</v>
      </c>
      <c r="L44" s="41">
        <f>'2016-17_working'!L44</f>
        <v>13749</v>
      </c>
      <c r="N44" s="41"/>
      <c r="O44" s="41"/>
      <c r="P44" s="41"/>
      <c r="Q44" s="41"/>
      <c r="R44" s="41"/>
      <c r="S44" s="41"/>
      <c r="T44" s="41"/>
      <c r="U44" s="41"/>
      <c r="V44" s="41"/>
      <c r="W44" s="41"/>
    </row>
    <row r="45" spans="1:23" s="98" customFormat="1" ht="12.5" x14ac:dyDescent="0.35">
      <c r="A45" s="28">
        <v>96</v>
      </c>
      <c r="B45" s="98" t="s">
        <v>48</v>
      </c>
      <c r="C45" s="41">
        <f>'2016-17_working'!C45</f>
        <v>394</v>
      </c>
      <c r="D45" s="41">
        <f>'2016-17_working'!D45</f>
        <v>373</v>
      </c>
      <c r="E45" s="41">
        <f>'2016-17_working'!E45</f>
        <v>21</v>
      </c>
      <c r="F45" s="41">
        <f>'2016-17_working'!F45</f>
        <v>61</v>
      </c>
      <c r="G45" s="41">
        <f>'2016-17_working'!G45</f>
        <v>13</v>
      </c>
      <c r="H45" s="41">
        <f>'2016-17_working'!H45</f>
        <v>8</v>
      </c>
      <c r="I45" s="41">
        <f>'2016-17_working'!I45</f>
        <v>2</v>
      </c>
      <c r="J45" s="41">
        <f>'2016-17_working'!J45</f>
        <v>0</v>
      </c>
      <c r="K45" s="41">
        <f>'2016-17_working'!K45</f>
        <v>18</v>
      </c>
      <c r="L45" s="41">
        <f>'2016-17_working'!L45</f>
        <v>20251</v>
      </c>
      <c r="N45" s="41"/>
      <c r="O45" s="41"/>
      <c r="P45" s="41"/>
      <c r="Q45" s="41"/>
      <c r="R45" s="41"/>
      <c r="S45" s="41"/>
      <c r="T45" s="41"/>
      <c r="U45" s="41"/>
      <c r="V45" s="41"/>
      <c r="W45" s="41"/>
    </row>
    <row r="46" spans="1:23" s="98" customFormat="1" ht="12.5" x14ac:dyDescent="0.35">
      <c r="A46" s="28">
        <v>98</v>
      </c>
      <c r="B46" s="98" t="s">
        <v>50</v>
      </c>
      <c r="C46" s="41" t="str">
        <f>'2016-17_working'!C46</f>
        <v>..</v>
      </c>
      <c r="D46" s="41" t="str">
        <f>'2016-17_working'!D46</f>
        <v>..</v>
      </c>
      <c r="E46" s="41" t="str">
        <f>'2016-17_working'!E46</f>
        <v>..</v>
      </c>
      <c r="F46" s="41" t="str">
        <f>'2016-17_working'!F46</f>
        <v>..</v>
      </c>
      <c r="G46" s="41" t="str">
        <f>'2016-17_working'!G46</f>
        <v>..</v>
      </c>
      <c r="H46" s="41" t="str">
        <f>'2016-17_working'!H46</f>
        <v>..</v>
      </c>
      <c r="I46" s="41" t="str">
        <f>'2016-17_working'!I46</f>
        <v>..</v>
      </c>
      <c r="J46" s="41" t="str">
        <f>'2016-17_working'!J46</f>
        <v>..</v>
      </c>
      <c r="K46" s="41" t="str">
        <f>'2016-17_working'!K46</f>
        <v>..</v>
      </c>
      <c r="L46" s="41" t="str">
        <f>'2016-17_working'!L46</f>
        <v>..</v>
      </c>
      <c r="N46" s="41"/>
      <c r="O46" s="41"/>
      <c r="P46" s="41"/>
      <c r="Q46" s="41"/>
      <c r="R46" s="41"/>
      <c r="S46" s="41"/>
      <c r="T46" s="41"/>
      <c r="U46" s="41"/>
      <c r="V46" s="41"/>
      <c r="W46" s="41"/>
    </row>
    <row r="47" spans="1:23" s="98" customFormat="1" ht="12.5" x14ac:dyDescent="0.35">
      <c r="A47" s="28">
        <v>72</v>
      </c>
      <c r="B47" s="98" t="s">
        <v>28</v>
      </c>
      <c r="C47" s="41">
        <f>'2016-17_working'!C47</f>
        <v>7</v>
      </c>
      <c r="D47" s="41">
        <f>'2016-17_working'!D47</f>
        <v>7</v>
      </c>
      <c r="E47" s="41">
        <f>'2016-17_working'!E47</f>
        <v>0</v>
      </c>
      <c r="F47" s="41">
        <f>'2016-17_working'!F47</f>
        <v>0</v>
      </c>
      <c r="G47" s="41">
        <f>'2016-17_working'!G47</f>
        <v>0</v>
      </c>
      <c r="H47" s="41">
        <f>'2016-17_working'!H47</f>
        <v>0</v>
      </c>
      <c r="I47" s="41">
        <f>'2016-17_working'!I47</f>
        <v>0</v>
      </c>
      <c r="J47" s="41">
        <f>'2016-17_working'!J47</f>
        <v>0</v>
      </c>
      <c r="K47" s="41">
        <f>'2016-17_working'!K47</f>
        <v>0</v>
      </c>
      <c r="L47" s="41">
        <f>'2016-17_working'!L47</f>
        <v>340</v>
      </c>
      <c r="N47" s="41"/>
      <c r="O47" s="41"/>
      <c r="P47" s="41"/>
      <c r="Q47" s="41"/>
      <c r="R47" s="41"/>
      <c r="S47" s="41"/>
      <c r="T47" s="41"/>
      <c r="U47" s="41"/>
      <c r="V47" s="41"/>
      <c r="W47" s="41"/>
    </row>
    <row r="48" spans="1:23" s="37" customFormat="1" ht="26.25" customHeight="1" x14ac:dyDescent="0.35">
      <c r="B48" s="37" t="s">
        <v>56</v>
      </c>
      <c r="C48" s="42">
        <f>SUM(C49:C55)</f>
        <v>25255</v>
      </c>
      <c r="D48" s="42">
        <f t="shared" ref="D48:L48" si="2">SUM(D49:D55)</f>
        <v>17207</v>
      </c>
      <c r="E48" s="42">
        <f t="shared" si="2"/>
        <v>8048</v>
      </c>
      <c r="F48" s="42">
        <f t="shared" si="2"/>
        <v>5268</v>
      </c>
      <c r="G48" s="42">
        <f t="shared" si="2"/>
        <v>638</v>
      </c>
      <c r="H48" s="42">
        <f t="shared" si="2"/>
        <v>182</v>
      </c>
      <c r="I48" s="42">
        <f t="shared" si="2"/>
        <v>21</v>
      </c>
      <c r="J48" s="42">
        <f t="shared" si="2"/>
        <v>8</v>
      </c>
      <c r="K48" s="42">
        <f t="shared" si="2"/>
        <v>875</v>
      </c>
      <c r="L48" s="42">
        <f t="shared" si="2"/>
        <v>507453</v>
      </c>
      <c r="N48" s="41"/>
      <c r="O48" s="41"/>
      <c r="P48" s="41"/>
      <c r="Q48" s="41"/>
      <c r="R48" s="41"/>
      <c r="S48" s="41"/>
      <c r="T48" s="41"/>
      <c r="U48" s="41"/>
      <c r="V48" s="41"/>
      <c r="W48" s="41"/>
    </row>
    <row r="49" spans="1:23" s="98" customFormat="1" ht="12.5" x14ac:dyDescent="0.35">
      <c r="A49" s="28">
        <v>66</v>
      </c>
      <c r="B49" s="98" t="s">
        <v>22</v>
      </c>
      <c r="C49" s="41">
        <f>'2016-17_working'!C49</f>
        <v>4595</v>
      </c>
      <c r="D49" s="41">
        <f>'2016-17_working'!D49</f>
        <v>2738</v>
      </c>
      <c r="E49" s="41">
        <f>'2016-17_working'!E49</f>
        <v>1857</v>
      </c>
      <c r="F49" s="41">
        <f>'2016-17_working'!F49</f>
        <v>541</v>
      </c>
      <c r="G49" s="41">
        <f>'2016-17_working'!G49</f>
        <v>69</v>
      </c>
      <c r="H49" s="41">
        <f>'2016-17_working'!H49</f>
        <v>49</v>
      </c>
      <c r="I49" s="41">
        <f>'2016-17_working'!I49</f>
        <v>5</v>
      </c>
      <c r="J49" s="41">
        <f>'2016-17_working'!J49</f>
        <v>0</v>
      </c>
      <c r="K49" s="41">
        <f>'2016-17_working'!K49</f>
        <v>7</v>
      </c>
      <c r="L49" s="41">
        <f>'2016-17_working'!L49</f>
        <v>68001</v>
      </c>
      <c r="N49" s="41"/>
      <c r="O49" s="41"/>
      <c r="P49" s="41"/>
      <c r="Q49" s="41"/>
      <c r="R49" s="41"/>
      <c r="S49" s="41"/>
      <c r="T49" s="41"/>
      <c r="U49" s="41"/>
      <c r="V49" s="41"/>
      <c r="W49" s="41"/>
    </row>
    <row r="50" spans="1:23" s="98" customFormat="1" ht="12.5" x14ac:dyDescent="0.35">
      <c r="A50" s="28">
        <v>78</v>
      </c>
      <c r="B50" s="98" t="s">
        <v>33</v>
      </c>
      <c r="C50" s="41">
        <f>'2016-17_working'!C50</f>
        <v>1166</v>
      </c>
      <c r="D50" s="41">
        <f>'2016-17_working'!D50</f>
        <v>978</v>
      </c>
      <c r="E50" s="41">
        <f>'2016-17_working'!E50</f>
        <v>188</v>
      </c>
      <c r="F50" s="41">
        <f>'2016-17_working'!F50</f>
        <v>122</v>
      </c>
      <c r="G50" s="41">
        <f>'2016-17_working'!G50</f>
        <v>33</v>
      </c>
      <c r="H50" s="41">
        <f>'2016-17_working'!H50</f>
        <v>33</v>
      </c>
      <c r="I50" s="41">
        <f>'2016-17_working'!I50</f>
        <v>4</v>
      </c>
      <c r="J50" s="41">
        <f>'2016-17_working'!J50</f>
        <v>1</v>
      </c>
      <c r="K50" s="41">
        <f>'2016-17_working'!K50</f>
        <v>64</v>
      </c>
      <c r="L50" s="41">
        <f>'2016-17_working'!L50</f>
        <v>28898</v>
      </c>
      <c r="N50" s="41"/>
      <c r="O50" s="41"/>
      <c r="P50" s="41"/>
      <c r="Q50" s="41"/>
      <c r="R50" s="41"/>
      <c r="S50" s="41"/>
      <c r="T50" s="41"/>
      <c r="U50" s="41"/>
      <c r="V50" s="41"/>
      <c r="W50" s="41"/>
    </row>
    <row r="51" spans="1:23" s="98" customFormat="1" ht="12.5" x14ac:dyDescent="0.35">
      <c r="A51" s="28">
        <v>89</v>
      </c>
      <c r="B51" s="98" t="s">
        <v>41</v>
      </c>
      <c r="C51" s="41">
        <f>'2016-17_working'!C51</f>
        <v>2340</v>
      </c>
      <c r="D51" s="41">
        <f>'2016-17_working'!D51</f>
        <v>990</v>
      </c>
      <c r="E51" s="41">
        <f>'2016-17_working'!E51</f>
        <v>1350</v>
      </c>
      <c r="F51" s="41">
        <f>'2016-17_working'!F51</f>
        <v>1191</v>
      </c>
      <c r="G51" s="41">
        <f>'2016-17_working'!G51</f>
        <v>38</v>
      </c>
      <c r="H51" s="41">
        <f>'2016-17_working'!H51</f>
        <v>6</v>
      </c>
      <c r="I51" s="41">
        <f>'2016-17_working'!I51</f>
        <v>0</v>
      </c>
      <c r="J51" s="41">
        <f>'2016-17_working'!J51</f>
        <v>0</v>
      </c>
      <c r="K51" s="41">
        <f>'2016-17_working'!K51</f>
        <v>109</v>
      </c>
      <c r="L51" s="41">
        <f>'2016-17_working'!L51</f>
        <v>38258</v>
      </c>
      <c r="N51" s="41"/>
      <c r="O51" s="41"/>
      <c r="P51" s="41"/>
      <c r="Q51" s="41"/>
      <c r="R51" s="41"/>
      <c r="S51" s="41"/>
      <c r="T51" s="41"/>
      <c r="U51" s="41"/>
      <c r="V51" s="41"/>
      <c r="W51" s="41"/>
    </row>
    <row r="52" spans="1:23" s="98" customFormat="1" ht="12.5" x14ac:dyDescent="0.35">
      <c r="A52" s="28">
        <v>93</v>
      </c>
      <c r="B52" s="98" t="s">
        <v>57</v>
      </c>
      <c r="C52" s="41">
        <f>'2016-17_working'!C52</f>
        <v>1745</v>
      </c>
      <c r="D52" s="41">
        <f>'2016-17_working'!D52</f>
        <v>1189</v>
      </c>
      <c r="E52" s="41">
        <f>'2016-17_working'!E52</f>
        <v>556</v>
      </c>
      <c r="F52" s="41">
        <f>'2016-17_working'!F52</f>
        <v>548</v>
      </c>
      <c r="G52" s="41">
        <f>'2016-17_working'!G52</f>
        <v>6</v>
      </c>
      <c r="H52" s="41">
        <f>'2016-17_working'!H52</f>
        <v>5</v>
      </c>
      <c r="I52" s="41">
        <f>'2016-17_working'!I52</f>
        <v>1</v>
      </c>
      <c r="J52" s="41">
        <f>'2016-17_working'!J52</f>
        <v>3</v>
      </c>
      <c r="K52" s="41">
        <f>'2016-17_working'!K52</f>
        <v>14</v>
      </c>
      <c r="L52" s="41">
        <f>'2016-17_working'!L52</f>
        <v>31299</v>
      </c>
      <c r="N52" s="41"/>
      <c r="O52" s="41"/>
      <c r="P52" s="41"/>
      <c r="Q52" s="41"/>
      <c r="R52" s="41"/>
      <c r="S52" s="41"/>
      <c r="T52" s="41"/>
      <c r="U52" s="41"/>
      <c r="V52" s="41"/>
      <c r="W52" s="41"/>
    </row>
    <row r="53" spans="1:23" s="98" customFormat="1" ht="12.5" x14ac:dyDescent="0.35">
      <c r="A53" s="28">
        <v>95</v>
      </c>
      <c r="B53" s="98" t="s">
        <v>47</v>
      </c>
      <c r="C53" s="41">
        <f>'2016-17_working'!C53</f>
        <v>1594</v>
      </c>
      <c r="D53" s="41">
        <f>'2016-17_working'!D53</f>
        <v>360</v>
      </c>
      <c r="E53" s="41">
        <f>'2016-17_working'!E53</f>
        <v>1234</v>
      </c>
      <c r="F53" s="41">
        <f>'2016-17_working'!F53</f>
        <v>520</v>
      </c>
      <c r="G53" s="41">
        <f>'2016-17_working'!G53</f>
        <v>25</v>
      </c>
      <c r="H53" s="41">
        <f>'2016-17_working'!H53</f>
        <v>26</v>
      </c>
      <c r="I53" s="41">
        <f>'2016-17_working'!I53</f>
        <v>6</v>
      </c>
      <c r="J53" s="41">
        <f>'2016-17_working'!J53</f>
        <v>3</v>
      </c>
      <c r="K53" s="41">
        <f>'2016-17_working'!K53</f>
        <v>132</v>
      </c>
      <c r="L53" s="41">
        <f>'2016-17_working'!L53</f>
        <v>91154</v>
      </c>
      <c r="N53" s="41"/>
      <c r="O53" s="41"/>
      <c r="P53" s="41"/>
      <c r="Q53" s="41"/>
      <c r="R53" s="41"/>
      <c r="S53" s="41"/>
      <c r="T53" s="41"/>
      <c r="U53" s="41"/>
      <c r="V53" s="41"/>
      <c r="W53" s="41"/>
    </row>
    <row r="54" spans="1:23" s="98" customFormat="1" ht="12.5" x14ac:dyDescent="0.35">
      <c r="A54" s="28">
        <v>97</v>
      </c>
      <c r="B54" s="98" t="s">
        <v>49</v>
      </c>
      <c r="C54" s="41">
        <f>'2016-17_working'!C54</f>
        <v>1184</v>
      </c>
      <c r="D54" s="41">
        <f>'2016-17_working'!D54</f>
        <v>704</v>
      </c>
      <c r="E54" s="41">
        <f>'2016-17_working'!E54</f>
        <v>480</v>
      </c>
      <c r="F54" s="41">
        <f>'2016-17_working'!F54</f>
        <v>271</v>
      </c>
      <c r="G54" s="41">
        <f>'2016-17_working'!G54</f>
        <v>79</v>
      </c>
      <c r="H54" s="41">
        <f>'2016-17_working'!H54</f>
        <v>12</v>
      </c>
      <c r="I54" s="41">
        <f>'2016-17_working'!I54</f>
        <v>0</v>
      </c>
      <c r="J54" s="41">
        <f>'2016-17_working'!J54</f>
        <v>1</v>
      </c>
      <c r="K54" s="41">
        <f>'2016-17_working'!K54</f>
        <v>133</v>
      </c>
      <c r="L54" s="41">
        <f>'2016-17_working'!L54</f>
        <v>81416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</row>
    <row r="55" spans="1:23" s="98" customFormat="1" ht="12.5" x14ac:dyDescent="0.35">
      <c r="A55" s="28">
        <v>77</v>
      </c>
      <c r="B55" s="96" t="s">
        <v>21</v>
      </c>
      <c r="C55" s="41">
        <f>'2016-17_working'!C55</f>
        <v>12631</v>
      </c>
      <c r="D55" s="41">
        <f>'2016-17_working'!D55</f>
        <v>10248</v>
      </c>
      <c r="E55" s="41">
        <f>'2016-17_working'!E55</f>
        <v>2383</v>
      </c>
      <c r="F55" s="41">
        <f>'2016-17_working'!F55</f>
        <v>2075</v>
      </c>
      <c r="G55" s="41">
        <f>'2016-17_working'!G55</f>
        <v>388</v>
      </c>
      <c r="H55" s="41">
        <f>'2016-17_working'!H55</f>
        <v>51</v>
      </c>
      <c r="I55" s="41">
        <f>'2016-17_working'!I55</f>
        <v>5</v>
      </c>
      <c r="J55" s="41">
        <f>'2016-17_working'!J55</f>
        <v>0</v>
      </c>
      <c r="K55" s="41">
        <f>'2016-17_working'!K55</f>
        <v>416</v>
      </c>
      <c r="L55" s="41">
        <f>'2016-17_working'!L55</f>
        <v>168427</v>
      </c>
      <c r="N55" s="41"/>
      <c r="O55" s="41"/>
      <c r="P55" s="41"/>
      <c r="Q55" s="41"/>
      <c r="R55" s="41"/>
      <c r="S55" s="41"/>
      <c r="T55" s="41"/>
      <c r="U55" s="41"/>
      <c r="V55" s="41"/>
      <c r="W55" s="41"/>
    </row>
    <row r="56" spans="1:23" s="98" customFormat="1" ht="6" customHeight="1" x14ac:dyDescent="0.35">
      <c r="B56" s="50"/>
      <c r="C56" s="50"/>
      <c r="I56" s="51"/>
    </row>
    <row r="57" spans="1:23" s="98" customFormat="1" ht="14.25" customHeight="1" x14ac:dyDescent="0.35">
      <c r="B57" s="52" t="s">
        <v>89</v>
      </c>
      <c r="C57" s="50"/>
      <c r="I57" s="51"/>
    </row>
    <row r="58" spans="1:23" s="98" customFormat="1" ht="14.25" customHeight="1" x14ac:dyDescent="0.35">
      <c r="B58" s="52" t="s">
        <v>90</v>
      </c>
      <c r="C58" s="50"/>
      <c r="I58" s="51"/>
    </row>
    <row r="59" spans="1:23" s="98" customFormat="1" ht="14.25" customHeight="1" x14ac:dyDescent="0.35">
      <c r="B59" s="50"/>
      <c r="C59" s="50"/>
      <c r="I59" s="51"/>
    </row>
    <row r="60" spans="1:23" s="98" customFormat="1" x14ac:dyDescent="0.35">
      <c r="B60" s="53" t="s">
        <v>91</v>
      </c>
      <c r="C60" s="53"/>
      <c r="I60" s="54"/>
    </row>
    <row r="61" spans="1:23" s="98" customFormat="1" ht="9.75" customHeight="1" x14ac:dyDescent="0.35">
      <c r="I61" s="51"/>
    </row>
  </sheetData>
  <mergeCells count="11">
    <mergeCell ref="M3:M4"/>
    <mergeCell ref="B2:L2"/>
    <mergeCell ref="B3:B4"/>
    <mergeCell ref="C3:E3"/>
    <mergeCell ref="F3:F4"/>
    <mergeCell ref="G3:G4"/>
    <mergeCell ref="H3:H4"/>
    <mergeCell ref="I3:I4"/>
    <mergeCell ref="J3:J4"/>
    <mergeCell ref="K3:K4"/>
    <mergeCell ref="L3:L4"/>
  </mergeCells>
  <pageMargins left="0.48" right="0.31" top="0.24" bottom="0.16" header="0.5" footer="0.16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(2010-11)</vt:lpstr>
      <vt:lpstr>(2011-12)</vt:lpstr>
      <vt:lpstr>(2012-13)</vt:lpstr>
      <vt:lpstr>(2013-14)</vt:lpstr>
      <vt:lpstr>(2014-15)</vt:lpstr>
      <vt:lpstr>2015-16_working</vt:lpstr>
      <vt:lpstr>(2015-16)</vt:lpstr>
      <vt:lpstr>2016-17_working</vt:lpstr>
      <vt:lpstr>(2016-17)</vt:lpstr>
      <vt:lpstr>2017-18_working</vt:lpstr>
      <vt:lpstr>(2017-18)</vt:lpstr>
      <vt:lpstr>FIRE1202 raw</vt:lpstr>
      <vt:lpstr>FIRE1202</vt:lpstr>
      <vt:lpstr>'(2010-11)'!Print_Area</vt:lpstr>
      <vt:lpstr>'(2011-12)'!Print_Area</vt:lpstr>
      <vt:lpstr>'(2012-13)'!Print_Area</vt:lpstr>
      <vt:lpstr>'(2013-14)'!Print_Area</vt:lpstr>
      <vt:lpstr>'(2014-15)'!Print_Area</vt:lpstr>
      <vt:lpstr>'(2015-16)'!Print_Area</vt:lpstr>
      <vt:lpstr>'(2016-17)'!Print_Area</vt:lpstr>
      <vt:lpstr>'(2017-18)'!Print_Area</vt:lpstr>
      <vt:lpstr>'2015-16_working'!Print_Area</vt:lpstr>
      <vt:lpstr>'2016-17_working'!Print_Area</vt:lpstr>
      <vt:lpstr>'2017-18_working'!Print_Area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FIRE1202: Fire safety audits carried out by fire and rescue services, by fire and rescue authority</dc:title>
  <dc:creator/>
  <cp:keywords>data tables, fire, audit, 2018</cp:keywords>
  <cp:lastModifiedBy/>
  <dcterms:created xsi:type="dcterms:W3CDTF">2018-10-16T13:32:04Z</dcterms:created>
  <dcterms:modified xsi:type="dcterms:W3CDTF">2018-10-16T13:34:04Z</dcterms:modified>
</cp:coreProperties>
</file>