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/>
  <xr:revisionPtr revIDLastSave="0" documentId="10_ncr:100000_{214C6958-22C9-4736-8710-E5219A7EB8A8}" xr6:coauthVersionLast="31" xr6:coauthVersionMax="31" xr10:uidLastSave="{00000000-0000-0000-0000-000000000000}"/>
  <workbookProtection workbookAlgorithmName="SHA-512" workbookHashValue="ArWn4Xjgzo1nlwR1STgWj5fk0vQF+0o5/JWIAZIRe2XCYIr7x61TjEgP3dxjRkFDGhTc7eNhrPmpWnt4whXFLg==" workbookSaltValue="6n/EqugIqx55NK6/cpEAEQ==" workbookSpinCount="100000" lockStructure="1"/>
  <bookViews>
    <workbookView xWindow="0" yWindow="0" windowWidth="21620" windowHeight="7740" tabRatio="642" firstSheet="12" activeTab="12" xr2:uid="{00000000-000D-0000-FFFF-FFFF00000000}"/>
  </bookViews>
  <sheets>
    <sheet name="(2010-11)" sheetId="18" state="hidden" r:id="rId1"/>
    <sheet name="(2011-12)" sheetId="17" state="hidden" r:id="rId2"/>
    <sheet name="(2012-13)" sheetId="16" state="hidden" r:id="rId3"/>
    <sheet name="(2013-14)" sheetId="15" state="hidden" r:id="rId4"/>
    <sheet name="(2014-15)" sheetId="12" state="hidden" r:id="rId5"/>
    <sheet name="2015-16_working" sheetId="13" state="hidden" r:id="rId6"/>
    <sheet name="(2015-16)" sheetId="14" state="hidden" r:id="rId7"/>
    <sheet name="2016-17_working" sheetId="19" state="hidden" r:id="rId8"/>
    <sheet name="(2016-17)" sheetId="20" state="hidden" r:id="rId9"/>
    <sheet name="2017-18_working" sheetId="21" state="hidden" r:id="rId10"/>
    <sheet name="(2017-18)" sheetId="23" state="hidden" r:id="rId11"/>
    <sheet name="FIRE1201 raw" sheetId="1" state="hidden" r:id="rId12"/>
    <sheet name="FIRE1201" sheetId="11" r:id="rId13"/>
  </sheets>
  <definedNames>
    <definedName name="_xlnm.Print_Area" localSheetId="0">'(2010-11)'!$B$1:$J$65</definedName>
    <definedName name="_xlnm.Print_Area" localSheetId="1">'(2011-12)'!$B$1:$J$65</definedName>
    <definedName name="_xlnm.Print_Area" localSheetId="2">'(2012-13)'!$B$1:$J$58</definedName>
    <definedName name="_xlnm.Print_Area" localSheetId="3">'(2013-14)'!$B$1:$J$59</definedName>
    <definedName name="_xlnm.Print_Area" localSheetId="4">'(2014-15)'!$B$1:$J$59</definedName>
    <definedName name="_xlnm.Print_Area" localSheetId="6">'(2015-16)'!$B$1:$J$59</definedName>
    <definedName name="_xlnm.Print_Area" localSheetId="8">'(2016-17)'!$B$1:$J$59</definedName>
    <definedName name="_xlnm.Print_Area" localSheetId="10">'(2017-18)'!$B$1:$J$59</definedName>
    <definedName name="_xlnm.Print_Area" localSheetId="5">'2015-16_working'!$B$1:$J$59</definedName>
    <definedName name="_xlnm.Print_Area" localSheetId="7">'2016-17_working'!$B$1:$J$59</definedName>
    <definedName name="_xlnm.Print_Area" localSheetId="9">'2017-18_working'!$B$1:$J$59</definedName>
    <definedName name="qrychiefrepspecservrtaother" localSheetId="0">#REF!</definedName>
    <definedName name="qrychiefrepspecservrtaother" localSheetId="1">#REF!</definedName>
    <definedName name="qrychiefrepspecservrtaother" localSheetId="2">#REF!</definedName>
    <definedName name="qrychiefrepspecservrtaother" localSheetId="3">#REF!</definedName>
    <definedName name="qrychiefrepspecservrtaother" localSheetId="4">#REF!</definedName>
    <definedName name="qrychiefrepspecservrtaother" localSheetId="6">#REF!</definedName>
    <definedName name="qrychiefrepspecservrtaother" localSheetId="8">#REF!</definedName>
    <definedName name="qrychiefrepspecservrtaother" localSheetId="10">#REF!</definedName>
    <definedName name="qrychiefrepspecservrtaother" localSheetId="5">#REF!</definedName>
    <definedName name="qrychiefrepspecservrtaother" localSheetId="7">#REF!</definedName>
    <definedName name="qrychiefrepspecservrtaother" localSheetId="9">#REF!</definedName>
    <definedName name="qrychiefrepsuccretireresig" localSheetId="0">#REF!</definedName>
    <definedName name="qrychiefrepsuccretireresig" localSheetId="1">#REF!</definedName>
    <definedName name="qrychiefrepsuccretireresig" localSheetId="2">#REF!</definedName>
    <definedName name="qrychiefrepsuccretireresig" localSheetId="3">#REF!</definedName>
    <definedName name="qrychiefrepsuccretireresig" localSheetId="4">#REF!</definedName>
    <definedName name="qrychiefrepsuccretireresig" localSheetId="6">#REF!</definedName>
    <definedName name="qrychiefrepsuccretireresig" localSheetId="8">#REF!</definedName>
    <definedName name="qrychiefrepsuccretireresig" localSheetId="10">#REF!</definedName>
    <definedName name="qrychiefrepsuccretireresig" localSheetId="5">#REF!</definedName>
    <definedName name="qrychiefrepsuccretireresig" localSheetId="7">#REF!</definedName>
    <definedName name="qrychiefrepsuccretireresig" localSheetId="9">#REF!</definedName>
    <definedName name="qrychiefrepwteststr" localSheetId="0">#REF!</definedName>
    <definedName name="qrychiefrepwteststr" localSheetId="1">#REF!</definedName>
    <definedName name="qrychiefrepwteststr" localSheetId="2">#REF!</definedName>
    <definedName name="qrychiefrepwteststr" localSheetId="3">#REF!</definedName>
    <definedName name="qrychiefrepwteststr" localSheetId="4">#REF!</definedName>
    <definedName name="qrychiefrepwteststr" localSheetId="6">#REF!</definedName>
    <definedName name="qrychiefrepwteststr" localSheetId="8">#REF!</definedName>
    <definedName name="qrychiefrepwteststr" localSheetId="10">#REF!</definedName>
    <definedName name="qrychiefrepwteststr" localSheetId="5">#REF!</definedName>
    <definedName name="qrychiefrepwteststr" localSheetId="7">#REF!</definedName>
    <definedName name="qrychiefrepwteststr" localSheetId="9">#REF!</definedName>
    <definedName name="qrychiefrepwtgeneth" localSheetId="0">#REF!</definedName>
    <definedName name="qrychiefrepwtgeneth" localSheetId="1">#REF!</definedName>
    <definedName name="qrychiefrepwtgeneth" localSheetId="2">#REF!</definedName>
    <definedName name="qrychiefrepwtgeneth" localSheetId="3">#REF!</definedName>
    <definedName name="qrychiefrepwtgeneth" localSheetId="4">#REF!</definedName>
    <definedName name="qrychiefrepwtgeneth" localSheetId="6">#REF!</definedName>
    <definedName name="qrychiefrepwtgeneth" localSheetId="8">#REF!</definedName>
    <definedName name="qrychiefrepwtgeneth" localSheetId="10">#REF!</definedName>
    <definedName name="qrychiefrepwtgeneth" localSheetId="5">#REF!</definedName>
    <definedName name="qrychiefrepwtgeneth" localSheetId="7">#REF!</definedName>
    <definedName name="qrychiefrepwtgeneth" localSheetId="9">#REF!</definedName>
    <definedName name="qryffinjuries9900" localSheetId="0">#REF!</definedName>
    <definedName name="qryffinjuries9900" localSheetId="1">#REF!</definedName>
    <definedName name="qryffinjuries9900" localSheetId="2">#REF!</definedName>
    <definedName name="qryffinjuries9900" localSheetId="3">#REF!</definedName>
    <definedName name="qryffinjuries9900" localSheetId="4">#REF!</definedName>
    <definedName name="qryffinjuries9900" localSheetId="6">#REF!</definedName>
    <definedName name="qryffinjuries9900" localSheetId="8">#REF!</definedName>
    <definedName name="qryffinjuries9900" localSheetId="10">#REF!</definedName>
    <definedName name="qryffinjuries9900" localSheetId="5">#REF!</definedName>
    <definedName name="qryffinjuries9900" localSheetId="7">#REF!</definedName>
    <definedName name="qryffinjuries9900" localSheetId="9">#REF!</definedName>
    <definedName name="qryPI15" localSheetId="0">#REF!</definedName>
    <definedName name="qryPI15" localSheetId="1">#REF!</definedName>
    <definedName name="qryPI15" localSheetId="2">#REF!</definedName>
    <definedName name="qryPI15" localSheetId="3">#REF!</definedName>
    <definedName name="qryPI15" localSheetId="4">#REF!</definedName>
    <definedName name="qryPI15" localSheetId="6">#REF!</definedName>
    <definedName name="qryPI15" localSheetId="8">#REF!</definedName>
    <definedName name="qryPI15" localSheetId="10">#REF!</definedName>
    <definedName name="qryPI15" localSheetId="5">#REF!</definedName>
    <definedName name="qryPI15" localSheetId="7">#REF!</definedName>
    <definedName name="qryPI15" localSheetId="9">#REF!</definedName>
    <definedName name="qryPI16" localSheetId="0">#REF!</definedName>
    <definedName name="qryPI16" localSheetId="1">#REF!</definedName>
    <definedName name="qryPI16" localSheetId="2">#REF!</definedName>
    <definedName name="qryPI16" localSheetId="3">#REF!</definedName>
    <definedName name="qryPI16" localSheetId="4">#REF!</definedName>
    <definedName name="qryPI16" localSheetId="6">#REF!</definedName>
    <definedName name="qryPI16" localSheetId="8">#REF!</definedName>
    <definedName name="qryPI16" localSheetId="10">#REF!</definedName>
    <definedName name="qryPI16" localSheetId="5">#REF!</definedName>
    <definedName name="qryPI16" localSheetId="7">#REF!</definedName>
    <definedName name="qryPI16" localSheetId="9">#REF!</definedName>
    <definedName name="qryPIBV145a" localSheetId="0">#REF!</definedName>
    <definedName name="qryPIBV145a" localSheetId="1">#REF!</definedName>
    <definedName name="qryPIBV145a" localSheetId="2">#REF!</definedName>
    <definedName name="qryPIBV145a" localSheetId="3">#REF!</definedName>
    <definedName name="qryPIBV145a" localSheetId="4">#REF!</definedName>
    <definedName name="qryPIBV145a" localSheetId="6">#REF!</definedName>
    <definedName name="qryPIBV145a" localSheetId="8">#REF!</definedName>
    <definedName name="qryPIBV145a" localSheetId="10">#REF!</definedName>
    <definedName name="qryPIBV145a" localSheetId="5">#REF!</definedName>
    <definedName name="qryPIBV145a" localSheetId="7">#REF!</definedName>
    <definedName name="qryPIBV145a" localSheetId="9">#REF!</definedName>
    <definedName name="qryPIBV145b" localSheetId="0">#REF!</definedName>
    <definedName name="qryPIBV145b" localSheetId="1">#REF!</definedName>
    <definedName name="qryPIBV145b" localSheetId="2">#REF!</definedName>
    <definedName name="qryPIBV145b" localSheetId="3">#REF!</definedName>
    <definedName name="qryPIBV145b" localSheetId="4">#REF!</definedName>
    <definedName name="qryPIBV145b" localSheetId="6">#REF!</definedName>
    <definedName name="qryPIBV145b" localSheetId="8">#REF!</definedName>
    <definedName name="qryPIBV145b" localSheetId="10">#REF!</definedName>
    <definedName name="qryPIBV145b" localSheetId="5">#REF!</definedName>
    <definedName name="qryPIBV145b" localSheetId="7">#REF!</definedName>
    <definedName name="qryPIBV145b" localSheetId="9">#REF!</definedName>
    <definedName name="qryPIBV145c" localSheetId="0">#REF!</definedName>
    <definedName name="qryPIBV145c" localSheetId="1">#REF!</definedName>
    <definedName name="qryPIBV145c" localSheetId="2">#REF!</definedName>
    <definedName name="qryPIBV145c" localSheetId="3">#REF!</definedName>
    <definedName name="qryPIBV145c" localSheetId="4">#REF!</definedName>
    <definedName name="qryPIBV145c" localSheetId="6">#REF!</definedName>
    <definedName name="qryPIBV145c" localSheetId="8">#REF!</definedName>
    <definedName name="qryPIBV145c" localSheetId="10">#REF!</definedName>
    <definedName name="qryPIBV145c" localSheetId="5">#REF!</definedName>
    <definedName name="qryPIBV145c" localSheetId="7">#REF!</definedName>
    <definedName name="qryPIBV145c" localSheetId="9">#REF!</definedName>
    <definedName name="qryPIBV15i" localSheetId="0">#REF!</definedName>
    <definedName name="qryPIBV15i" localSheetId="1">#REF!</definedName>
    <definedName name="qryPIBV15i" localSheetId="2">#REF!</definedName>
    <definedName name="qryPIBV15i" localSheetId="3">#REF!</definedName>
    <definedName name="qryPIBV15i" localSheetId="4">#REF!</definedName>
    <definedName name="qryPIBV15i" localSheetId="6">#REF!</definedName>
    <definedName name="qryPIBV15i" localSheetId="8">#REF!</definedName>
    <definedName name="qryPIBV15i" localSheetId="10">#REF!</definedName>
    <definedName name="qryPIBV15i" localSheetId="5">#REF!</definedName>
    <definedName name="qryPIBV15i" localSheetId="7">#REF!</definedName>
    <definedName name="qryPIBV15i" localSheetId="9">#REF!</definedName>
    <definedName name="qryPIBV15ii" localSheetId="0">#REF!</definedName>
    <definedName name="qryPIBV15ii" localSheetId="1">#REF!</definedName>
    <definedName name="qryPIBV15ii" localSheetId="2">#REF!</definedName>
    <definedName name="qryPIBV15ii" localSheetId="3">#REF!</definedName>
    <definedName name="qryPIBV15ii" localSheetId="4">#REF!</definedName>
    <definedName name="qryPIBV15ii" localSheetId="6">#REF!</definedName>
    <definedName name="qryPIBV15ii" localSheetId="8">#REF!</definedName>
    <definedName name="qryPIBV15ii" localSheetId="10">#REF!</definedName>
    <definedName name="qryPIBV15ii" localSheetId="5">#REF!</definedName>
    <definedName name="qryPIBV15ii" localSheetId="7">#REF!</definedName>
    <definedName name="qryPIBV15ii" localSheetId="9">#REF!</definedName>
    <definedName name="qryPIctsickness" localSheetId="0">#REF!</definedName>
    <definedName name="qryPIctsickness" localSheetId="1">#REF!</definedName>
    <definedName name="qryPIctsickness" localSheetId="2">#REF!</definedName>
    <definedName name="qryPIctsickness" localSheetId="3">#REF!</definedName>
    <definedName name="qryPIctsickness" localSheetId="4">#REF!</definedName>
    <definedName name="qryPIctsickness" localSheetId="6">#REF!</definedName>
    <definedName name="qryPIctsickness" localSheetId="8">#REF!</definedName>
    <definedName name="qryPIctsickness" localSheetId="10">#REF!</definedName>
    <definedName name="qryPIctsickness" localSheetId="5">#REF!</definedName>
    <definedName name="qryPIctsickness" localSheetId="7">#REF!</definedName>
    <definedName name="qryPIctsickness" localSheetId="9">#REF!</definedName>
    <definedName name="qryPIriderfactleave" localSheetId="0">#REF!</definedName>
    <definedName name="qryPIriderfactleave" localSheetId="1">#REF!</definedName>
    <definedName name="qryPIriderfactleave" localSheetId="2">#REF!</definedName>
    <definedName name="qryPIriderfactleave" localSheetId="3">#REF!</definedName>
    <definedName name="qryPIriderfactleave" localSheetId="4">#REF!</definedName>
    <definedName name="qryPIriderfactleave" localSheetId="6">#REF!</definedName>
    <definedName name="qryPIriderfactleave" localSheetId="8">#REF!</definedName>
    <definedName name="qryPIriderfactleave" localSheetId="10">#REF!</definedName>
    <definedName name="qryPIriderfactleave" localSheetId="5">#REF!</definedName>
    <definedName name="qryPIriderfactleave" localSheetId="7">#REF!</definedName>
    <definedName name="qryPIriderfactleave" localSheetId="9">#REF!</definedName>
    <definedName name="qryPIriderfactsick" localSheetId="0">#REF!</definedName>
    <definedName name="qryPIriderfactsick" localSheetId="1">#REF!</definedName>
    <definedName name="qryPIriderfactsick" localSheetId="2">#REF!</definedName>
    <definedName name="qryPIriderfactsick" localSheetId="3">#REF!</definedName>
    <definedName name="qryPIriderfactsick" localSheetId="4">#REF!</definedName>
    <definedName name="qryPIriderfactsick" localSheetId="6">#REF!</definedName>
    <definedName name="qryPIriderfactsick" localSheetId="8">#REF!</definedName>
    <definedName name="qryPIriderfactsick" localSheetId="10">#REF!</definedName>
    <definedName name="qryPIriderfactsick" localSheetId="5">#REF!</definedName>
    <definedName name="qryPIriderfactsick" localSheetId="7">#REF!</definedName>
    <definedName name="qryPIriderfactsick" localSheetId="9">#REF!</definedName>
    <definedName name="Query1" localSheetId="0">#REF!</definedName>
    <definedName name="Query1" localSheetId="1">#REF!</definedName>
    <definedName name="Query1" localSheetId="2">#REF!</definedName>
    <definedName name="Query1" localSheetId="3">#REF!</definedName>
    <definedName name="Query1" localSheetId="4">#REF!</definedName>
    <definedName name="Query1" localSheetId="6">#REF!</definedName>
    <definedName name="Query1" localSheetId="8">#REF!</definedName>
    <definedName name="Query1" localSheetId="10">#REF!</definedName>
    <definedName name="Query1" localSheetId="5">#REF!</definedName>
    <definedName name="Query1" localSheetId="7">#REF!</definedName>
    <definedName name="Query1" localSheetId="9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2" l="1"/>
  <c r="H6" i="12" s="1"/>
  <c r="G7" i="12"/>
  <c r="G6" i="12" s="1"/>
  <c r="H7" i="15"/>
  <c r="G7" i="15"/>
  <c r="H7" i="16"/>
  <c r="H6" i="16" s="1"/>
  <c r="G7" i="16"/>
  <c r="G6" i="16" s="1"/>
  <c r="H7" i="17"/>
  <c r="H6" i="17" s="1"/>
  <c r="G7" i="17"/>
  <c r="G6" i="17" s="1"/>
  <c r="G7" i="18"/>
  <c r="G6" i="18" s="1"/>
  <c r="H7" i="18"/>
  <c r="H6" i="18" s="1"/>
  <c r="G6" i="15" l="1"/>
  <c r="H6" i="15"/>
  <c r="F7" i="15"/>
  <c r="F6" i="15" s="1"/>
  <c r="E7" i="15"/>
  <c r="E6" i="15" s="1"/>
  <c r="A4" i="1" l="1"/>
  <c r="D48" i="23" l="1"/>
  <c r="E48" i="23"/>
  <c r="F48" i="23"/>
  <c r="G48" i="23"/>
  <c r="H48" i="23"/>
  <c r="I48" i="23"/>
  <c r="J48" i="23"/>
  <c r="C48" i="23"/>
  <c r="C6" i="23" s="1"/>
  <c r="H6" i="23"/>
  <c r="E7" i="23"/>
  <c r="E6" i="23" s="1"/>
  <c r="F7" i="23"/>
  <c r="F6" i="23" s="1"/>
  <c r="G7" i="23"/>
  <c r="G6" i="23" s="1"/>
  <c r="H7" i="23"/>
  <c r="I7" i="23"/>
  <c r="I6" i="23" s="1"/>
  <c r="J7" i="23"/>
  <c r="J6" i="23" s="1"/>
  <c r="C7" i="23"/>
  <c r="J7" i="21" l="1"/>
  <c r="I7" i="21"/>
  <c r="H7" i="21"/>
  <c r="F7" i="21"/>
  <c r="E7" i="21"/>
  <c r="D7" i="21"/>
  <c r="J48" i="21"/>
  <c r="I48" i="21"/>
  <c r="H48" i="21"/>
  <c r="G48" i="21"/>
  <c r="F48" i="21"/>
  <c r="E48" i="21"/>
  <c r="D48" i="21"/>
  <c r="C48" i="21"/>
  <c r="C71" i="21"/>
  <c r="G7" i="21"/>
  <c r="C7" i="21"/>
  <c r="C70" i="21" s="1"/>
  <c r="I6" i="21" l="1"/>
  <c r="H6" i="21"/>
  <c r="E6" i="21"/>
  <c r="J6" i="21"/>
  <c r="G6" i="21"/>
  <c r="F6" i="21"/>
  <c r="D70" i="21"/>
  <c r="D71" i="21" s="1"/>
  <c r="D7" i="23" s="1"/>
  <c r="D6" i="23" s="1"/>
  <c r="D6" i="21"/>
  <c r="C6" i="21"/>
  <c r="J48" i="20" l="1"/>
  <c r="I48" i="20"/>
  <c r="H48" i="20"/>
  <c r="G48" i="20"/>
  <c r="F48" i="20"/>
  <c r="E48" i="20"/>
  <c r="D48" i="20"/>
  <c r="C48" i="20"/>
  <c r="J7" i="20"/>
  <c r="J6" i="20" s="1"/>
  <c r="I7" i="20"/>
  <c r="I6" i="20" s="1"/>
  <c r="H7" i="20"/>
  <c r="H6" i="20" s="1"/>
  <c r="G7" i="20"/>
  <c r="F7" i="20"/>
  <c r="F6" i="20" s="1"/>
  <c r="E7" i="20"/>
  <c r="C7" i="20"/>
  <c r="E6" i="20"/>
  <c r="C71" i="19"/>
  <c r="I50" i="1"/>
  <c r="C6" i="20" l="1"/>
  <c r="G6" i="20"/>
  <c r="M50" i="11"/>
  <c r="G50" i="1"/>
  <c r="E50" i="1"/>
  <c r="F50" i="1"/>
  <c r="E57" i="1"/>
  <c r="G57" i="1"/>
  <c r="B50" i="1"/>
  <c r="D50" i="1"/>
  <c r="F57" i="1"/>
  <c r="B57" i="1"/>
  <c r="C50" i="1"/>
  <c r="H57" i="1"/>
  <c r="H50" i="1"/>
  <c r="C57" i="1"/>
  <c r="I57" i="1"/>
  <c r="D57" i="1"/>
  <c r="G57" i="11" l="1"/>
  <c r="B57" i="11"/>
  <c r="L50" i="11"/>
  <c r="F57" i="11"/>
  <c r="G50" i="11"/>
  <c r="J57" i="11"/>
  <c r="F50" i="11"/>
  <c r="J50" i="11"/>
  <c r="I57" i="11"/>
  <c r="B50" i="11"/>
  <c r="M57" i="11"/>
  <c r="C57" i="11"/>
  <c r="L57" i="11"/>
  <c r="C50" i="11"/>
  <c r="I50" i="11"/>
  <c r="J48" i="19" l="1"/>
  <c r="I48" i="19"/>
  <c r="H48" i="19"/>
  <c r="G48" i="19"/>
  <c r="F48" i="19"/>
  <c r="E48" i="19"/>
  <c r="D48" i="19"/>
  <c r="C48" i="19"/>
  <c r="C7" i="19"/>
  <c r="J7" i="19"/>
  <c r="I7" i="19"/>
  <c r="H7" i="19"/>
  <c r="G7" i="19"/>
  <c r="F7" i="19"/>
  <c r="E7" i="19"/>
  <c r="D7" i="19"/>
  <c r="D70" i="19" s="1"/>
  <c r="C70" i="19" l="1"/>
  <c r="D71" i="19" s="1"/>
  <c r="D7" i="20" s="1"/>
  <c r="E6" i="19"/>
  <c r="F6" i="19"/>
  <c r="G6" i="19"/>
  <c r="I6" i="19"/>
  <c r="C6" i="19"/>
  <c r="D6" i="19"/>
  <c r="H6" i="19"/>
  <c r="J6" i="19"/>
  <c r="D6" i="20" l="1"/>
  <c r="J48" i="13"/>
  <c r="I48" i="13"/>
  <c r="E48" i="13"/>
  <c r="J7" i="13" l="1"/>
  <c r="J6" i="13" s="1"/>
  <c r="C7" i="13"/>
  <c r="D7" i="13"/>
  <c r="G48" i="13"/>
  <c r="H48" i="13"/>
  <c r="F48" i="13"/>
  <c r="D48" i="13"/>
  <c r="C48" i="13"/>
  <c r="I7" i="13"/>
  <c r="I6" i="13" s="1"/>
  <c r="E7" i="13"/>
  <c r="E6" i="13" s="1"/>
  <c r="F7" i="13"/>
  <c r="H7" i="13"/>
  <c r="G7" i="13"/>
  <c r="C6" i="13" l="1"/>
  <c r="G6" i="13"/>
  <c r="H6" i="13"/>
  <c r="D6" i="13"/>
  <c r="F6" i="13"/>
  <c r="C53" i="1"/>
  <c r="C35" i="1"/>
  <c r="B11" i="1"/>
  <c r="H32" i="1"/>
  <c r="C37" i="1"/>
  <c r="F8" i="1"/>
  <c r="E41" i="1"/>
  <c r="G19" i="1"/>
  <c r="H26" i="1"/>
  <c r="C16" i="1"/>
  <c r="H53" i="1"/>
  <c r="G41" i="1"/>
  <c r="H43" i="1"/>
  <c r="C56" i="1"/>
  <c r="C44" i="1"/>
  <c r="B54" i="1"/>
  <c r="C45" i="1"/>
  <c r="I27" i="1"/>
  <c r="B8" i="1"/>
  <c r="E35" i="1"/>
  <c r="C40" i="1"/>
  <c r="H33" i="1"/>
  <c r="B9" i="1"/>
  <c r="C27" i="1"/>
  <c r="G45" i="1"/>
  <c r="E51" i="1"/>
  <c r="G12" i="1"/>
  <c r="H34" i="1"/>
  <c r="D29" i="1"/>
  <c r="G11" i="1"/>
  <c r="I14" i="1"/>
  <c r="D22" i="1"/>
  <c r="G56" i="1"/>
  <c r="I42" i="1"/>
  <c r="B43" i="1"/>
  <c r="D44" i="1"/>
  <c r="H12" i="1"/>
  <c r="I15" i="1"/>
  <c r="C52" i="1"/>
  <c r="G24" i="1"/>
  <c r="G37" i="1"/>
  <c r="C21" i="1"/>
  <c r="B52" i="1"/>
  <c r="I54" i="1"/>
  <c r="H38" i="1"/>
  <c r="E21" i="1"/>
  <c r="E44" i="1"/>
  <c r="G22" i="1"/>
  <c r="H55" i="1"/>
  <c r="B19" i="1"/>
  <c r="F16" i="1"/>
  <c r="E24" i="1"/>
  <c r="B55" i="1"/>
  <c r="G36" i="1"/>
  <c r="E32" i="1"/>
  <c r="I33" i="1"/>
  <c r="I48" i="1"/>
  <c r="H18" i="1"/>
  <c r="F35" i="1"/>
  <c r="D38" i="1"/>
  <c r="D31" i="1"/>
  <c r="E54" i="1"/>
  <c r="I53" i="1"/>
  <c r="G23" i="1"/>
  <c r="E14" i="1"/>
  <c r="H22" i="1"/>
  <c r="C32" i="1"/>
  <c r="H39" i="1"/>
  <c r="D9" i="1"/>
  <c r="I16" i="1"/>
  <c r="G49" i="1"/>
  <c r="F18" i="1"/>
  <c r="H16" i="1"/>
  <c r="I47" i="1"/>
  <c r="E18" i="1"/>
  <c r="G20" i="1"/>
  <c r="H8" i="1"/>
  <c r="C41" i="1"/>
  <c r="F40" i="1"/>
  <c r="C39" i="1"/>
  <c r="G9" i="1"/>
  <c r="H10" i="1"/>
  <c r="I46" i="1"/>
  <c r="I36" i="1"/>
  <c r="C33" i="1"/>
  <c r="C20" i="1"/>
  <c r="B27" i="1"/>
  <c r="G53" i="1"/>
  <c r="F47" i="1"/>
  <c r="F37" i="1"/>
  <c r="B16" i="1"/>
  <c r="E55" i="1"/>
  <c r="F20" i="1"/>
  <c r="I40" i="1"/>
  <c r="C42" i="1"/>
  <c r="B42" i="1"/>
  <c r="E43" i="1"/>
  <c r="F32" i="1"/>
  <c r="C23" i="1"/>
  <c r="G43" i="1"/>
  <c r="E34" i="1"/>
  <c r="F30" i="1"/>
  <c r="G21" i="1"/>
  <c r="H28" i="1"/>
  <c r="D41" i="1"/>
  <c r="F24" i="1"/>
  <c r="I56" i="1"/>
  <c r="D53" i="1"/>
  <c r="E38" i="1"/>
  <c r="C51" i="1"/>
  <c r="C38" i="1"/>
  <c r="D36" i="1"/>
  <c r="I29" i="1"/>
  <c r="D12" i="1"/>
  <c r="F10" i="1"/>
  <c r="I39" i="1"/>
  <c r="D45" i="1"/>
  <c r="B23" i="1"/>
  <c r="D47" i="1"/>
  <c r="E29" i="1"/>
  <c r="F36" i="1"/>
  <c r="C9" i="1"/>
  <c r="B28" i="1"/>
  <c r="E53" i="1"/>
  <c r="F33" i="1"/>
  <c r="B25" i="1"/>
  <c r="G25" i="1"/>
  <c r="I41" i="1"/>
  <c r="G39" i="1"/>
  <c r="B36" i="1"/>
  <c r="B29" i="1"/>
  <c r="E39" i="1"/>
  <c r="D48" i="1"/>
  <c r="G16" i="1"/>
  <c r="G29" i="1"/>
  <c r="H21" i="1"/>
  <c r="G26" i="1"/>
  <c r="H52" i="1"/>
  <c r="B14" i="1"/>
  <c r="I11" i="1"/>
  <c r="E22" i="1"/>
  <c r="E25" i="1"/>
  <c r="D25" i="1"/>
  <c r="D23" i="1"/>
  <c r="E52" i="1"/>
  <c r="G28" i="1"/>
  <c r="E9" i="1"/>
  <c r="C15" i="1"/>
  <c r="H29" i="1"/>
  <c r="G15" i="1"/>
  <c r="I10" i="1"/>
  <c r="I55" i="1"/>
  <c r="C29" i="1"/>
  <c r="G17" i="1"/>
  <c r="F51" i="1"/>
  <c r="E40" i="1"/>
  <c r="B17" i="1"/>
  <c r="F9" i="1"/>
  <c r="F56" i="1"/>
  <c r="D49" i="1"/>
  <c r="F44" i="1"/>
  <c r="E42" i="1"/>
  <c r="G54" i="1"/>
  <c r="H48" i="1"/>
  <c r="G33" i="1"/>
  <c r="B31" i="1"/>
  <c r="C36" i="1"/>
  <c r="C24" i="1"/>
  <c r="F34" i="1"/>
  <c r="F45" i="1"/>
  <c r="D55" i="1"/>
  <c r="B35" i="1"/>
  <c r="F15" i="1"/>
  <c r="I24" i="1"/>
  <c r="B45" i="1"/>
  <c r="D14" i="1"/>
  <c r="E16" i="1"/>
  <c r="D35" i="1"/>
  <c r="C8" i="1"/>
  <c r="D21" i="1"/>
  <c r="D20" i="1"/>
  <c r="E30" i="1"/>
  <c r="F48" i="1"/>
  <c r="G30" i="1"/>
  <c r="F46" i="1"/>
  <c r="G31" i="1"/>
  <c r="H27" i="1"/>
  <c r="I52" i="1"/>
  <c r="D43" i="1"/>
  <c r="B18" i="1"/>
  <c r="I23" i="1"/>
  <c r="G13" i="1"/>
  <c r="G52" i="1"/>
  <c r="D13" i="1"/>
  <c r="G48" i="1"/>
  <c r="H15" i="1"/>
  <c r="D32" i="1"/>
  <c r="I49" i="1"/>
  <c r="D24" i="1"/>
  <c r="H14" i="1"/>
  <c r="B33" i="1"/>
  <c r="B39" i="1"/>
  <c r="G38" i="1"/>
  <c r="G14" i="1"/>
  <c r="D18" i="1"/>
  <c r="H44" i="1"/>
  <c r="F25" i="1"/>
  <c r="D16" i="1"/>
  <c r="G44" i="1"/>
  <c r="B49" i="1"/>
  <c r="F31" i="1"/>
  <c r="I37" i="1"/>
  <c r="H31" i="1"/>
  <c r="B46" i="1"/>
  <c r="H36" i="1"/>
  <c r="G34" i="1"/>
  <c r="H11" i="1"/>
  <c r="C17" i="1"/>
  <c r="D34" i="1"/>
  <c r="B15" i="1"/>
  <c r="F19" i="1"/>
  <c r="F14" i="1"/>
  <c r="E26" i="1"/>
  <c r="D51" i="1"/>
  <c r="B24" i="1"/>
  <c r="E31" i="1"/>
  <c r="H35" i="1"/>
  <c r="E12" i="1"/>
  <c r="C11" i="1"/>
  <c r="H41" i="1"/>
  <c r="D8" i="1"/>
  <c r="I28" i="1"/>
  <c r="F21" i="1"/>
  <c r="B51" i="1"/>
  <c r="I19" i="1"/>
  <c r="H42" i="1"/>
  <c r="H30" i="1"/>
  <c r="D46" i="1"/>
  <c r="I43" i="1"/>
  <c r="B13" i="1"/>
  <c r="E47" i="1"/>
  <c r="I12" i="1"/>
  <c r="G51" i="1"/>
  <c r="H56" i="1"/>
  <c r="C54" i="1"/>
  <c r="D26" i="1"/>
  <c r="D56" i="1"/>
  <c r="D28" i="1"/>
  <c r="H49" i="1"/>
  <c r="B44" i="1"/>
  <c r="F11" i="1"/>
  <c r="C55" i="1"/>
  <c r="H51" i="1"/>
  <c r="B10" i="1"/>
  <c r="F42" i="1"/>
  <c r="C47" i="1"/>
  <c r="C12" i="1"/>
  <c r="H17" i="1"/>
  <c r="C19" i="1"/>
  <c r="E19" i="1"/>
  <c r="D37" i="1"/>
  <c r="D15" i="1"/>
  <c r="E37" i="1"/>
  <c r="H45" i="1"/>
  <c r="B41" i="1"/>
  <c r="F22" i="1"/>
  <c r="D39" i="1"/>
  <c r="G35" i="1"/>
  <c r="B48" i="1"/>
  <c r="F55" i="1"/>
  <c r="I20" i="1"/>
  <c r="C49" i="1"/>
  <c r="D19" i="1"/>
  <c r="B53" i="1"/>
  <c r="E48" i="1"/>
  <c r="G42" i="1"/>
  <c r="B32" i="1"/>
  <c r="H19" i="1"/>
  <c r="H54" i="1"/>
  <c r="I18" i="1"/>
  <c r="E33" i="1"/>
  <c r="G55" i="1"/>
  <c r="B20" i="1"/>
  <c r="C13" i="1"/>
  <c r="C31" i="1"/>
  <c r="F26" i="1"/>
  <c r="I51" i="1"/>
  <c r="B30" i="1"/>
  <c r="I35" i="1"/>
  <c r="E45" i="1"/>
  <c r="E36" i="1"/>
  <c r="E15" i="1"/>
  <c r="I22" i="1"/>
  <c r="H9" i="1"/>
  <c r="C10" i="1"/>
  <c r="I34" i="1"/>
  <c r="F38" i="1"/>
  <c r="D33" i="1"/>
  <c r="D10" i="1"/>
  <c r="H46" i="1"/>
  <c r="E11" i="1"/>
  <c r="E28" i="1"/>
  <c r="F39" i="1"/>
  <c r="E13" i="1"/>
  <c r="I44" i="1"/>
  <c r="H37" i="1"/>
  <c r="H40" i="1"/>
  <c r="E17" i="1"/>
  <c r="H13" i="1"/>
  <c r="F28" i="1"/>
  <c r="I32" i="1"/>
  <c r="G40" i="1"/>
  <c r="G47" i="1"/>
  <c r="B21" i="1"/>
  <c r="B34" i="1"/>
  <c r="D30" i="1"/>
  <c r="H20" i="1"/>
  <c r="H25" i="1"/>
  <c r="I17" i="1"/>
  <c r="I25" i="1"/>
  <c r="G32" i="1"/>
  <c r="D27" i="1"/>
  <c r="D54" i="1"/>
  <c r="G46" i="1"/>
  <c r="C18" i="1"/>
  <c r="H47" i="1"/>
  <c r="F23" i="1"/>
  <c r="C30" i="1"/>
  <c r="B37" i="1"/>
  <c r="C43" i="1"/>
  <c r="I30" i="1"/>
  <c r="F13" i="1"/>
  <c r="E10" i="1"/>
  <c r="F27" i="1"/>
  <c r="F54" i="1"/>
  <c r="D11" i="1"/>
  <c r="I31" i="1"/>
  <c r="F12" i="1"/>
  <c r="B12" i="1"/>
  <c r="D52" i="1"/>
  <c r="E56" i="1"/>
  <c r="F17" i="1"/>
  <c r="B26" i="1"/>
  <c r="H23" i="1"/>
  <c r="E46" i="1"/>
  <c r="G18" i="1"/>
  <c r="E8" i="1"/>
  <c r="I26" i="1"/>
  <c r="E20" i="1"/>
  <c r="C14" i="1"/>
  <c r="E27" i="1"/>
  <c r="G10" i="1"/>
  <c r="E49" i="1"/>
  <c r="C26" i="1"/>
  <c r="B22" i="1"/>
  <c r="H24" i="1"/>
  <c r="C28" i="1"/>
  <c r="F52" i="1"/>
  <c r="I13" i="1"/>
  <c r="F29" i="1"/>
  <c r="D40" i="1"/>
  <c r="B40" i="1"/>
  <c r="B56" i="1"/>
  <c r="C48" i="1"/>
  <c r="I38" i="1"/>
  <c r="E23" i="1"/>
  <c r="F43" i="1"/>
  <c r="B47" i="1"/>
  <c r="G27" i="1"/>
  <c r="C34" i="1"/>
  <c r="C46" i="1"/>
  <c r="G8" i="1"/>
  <c r="F41" i="1"/>
  <c r="I21" i="1"/>
  <c r="I45" i="1"/>
  <c r="F53" i="1"/>
  <c r="I9" i="1"/>
  <c r="C22" i="1"/>
  <c r="D42" i="1"/>
  <c r="B38" i="1"/>
  <c r="D17" i="1"/>
  <c r="F49" i="1"/>
  <c r="I8" i="1"/>
  <c r="C25" i="1"/>
  <c r="C25" i="11" l="1"/>
  <c r="M8" i="11"/>
  <c r="I49" i="11"/>
  <c r="F17" i="11"/>
  <c r="B38" i="11"/>
  <c r="F42" i="11"/>
  <c r="C22" i="11"/>
  <c r="M9" i="11"/>
  <c r="I53" i="11"/>
  <c r="M45" i="11"/>
  <c r="M21" i="11"/>
  <c r="I41" i="11"/>
  <c r="J8" i="11"/>
  <c r="C46" i="11"/>
  <c r="C34" i="11"/>
  <c r="J27" i="11"/>
  <c r="B47" i="11"/>
  <c r="I43" i="11"/>
  <c r="G23" i="11"/>
  <c r="M38" i="11"/>
  <c r="C48" i="11"/>
  <c r="B56" i="11"/>
  <c r="B40" i="11"/>
  <c r="F40" i="11"/>
  <c r="I29" i="11"/>
  <c r="M13" i="11"/>
  <c r="I52" i="11"/>
  <c r="C28" i="11"/>
  <c r="L24" i="11"/>
  <c r="B22" i="11"/>
  <c r="C26" i="11"/>
  <c r="G49" i="11"/>
  <c r="J10" i="11"/>
  <c r="G27" i="11"/>
  <c r="C14" i="11"/>
  <c r="G20" i="11"/>
  <c r="M26" i="11"/>
  <c r="G8" i="11"/>
  <c r="J18" i="11"/>
  <c r="G46" i="11"/>
  <c r="L23" i="11"/>
  <c r="B26" i="11"/>
  <c r="I17" i="11"/>
  <c r="G56" i="11"/>
  <c r="F52" i="11"/>
  <c r="B12" i="11"/>
  <c r="I12" i="11"/>
  <c r="M31" i="11"/>
  <c r="F11" i="11"/>
  <c r="I54" i="11"/>
  <c r="I27" i="11"/>
  <c r="G10" i="11"/>
  <c r="I13" i="11"/>
  <c r="M30" i="11"/>
  <c r="C43" i="11"/>
  <c r="B37" i="11"/>
  <c r="C30" i="11"/>
  <c r="I23" i="11"/>
  <c r="L47" i="11"/>
  <c r="C18" i="11"/>
  <c r="J46" i="11"/>
  <c r="F54" i="11"/>
  <c r="F27" i="11"/>
  <c r="J32" i="11"/>
  <c r="M25" i="11"/>
  <c r="M17" i="11"/>
  <c r="L25" i="11"/>
  <c r="L20" i="11"/>
  <c r="F30" i="11"/>
  <c r="B34" i="11"/>
  <c r="B21" i="11"/>
  <c r="J47" i="11"/>
  <c r="J40" i="11"/>
  <c r="M32" i="11"/>
  <c r="I28" i="11"/>
  <c r="L13" i="11"/>
  <c r="G17" i="11"/>
  <c r="L40" i="11"/>
  <c r="L37" i="11"/>
  <c r="M44" i="11"/>
  <c r="G13" i="11"/>
  <c r="I39" i="11"/>
  <c r="G28" i="11"/>
  <c r="G11" i="11"/>
  <c r="L46" i="11"/>
  <c r="F10" i="11"/>
  <c r="F33" i="11"/>
  <c r="I38" i="11"/>
  <c r="M34" i="11"/>
  <c r="C10" i="11"/>
  <c r="L9" i="11"/>
  <c r="M22" i="11"/>
  <c r="G15" i="11"/>
  <c r="G36" i="11"/>
  <c r="G45" i="11"/>
  <c r="M35" i="11"/>
  <c r="B30" i="11"/>
  <c r="M51" i="11"/>
  <c r="I26" i="11"/>
  <c r="C31" i="11"/>
  <c r="C13" i="11"/>
  <c r="B20" i="11"/>
  <c r="J55" i="11"/>
  <c r="G33" i="11"/>
  <c r="M18" i="11"/>
  <c r="L54" i="11"/>
  <c r="L19" i="11"/>
  <c r="B32" i="11"/>
  <c r="J42" i="11"/>
  <c r="G48" i="11"/>
  <c r="B53" i="11"/>
  <c r="F19" i="11"/>
  <c r="C49" i="11"/>
  <c r="M20" i="11"/>
  <c r="I55" i="11"/>
  <c r="B48" i="11"/>
  <c r="J35" i="11"/>
  <c r="F39" i="11"/>
  <c r="I22" i="11"/>
  <c r="B41" i="11"/>
  <c r="L45" i="11"/>
  <c r="G37" i="11"/>
  <c r="F15" i="11"/>
  <c r="F37" i="11"/>
  <c r="G19" i="11"/>
  <c r="C19" i="11"/>
  <c r="L17" i="11"/>
  <c r="C12" i="11"/>
  <c r="C47" i="11"/>
  <c r="I42" i="11"/>
  <c r="B10" i="11"/>
  <c r="L51" i="11"/>
  <c r="C55" i="11"/>
  <c r="I11" i="11"/>
  <c r="B44" i="11"/>
  <c r="L49" i="11"/>
  <c r="F28" i="11"/>
  <c r="F56" i="11"/>
  <c r="F26" i="11"/>
  <c r="C54" i="11"/>
  <c r="L56" i="11"/>
  <c r="J51" i="11"/>
  <c r="M12" i="11"/>
  <c r="G47" i="11"/>
  <c r="B13" i="11"/>
  <c r="M43" i="11"/>
  <c r="F46" i="11"/>
  <c r="L30" i="11"/>
  <c r="L42" i="11"/>
  <c r="M19" i="11"/>
  <c r="B51" i="11"/>
  <c r="I21" i="11"/>
  <c r="M28" i="11"/>
  <c r="F8" i="11"/>
  <c r="L41" i="11"/>
  <c r="C11" i="11"/>
  <c r="G12" i="11"/>
  <c r="L35" i="11"/>
  <c r="G31" i="11"/>
  <c r="B24" i="11"/>
  <c r="F51" i="11"/>
  <c r="G26" i="11"/>
  <c r="I14" i="11"/>
  <c r="I19" i="11"/>
  <c r="B15" i="11"/>
  <c r="F34" i="11"/>
  <c r="C17" i="11"/>
  <c r="L11" i="11"/>
  <c r="J34" i="11"/>
  <c r="L36" i="11"/>
  <c r="B46" i="11"/>
  <c r="L31" i="11"/>
  <c r="M37" i="11"/>
  <c r="I31" i="11"/>
  <c r="B49" i="11"/>
  <c r="J44" i="11"/>
  <c r="F16" i="11"/>
  <c r="I25" i="11"/>
  <c r="L44" i="11"/>
  <c r="F18" i="11"/>
  <c r="J14" i="11"/>
  <c r="J38" i="11"/>
  <c r="B39" i="11"/>
  <c r="B33" i="11"/>
  <c r="L14" i="11"/>
  <c r="F24" i="11"/>
  <c r="M49" i="11"/>
  <c r="F32" i="11"/>
  <c r="L15" i="11"/>
  <c r="J48" i="11"/>
  <c r="F13" i="11"/>
  <c r="J52" i="11"/>
  <c r="J13" i="11"/>
  <c r="M23" i="11"/>
  <c r="B18" i="11"/>
  <c r="F43" i="11"/>
  <c r="M52" i="11"/>
  <c r="L27" i="11"/>
  <c r="J31" i="11"/>
  <c r="I46" i="11"/>
  <c r="J30" i="11"/>
  <c r="I48" i="11"/>
  <c r="G30" i="11"/>
  <c r="F20" i="11"/>
  <c r="F21" i="11"/>
  <c r="C8" i="11"/>
  <c r="F35" i="11"/>
  <c r="G16" i="11"/>
  <c r="F14" i="11"/>
  <c r="B45" i="11"/>
  <c r="M24" i="11"/>
  <c r="I15" i="11"/>
  <c r="B35" i="11"/>
  <c r="F55" i="11"/>
  <c r="I45" i="11"/>
  <c r="I34" i="11"/>
  <c r="C24" i="11"/>
  <c r="C36" i="11"/>
  <c r="B31" i="11"/>
  <c r="J33" i="11"/>
  <c r="L48" i="11"/>
  <c r="J54" i="11"/>
  <c r="G42" i="11"/>
  <c r="I44" i="11"/>
  <c r="F49" i="11"/>
  <c r="I56" i="11"/>
  <c r="I9" i="11"/>
  <c r="B17" i="11"/>
  <c r="G40" i="11"/>
  <c r="I51" i="11"/>
  <c r="J17" i="11"/>
  <c r="C29" i="11"/>
  <c r="M55" i="11"/>
  <c r="M10" i="11"/>
  <c r="J15" i="11"/>
  <c r="L29" i="11"/>
  <c r="C15" i="11"/>
  <c r="G9" i="11"/>
  <c r="J28" i="11"/>
  <c r="G52" i="11"/>
  <c r="F23" i="11"/>
  <c r="F25" i="11"/>
  <c r="G25" i="11"/>
  <c r="G22" i="11"/>
  <c r="M11" i="11"/>
  <c r="B14" i="11"/>
  <c r="L52" i="11"/>
  <c r="J26" i="11"/>
  <c r="L21" i="11"/>
  <c r="J29" i="11"/>
  <c r="J16" i="11"/>
  <c r="F48" i="11"/>
  <c r="G39" i="11"/>
  <c r="B29" i="11"/>
  <c r="B36" i="11"/>
  <c r="J39" i="11"/>
  <c r="M41" i="11"/>
  <c r="J25" i="11"/>
  <c r="B25" i="11"/>
  <c r="I33" i="11"/>
  <c r="G53" i="11"/>
  <c r="B28" i="11"/>
  <c r="C9" i="11"/>
  <c r="I36" i="11"/>
  <c r="G29" i="11"/>
  <c r="F47" i="11"/>
  <c r="B23" i="11"/>
  <c r="F45" i="11"/>
  <c r="M39" i="11"/>
  <c r="I10" i="11"/>
  <c r="F12" i="11"/>
  <c r="M29" i="11"/>
  <c r="F36" i="11"/>
  <c r="C38" i="11"/>
  <c r="C51" i="11"/>
  <c r="G38" i="11"/>
  <c r="F53" i="11"/>
  <c r="M56" i="11"/>
  <c r="I24" i="11"/>
  <c r="F41" i="11"/>
  <c r="L28" i="11"/>
  <c r="J21" i="11"/>
  <c r="I30" i="11"/>
  <c r="G34" i="11"/>
  <c r="J43" i="11"/>
  <c r="C23" i="11"/>
  <c r="I32" i="11"/>
  <c r="G43" i="11"/>
  <c r="B42" i="11"/>
  <c r="C42" i="11"/>
  <c r="M40" i="11"/>
  <c r="I20" i="11"/>
  <c r="G55" i="11"/>
  <c r="B16" i="11"/>
  <c r="I37" i="11"/>
  <c r="I47" i="11"/>
  <c r="J53" i="11"/>
  <c r="B27" i="11"/>
  <c r="C20" i="11"/>
  <c r="C33" i="11"/>
  <c r="M36" i="11"/>
  <c r="M46" i="11"/>
  <c r="L10" i="11"/>
  <c r="J9" i="11"/>
  <c r="C39" i="11"/>
  <c r="I40" i="11"/>
  <c r="C41" i="11"/>
  <c r="L8" i="11"/>
  <c r="J20" i="11"/>
  <c r="G18" i="11"/>
  <c r="M47" i="11"/>
  <c r="L16" i="11"/>
  <c r="I18" i="11"/>
  <c r="J49" i="11"/>
  <c r="M16" i="11"/>
  <c r="F9" i="11"/>
  <c r="L39" i="11"/>
  <c r="C32" i="11"/>
  <c r="L22" i="11"/>
  <c r="G14" i="11"/>
  <c r="J23" i="11"/>
  <c r="M53" i="11"/>
  <c r="G54" i="11"/>
  <c r="F31" i="11"/>
  <c r="F38" i="11"/>
  <c r="I35" i="11"/>
  <c r="L18" i="11"/>
  <c r="M48" i="11"/>
  <c r="M33" i="11"/>
  <c r="G32" i="11"/>
  <c r="J36" i="11"/>
  <c r="B55" i="11"/>
  <c r="G24" i="11"/>
  <c r="I16" i="11"/>
  <c r="B19" i="11"/>
  <c r="L55" i="11"/>
  <c r="J22" i="11"/>
  <c r="G44" i="11"/>
  <c r="G21" i="11"/>
  <c r="L38" i="11"/>
  <c r="M54" i="11"/>
  <c r="B52" i="11"/>
  <c r="C21" i="11"/>
  <c r="J37" i="11"/>
  <c r="J24" i="11"/>
  <c r="C52" i="11"/>
  <c r="M15" i="11"/>
  <c r="L12" i="11"/>
  <c r="F44" i="11"/>
  <c r="B43" i="11"/>
  <c r="M42" i="11"/>
  <c r="J56" i="11"/>
  <c r="F22" i="11"/>
  <c r="M14" i="11"/>
  <c r="J11" i="11"/>
  <c r="F29" i="11"/>
  <c r="L34" i="11"/>
  <c r="J12" i="11"/>
  <c r="G51" i="11"/>
  <c r="J45" i="11"/>
  <c r="C27" i="11"/>
  <c r="B9" i="11"/>
  <c r="L33" i="11"/>
  <c r="C40" i="11"/>
  <c r="G35" i="11"/>
  <c r="B8" i="11"/>
  <c r="M27" i="11"/>
  <c r="C45" i="11"/>
  <c r="B54" i="11"/>
  <c r="C44" i="11"/>
  <c r="C56" i="11"/>
  <c r="L43" i="11"/>
  <c r="J41" i="11"/>
  <c r="L53" i="11"/>
  <c r="C16" i="11"/>
  <c r="L26" i="11"/>
  <c r="J19" i="11"/>
  <c r="G41" i="11"/>
  <c r="I8" i="11"/>
  <c r="C37" i="11"/>
  <c r="L32" i="11"/>
  <c r="B11" i="11"/>
  <c r="C35" i="11"/>
  <c r="C53" i="11"/>
</calcChain>
</file>

<file path=xl/sharedStrings.xml><?xml version="1.0" encoding="utf-8"?>
<sst xmlns="http://schemas.openxmlformats.org/spreadsheetml/2006/main" count="1521" uniqueCount="165">
  <si>
    <t>England</t>
  </si>
  <si>
    <t>https://www.gov.uk/government/collections/fire-statistics</t>
  </si>
  <si>
    <t>Source: Home Office Operational Statistics Data Collection, figures supplied by fire and rescue authorities.</t>
  </si>
  <si>
    <t>Metropolitan fire and rescue authorities</t>
  </si>
  <si>
    <t>Non Metropolitan fire and rescue authorities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</si>
  <si>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</si>
  <si>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</si>
  <si>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</si>
  <si>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</si>
  <si>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</si>
  <si>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</si>
  <si>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</si>
  <si>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</si>
  <si>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</si>
  <si>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</si>
  <si>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</si>
  <si>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</si>
  <si>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</si>
  <si>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</si>
  <si>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</si>
  <si>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</si>
  <si>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</si>
  <si>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</si>
  <si>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</si>
  <si>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Hereford and Worcester</t>
  </si>
  <si>
    <t>Hertfordshire</t>
  </si>
  <si>
    <t>Humberside</t>
  </si>
  <si>
    <t>Isle Of Wight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</si>
  <si>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</si>
  <si>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</si>
  <si>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</si>
  <si>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</si>
  <si>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</si>
  <si>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</si>
  <si>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</si>
  <si>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</si>
  <si>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</si>
  <si>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</si>
  <si>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</si>
  <si>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</si>
  <si>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</si>
  <si>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</si>
  <si>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</si>
  <si>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</si>
  <si>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</si>
  <si>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Tyne and Wear</t>
  </si>
  <si>
    <t>Warwickshire</t>
  </si>
  <si>
    <t>West Midlands</t>
  </si>
  <si>
    <t>West Sussex</t>
  </si>
  <si>
    <t>West Yorkshire</t>
  </si>
  <si>
    <t>Wiltshire</t>
  </si>
  <si>
    <t>2015-16</t>
  </si>
  <si>
    <t>Non-Metropolitan</t>
  </si>
  <si>
    <t>Devon &amp; Somerset</t>
  </si>
  <si>
    <t>Hereford &amp; Worcester</t>
  </si>
  <si>
    <t>Isle of Wight</t>
  </si>
  <si>
    <t>Metropolitan</t>
  </si>
  <si>
    <t>Tyne &amp; Wear</t>
  </si>
  <si>
    <t>FRA</t>
  </si>
  <si>
    <t>Select a year from the drop-down list in the orange box below:</t>
  </si>
  <si>
    <t>2014-15</t>
  </si>
  <si>
    <t>2010-11</t>
  </si>
  <si>
    <t>2011-12</t>
  </si>
  <si>
    <t>2012-13</t>
  </si>
  <si>
    <t>2013-14</t>
  </si>
  <si>
    <t>The statistics in this table are Official Statistics.</t>
  </si>
  <si>
    <t>Appendix 12. Home Fire Risk Checks (HFSC) carried out  by Fire and Rescue Service personnel and partners in England at 31 March 2015</t>
  </si>
  <si>
    <t>Number of Fire Risk Checks carried out by FRS</t>
  </si>
  <si>
    <t xml:space="preserve">    of which: Elderly (65+)</t>
  </si>
  <si>
    <t xml:space="preserve">    of which: Disabled</t>
  </si>
  <si>
    <t>Number of Fire Risk Checks carried out by Partners</t>
  </si>
  <si>
    <t>Number</t>
  </si>
  <si>
    <t>Hours</t>
  </si>
  <si>
    <t>FRSChecks</t>
  </si>
  <si>
    <t>FRSElderly</t>
  </si>
  <si>
    <t>FRSDisabled</t>
  </si>
  <si>
    <t>PartnerChecks</t>
  </si>
  <si>
    <t>N/A</t>
  </si>
  <si>
    <t>N/A: Not available</t>
  </si>
  <si>
    <t>Source: DCLG Annual Returns</t>
  </si>
  <si>
    <t>imputed figure</t>
  </si>
  <si>
    <t>of which: Elderly (65+)</t>
  </si>
  <si>
    <t>of which: Disabled</t>
  </si>
  <si>
    <t>Appendix 12. Home Fire Risk Checks (HFSC) carried out  by Fire and Rescue Service personnel and partners in England at 31 March 2014</t>
  </si>
  <si>
    <t>N/a</t>
  </si>
  <si>
    <t>Appendix 12. Home Fire Risk Checks (HFSC) carried out  by Fire and Rescue Service personnel and partners in England at 31 March 2013</t>
  </si>
  <si>
    <t>Appendix 12. Home Fire Risk Checks (HFSC) carried out by fire and rescue authority personnel and partners in England 2011-2012</t>
  </si>
  <si>
    <r>
      <t>Berkshire</t>
    </r>
    <r>
      <rPr>
        <vertAlign val="superscript"/>
        <sz val="10"/>
        <rFont val="Arial"/>
        <family val="2"/>
      </rPr>
      <t>1</t>
    </r>
  </si>
  <si>
    <r>
      <t>Cleveland</t>
    </r>
    <r>
      <rPr>
        <vertAlign val="superscript"/>
        <sz val="10"/>
        <rFont val="Arial"/>
        <family val="2"/>
      </rPr>
      <t>2</t>
    </r>
  </si>
  <si>
    <r>
      <t>Devon &amp; Somerset</t>
    </r>
    <r>
      <rPr>
        <vertAlign val="superscript"/>
        <sz val="10"/>
        <rFont val="Arial"/>
        <family val="2"/>
      </rPr>
      <t>1</t>
    </r>
  </si>
  <si>
    <r>
      <t>Durham</t>
    </r>
    <r>
      <rPr>
        <vertAlign val="superscript"/>
        <sz val="10"/>
        <rFont val="Arial"/>
        <family val="2"/>
      </rPr>
      <t>1</t>
    </r>
  </si>
  <si>
    <r>
      <t>Gloucestershire</t>
    </r>
    <r>
      <rPr>
        <vertAlign val="superscript"/>
        <sz val="10"/>
        <rFont val="Arial"/>
        <family val="2"/>
      </rPr>
      <t>1</t>
    </r>
  </si>
  <si>
    <r>
      <t>Hereford &amp; Worcester</t>
    </r>
    <r>
      <rPr>
        <vertAlign val="superscript"/>
        <sz val="10"/>
        <rFont val="Arial"/>
        <family val="2"/>
      </rPr>
      <t>1,3</t>
    </r>
  </si>
  <si>
    <r>
      <t>Lincolnshire</t>
    </r>
    <r>
      <rPr>
        <vertAlign val="superscript"/>
        <sz val="10"/>
        <rFont val="Arial"/>
        <family val="2"/>
      </rPr>
      <t>1,2,4</t>
    </r>
  </si>
  <si>
    <r>
      <t>Northumberland</t>
    </r>
    <r>
      <rPr>
        <vertAlign val="superscript"/>
        <sz val="10"/>
        <rFont val="Arial"/>
        <family val="2"/>
      </rPr>
      <t>1</t>
    </r>
  </si>
  <si>
    <r>
      <t>Suffolk</t>
    </r>
    <r>
      <rPr>
        <vertAlign val="superscript"/>
        <sz val="10"/>
        <rFont val="Arial"/>
        <family val="2"/>
      </rPr>
      <t>1</t>
    </r>
  </si>
  <si>
    <r>
      <t>Isles of Scilly</t>
    </r>
    <r>
      <rPr>
        <vertAlign val="superscript"/>
        <sz val="10"/>
        <rFont val="Arial"/>
        <family val="2"/>
      </rPr>
      <t>1</t>
    </r>
  </si>
  <si>
    <t>1. No checks carried out by partners</t>
  </si>
  <si>
    <t>2. Hours spent on Home Fire Safety Checks carried out by FRS are estimates</t>
  </si>
  <si>
    <t>3. Hours spent on Home Fire Safety Checks with elderly are estimates</t>
  </si>
  <si>
    <t>4. Hours spent on Home Fire Safety Checks with disabled are estimates</t>
  </si>
  <si>
    <t xml:space="preserve">Appendix 12. Home Fire Risk Checks (HFSC) carried out  by Fire and Rescue Service personnel and partners in England at 31 March 2011 </t>
  </si>
  <si>
    <r>
      <t>Bedfordshire</t>
    </r>
    <r>
      <rPr>
        <vertAlign val="superscript"/>
        <sz val="10"/>
        <rFont val="Arial"/>
        <family val="2"/>
      </rPr>
      <t>1</t>
    </r>
  </si>
  <si>
    <r>
      <t>Cleveland</t>
    </r>
    <r>
      <rPr>
        <vertAlign val="superscript"/>
        <sz val="10"/>
        <rFont val="Arial"/>
        <family val="2"/>
      </rPr>
      <t>1,2</t>
    </r>
  </si>
  <si>
    <r>
      <t>Devon &amp; Somerset</t>
    </r>
    <r>
      <rPr>
        <vertAlign val="superscript"/>
        <sz val="10"/>
        <rFont val="Arial"/>
        <family val="2"/>
      </rPr>
      <t>2</t>
    </r>
  </si>
  <si>
    <r>
      <t>Durham</t>
    </r>
    <r>
      <rPr>
        <vertAlign val="superscript"/>
        <sz val="10"/>
        <rFont val="Arial"/>
        <family val="2"/>
      </rPr>
      <t>2,3,4</t>
    </r>
  </si>
  <si>
    <r>
      <t>Hereford &amp; Worcester</t>
    </r>
    <r>
      <rPr>
        <vertAlign val="superscript"/>
        <sz val="10"/>
        <rFont val="Arial"/>
        <family val="2"/>
      </rPr>
      <t>2</t>
    </r>
  </si>
  <si>
    <r>
      <t>Leicestershire</t>
    </r>
    <r>
      <rPr>
        <vertAlign val="superscript"/>
        <sz val="10"/>
        <rFont val="Arial"/>
        <family val="2"/>
      </rPr>
      <t>5</t>
    </r>
  </si>
  <si>
    <r>
      <t>Isles of Scilly</t>
    </r>
    <r>
      <rPr>
        <vertAlign val="superscript"/>
        <sz val="10"/>
        <rFont val="Arial"/>
        <family val="2"/>
      </rPr>
      <t>2</t>
    </r>
  </si>
  <si>
    <r>
      <t>Merseyside</t>
    </r>
    <r>
      <rPr>
        <vertAlign val="superscript"/>
        <sz val="10"/>
        <rFont val="Arial"/>
        <family val="2"/>
      </rPr>
      <t>3,4</t>
    </r>
  </si>
  <si>
    <r>
      <t>West Midlands</t>
    </r>
    <r>
      <rPr>
        <vertAlign val="superscript"/>
        <sz val="10"/>
        <rFont val="Arial"/>
        <family val="2"/>
      </rPr>
      <t>4</t>
    </r>
  </si>
  <si>
    <r>
      <t>Greater London</t>
    </r>
    <r>
      <rPr>
        <vertAlign val="superscript"/>
        <sz val="10"/>
        <rFont val="Arial"/>
        <family val="2"/>
      </rPr>
      <t>1</t>
    </r>
  </si>
  <si>
    <t>1. Hours spent on Home Fire Safety Checks carried out by FRS are estimates</t>
  </si>
  <si>
    <t>2. No checks carried out by partners</t>
  </si>
  <si>
    <t>5. Home Fire Safety Checks carried out by partners are partial</t>
  </si>
  <si>
    <t>Note on Imputed figures</t>
  </si>
  <si>
    <t>Financial Years</t>
  </si>
  <si>
    <t>2015/16</t>
  </si>
  <si>
    <t>2014/15</t>
  </si>
  <si>
    <t>2013/14</t>
  </si>
  <si>
    <t>2012/13</t>
  </si>
  <si>
    <t>2011/12</t>
  </si>
  <si>
    <t>2010/11</t>
  </si>
  <si>
    <t>Note</t>
  </si>
  <si>
    <t>Appendix 12. Home Fire Risk Checks (HFSC) carried out  by Fire and Rescue Service personnel and partners in England at 31 March 2016</t>
  </si>
  <si>
    <t>Appendix 12. Home Fire Risk Checks (HFSC) carried out  by Fire and Rescue Service personnel and partners in England at 31 March 2017</t>
  </si>
  <si>
    <t>Dorset &amp; Wiltshire</t>
  </si>
  <si>
    <t>..</t>
  </si>
  <si>
    <t>Dorset and Wiltshire</t>
  </si>
  <si>
    <t>2016/17</t>
  </si>
  <si>
    <t>2016-17</t>
  </si>
  <si>
    <r>
      <t>Dorset and Wiltshire</t>
    </r>
    <r>
      <rPr>
        <vertAlign val="superscript"/>
        <sz val="11"/>
        <color theme="1"/>
        <rFont val="Calibri"/>
        <family val="2"/>
        <scheme val="minor"/>
      </rPr>
      <t>1</t>
    </r>
  </si>
  <si>
    <t>Assumption is that the ratio of hours to visits for all other non-met FRSs can reasonably be applied to Staffordshire and added to the totals for a robust England figure.</t>
  </si>
  <si>
    <t>Calculation for imputed hours for number of fire risk checks carried out by FRS.</t>
  </si>
  <si>
    <t>Non-metropolitan</t>
  </si>
  <si>
    <t>Add this figure to the Non-Met total on next sheet</t>
  </si>
  <si>
    <t>2016/17: Staffordshire</t>
  </si>
  <si>
    <r>
      <t>Greater London</t>
    </r>
    <r>
      <rPr>
        <vertAlign val="superscript"/>
        <sz val="11"/>
        <color theme="1"/>
        <rFont val="Calibri"/>
        <family val="2"/>
        <scheme val="minor"/>
      </rPr>
      <t>2</t>
    </r>
  </si>
  <si>
    <t>Some totals may not aggregate due to rounding.</t>
  </si>
  <si>
    <t>2015/16: Staffordshire</t>
  </si>
  <si>
    <t>2014/15: Staffordshire, Surrey</t>
  </si>
  <si>
    <t>2013/14: Cleveland, Staffordshire, Surrey</t>
  </si>
  <si>
    <t>2012/13: Cleveland, Staffordshire, Surrey</t>
  </si>
  <si>
    <t>2011/12: Cleveland, Lincolnshire</t>
  </si>
  <si>
    <t>The full set of fire statistics releases, tables and guidance can be found on our landing page, here:</t>
  </si>
  <si>
    <r>
      <t>Dorset</t>
    </r>
    <r>
      <rPr>
        <vertAlign val="superscript"/>
        <sz val="11"/>
        <color theme="1"/>
        <rFont val="Calibri"/>
        <family val="2"/>
        <scheme val="minor"/>
      </rPr>
      <t>1</t>
    </r>
  </si>
  <si>
    <r>
      <t>Wiltshire</t>
    </r>
    <r>
      <rPr>
        <vertAlign val="superscript"/>
        <sz val="11"/>
        <color theme="1"/>
        <rFont val="Calibri"/>
        <family val="2"/>
        <scheme val="minor"/>
      </rPr>
      <t>1</t>
    </r>
  </si>
  <si>
    <t>2017/18</t>
  </si>
  <si>
    <t>2017-18</t>
  </si>
  <si>
    <t>2017/18: Staffordshire</t>
  </si>
  <si>
    <t>1. In 2016/17 Dorset FRS and Wiltshire FRS merged. The figures for 2015/16 and previously are shown separately for these two FRSs, figures for 2016/17 onwards are for the merged FRS.</t>
  </si>
  <si>
    <t>N/A Not available</t>
  </si>
  <si>
    <t>2017/18 refers to the financial year, from 1st April 2017 to 31 March 2018. Other years follow the same pattern.</t>
  </si>
  <si>
    <t>Contact: FireStatistics@homeoffice.gov.uk</t>
  </si>
  <si>
    <t>Last Updated: 18 October 2018</t>
  </si>
  <si>
    <t>Next Update: Autumn 2019</t>
  </si>
  <si>
    <t>2010/11: Bedfordshire, Cleveland, Greater London</t>
  </si>
  <si>
    <t>Number of Fire Safety Checks carried out by FRS</t>
  </si>
  <si>
    <t>FIRE STATISTICS TABLE 1201: Home Fire Safety Checks carried out by Fire and Rescue Services and partners, by fire and rescue authority</t>
  </si>
  <si>
    <t>Number of Fire Safety Checks carried out by Partners</t>
  </si>
  <si>
    <t>2. Prior to 2016/17 data supplied by Greater London FRS did not account for multiple personnel attending Home Fire Safety Checks and therefore are likely to be under-reported.</t>
  </si>
  <si>
    <t>The England total hours figures above for "Number of Fire Safety Checks carried out by FRS" include imputed figures to ensure a robust national figure. These imputed figures are:</t>
  </si>
  <si>
    <t>Figures for "Fire Safety Checks carried out by Elderly (65+)", "Fire Safety Checks carried out by Disabled" and "Number of Fire Safety Checks carried out by Partners" do not include imputed figures because a large number of fire authorities are unable to supply these figures.</t>
  </si>
  <si>
    <t>n/a</t>
  </si>
  <si>
    <t>not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</si>
</sst>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,##0.000"/>
    <numFmt numFmtId="166" formatCode="0.00000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2"/>
      <color indexed="43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indexed="1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/>
    <xf numFmtId="0" fontId="9" fillId="0" borderId="0"/>
    <xf numFmtId="0" fontId="11" fillId="0" borderId="0"/>
    <xf numFmtId="0" fontId="9" fillId="0" borderId="0"/>
    <xf numFmtId="0" fontId="6" fillId="0" borderId="0"/>
    <xf numFmtId="0" fontId="9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43" fontId="20" fillId="0" borderId="0" applyFont="0" applyFill="0" applyBorder="0" applyAlignment="0" applyProtection="0"/>
  </cellStyleXfs>
  <cellXfs count="145">
    <xf numFmtId="0" fontId="0" fillId="0" borderId="0" xfId="0"/>
    <xf numFmtId="0" fontId="2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right" vertical="center" wrapText="1"/>
    </xf>
    <xf numFmtId="1" fontId="0" fillId="4" borderId="0" xfId="0" applyNumberFormat="1" applyFill="1"/>
    <xf numFmtId="164" fontId="0" fillId="5" borderId="0" xfId="0" applyNumberFormat="1" applyFill="1"/>
    <xf numFmtId="1" fontId="0" fillId="5" borderId="0" xfId="0" applyNumberFormat="1" applyFill="1"/>
    <xf numFmtId="3" fontId="0" fillId="5" borderId="0" xfId="0" applyNumberFormat="1" applyFill="1" applyBorder="1" applyAlignment="1">
      <alignment horizontal="right"/>
    </xf>
    <xf numFmtId="3" fontId="1" fillId="5" borderId="0" xfId="0" applyNumberFormat="1" applyFont="1" applyFill="1" applyBorder="1" applyAlignment="1">
      <alignment horizontal="right"/>
    </xf>
    <xf numFmtId="0" fontId="0" fillId="4" borderId="1" xfId="0" applyFill="1" applyBorder="1"/>
    <xf numFmtId="0" fontId="4" fillId="4" borderId="0" xfId="0" applyFont="1" applyFill="1"/>
    <xf numFmtId="0" fontId="0" fillId="4" borderId="0" xfId="0" applyFill="1" applyAlignment="1">
      <alignment horizontal="left" wrapText="1"/>
    </xf>
    <xf numFmtId="0" fontId="5" fillId="4" borderId="0" xfId="2" applyFont="1" applyFill="1"/>
    <xf numFmtId="0" fontId="0" fillId="4" borderId="0" xfId="0" applyFill="1" applyAlignment="1">
      <alignment horizontal="right"/>
    </xf>
    <xf numFmtId="3" fontId="0" fillId="4" borderId="0" xfId="0" applyNumberFormat="1" applyFill="1"/>
    <xf numFmtId="0" fontId="0" fillId="4" borderId="1" xfId="0" applyFill="1" applyBorder="1" applyAlignment="1">
      <alignment horizontal="center"/>
    </xf>
    <xf numFmtId="0" fontId="4" fillId="4" borderId="0" xfId="1" applyFont="1" applyFill="1" applyAlignment="1">
      <alignment vertical="center"/>
    </xf>
    <xf numFmtId="0" fontId="3" fillId="5" borderId="0" xfId="1" applyFill="1"/>
    <xf numFmtId="0" fontId="1" fillId="4" borderId="0" xfId="0" applyFont="1" applyFill="1"/>
    <xf numFmtId="0" fontId="1" fillId="4" borderId="2" xfId="0" applyFont="1" applyFill="1" applyBorder="1"/>
    <xf numFmtId="0" fontId="1" fillId="4" borderId="0" xfId="0" applyFont="1" applyFill="1" applyBorder="1"/>
    <xf numFmtId="0" fontId="7" fillId="0" borderId="0" xfId="5" applyFont="1" applyAlignment="1">
      <alignment vertical="center"/>
    </xf>
    <xf numFmtId="0" fontId="9" fillId="0" borderId="0" xfId="5" applyFont="1" applyAlignment="1">
      <alignment vertical="center"/>
    </xf>
    <xf numFmtId="0" fontId="0" fillId="4" borderId="0" xfId="0" applyFill="1" applyAlignment="1">
      <alignment horizontal="left" wrapText="1"/>
    </xf>
    <xf numFmtId="0" fontId="0" fillId="4" borderId="1" xfId="0" applyFill="1" applyBorder="1" applyAlignment="1">
      <alignment horizontal="center"/>
    </xf>
    <xf numFmtId="0" fontId="11" fillId="0" borderId="0" xfId="5"/>
    <xf numFmtId="0" fontId="9" fillId="0" borderId="0" xfId="6" applyFont="1" applyBorder="1" applyAlignment="1">
      <alignment vertical="center"/>
    </xf>
    <xf numFmtId="0" fontId="10" fillId="0" borderId="4" xfId="6" applyFont="1" applyFill="1" applyBorder="1" applyAlignment="1">
      <alignment horizontal="right" vertical="center" wrapText="1"/>
    </xf>
    <xf numFmtId="0" fontId="10" fillId="0" borderId="4" xfId="6" applyFont="1" applyBorder="1" applyAlignment="1">
      <alignment horizontal="right" vertical="center" wrapText="1"/>
    </xf>
    <xf numFmtId="0" fontId="9" fillId="0" borderId="0" xfId="6" applyFont="1" applyFill="1" applyBorder="1" applyAlignment="1">
      <alignment horizontal="right" vertical="center" wrapText="1"/>
    </xf>
    <xf numFmtId="0" fontId="9" fillId="0" borderId="0" xfId="6" applyFont="1" applyBorder="1" applyAlignment="1">
      <alignment horizontal="right" vertical="center" wrapText="1"/>
    </xf>
    <xf numFmtId="0" fontId="8" fillId="0" borderId="0" xfId="6" applyFont="1" applyBorder="1" applyAlignment="1">
      <alignment vertical="center"/>
    </xf>
    <xf numFmtId="3" fontId="8" fillId="0" borderId="0" xfId="6" applyNumberFormat="1" applyFont="1" applyFill="1" applyBorder="1" applyAlignment="1">
      <alignment horizontal="right" vertical="center" wrapText="1"/>
    </xf>
    <xf numFmtId="165" fontId="9" fillId="0" borderId="0" xfId="6" applyNumberFormat="1" applyFont="1" applyBorder="1" applyAlignment="1">
      <alignment vertical="center"/>
    </xf>
    <xf numFmtId="3" fontId="9" fillId="0" borderId="0" xfId="6" applyNumberFormat="1" applyFont="1" applyBorder="1" applyAlignment="1">
      <alignment vertical="center"/>
    </xf>
    <xf numFmtId="3" fontId="8" fillId="0" borderId="0" xfId="6" applyNumberFormat="1" applyFont="1" applyFill="1" applyBorder="1" applyAlignment="1">
      <alignment horizontal="right" vertical="center"/>
    </xf>
    <xf numFmtId="3" fontId="9" fillId="0" borderId="0" xfId="6" applyNumberFormat="1" applyFont="1" applyFill="1" applyBorder="1" applyAlignment="1">
      <alignment horizontal="right" vertical="center"/>
    </xf>
    <xf numFmtId="0" fontId="9" fillId="0" borderId="0" xfId="7" applyFont="1" applyBorder="1" applyAlignment="1">
      <alignment vertical="center"/>
    </xf>
    <xf numFmtId="0" fontId="9" fillId="0" borderId="6" xfId="5" applyFont="1" applyBorder="1" applyAlignment="1">
      <alignment vertical="center"/>
    </xf>
    <xf numFmtId="0" fontId="9" fillId="0" borderId="6" xfId="6" applyFont="1" applyBorder="1" applyAlignment="1">
      <alignment vertical="center"/>
    </xf>
    <xf numFmtId="0" fontId="10" fillId="0" borderId="0" xfId="8" applyFont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4" applyFont="1" applyBorder="1" applyAlignment="1">
      <alignment vertical="center"/>
    </xf>
    <xf numFmtId="3" fontId="10" fillId="0" borderId="0" xfId="8" applyNumberFormat="1" applyFont="1" applyBorder="1" applyAlignment="1">
      <alignment horizontal="right" vertical="center"/>
    </xf>
    <xf numFmtId="0" fontId="9" fillId="8" borderId="0" xfId="6" applyFont="1" applyFill="1" applyBorder="1" applyAlignment="1">
      <alignment vertical="center"/>
    </xf>
    <xf numFmtId="0" fontId="11" fillId="0" borderId="0" xfId="5" applyAlignment="1">
      <alignment horizontal="right"/>
    </xf>
    <xf numFmtId="0" fontId="0" fillId="5" borderId="0" xfId="0" applyFill="1" applyAlignment="1">
      <alignment horizontal="center" wrapText="1"/>
    </xf>
    <xf numFmtId="3" fontId="0" fillId="5" borderId="0" xfId="0" applyNumberFormat="1" applyFont="1" applyFill="1" applyBorder="1" applyAlignment="1">
      <alignment horizontal="right"/>
    </xf>
    <xf numFmtId="3" fontId="0" fillId="5" borderId="1" xfId="0" applyNumberFormat="1" applyFont="1" applyFill="1" applyBorder="1" applyAlignment="1">
      <alignment horizontal="right"/>
    </xf>
    <xf numFmtId="0" fontId="0" fillId="4" borderId="0" xfId="0" applyFill="1" applyBorder="1"/>
    <xf numFmtId="0" fontId="9" fillId="0" borderId="6" xfId="6" applyFont="1" applyBorder="1" applyAlignment="1">
      <alignment vertical="center"/>
    </xf>
    <xf numFmtId="0" fontId="0" fillId="4" borderId="0" xfId="0" applyFill="1" applyAlignment="1">
      <alignment horizontal="left" wrapText="1"/>
    </xf>
    <xf numFmtId="0" fontId="0" fillId="4" borderId="1" xfId="0" applyFill="1" applyBorder="1" applyAlignment="1">
      <alignment horizontal="center"/>
    </xf>
    <xf numFmtId="0" fontId="9" fillId="0" borderId="6" xfId="6" applyFont="1" applyBorder="1" applyAlignment="1">
      <alignment vertical="center"/>
    </xf>
    <xf numFmtId="0" fontId="0" fillId="4" borderId="2" xfId="0" applyFill="1" applyBorder="1" applyAlignment="1">
      <alignment horizontal="center" wrapText="1"/>
    </xf>
    <xf numFmtId="0" fontId="9" fillId="0" borderId="6" xfId="6" applyFont="1" applyBorder="1" applyAlignment="1">
      <alignment vertical="center"/>
    </xf>
    <xf numFmtId="0" fontId="0" fillId="4" borderId="0" xfId="0" applyFill="1" applyAlignment="1">
      <alignment horizontal="left" wrapText="1"/>
    </xf>
    <xf numFmtId="3" fontId="9" fillId="9" borderId="0" xfId="6" applyNumberFormat="1" applyFont="1" applyFill="1" applyBorder="1" applyAlignment="1">
      <alignment horizontal="right" vertical="center"/>
    </xf>
    <xf numFmtId="3" fontId="9" fillId="10" borderId="0" xfId="6" applyNumberFormat="1" applyFont="1" applyFill="1" applyBorder="1" applyAlignment="1">
      <alignment horizontal="right" vertical="center"/>
    </xf>
    <xf numFmtId="0" fontId="9" fillId="0" borderId="0" xfId="9" applyFont="1" applyBorder="1" applyAlignment="1">
      <alignment vertical="center"/>
    </xf>
    <xf numFmtId="0" fontId="10" fillId="0" borderId="4" xfId="9" applyFont="1" applyFill="1" applyBorder="1" applyAlignment="1">
      <alignment horizontal="right" vertical="center" wrapText="1"/>
    </xf>
    <xf numFmtId="0" fontId="10" fillId="0" borderId="4" xfId="9" applyFont="1" applyBorder="1" applyAlignment="1">
      <alignment horizontal="right" vertical="center" wrapText="1"/>
    </xf>
    <xf numFmtId="0" fontId="9" fillId="0" borderId="0" xfId="9" applyFont="1" applyFill="1" applyBorder="1" applyAlignment="1">
      <alignment horizontal="right" vertical="center" wrapText="1"/>
    </xf>
    <xf numFmtId="0" fontId="9" fillId="0" borderId="0" xfId="9" applyFont="1" applyBorder="1" applyAlignment="1">
      <alignment horizontal="right" vertical="center" wrapText="1"/>
    </xf>
    <xf numFmtId="0" fontId="8" fillId="0" borderId="0" xfId="9" applyFont="1" applyBorder="1" applyAlignment="1">
      <alignment vertical="center"/>
    </xf>
    <xf numFmtId="3" fontId="8" fillId="0" borderId="0" xfId="9" applyNumberFormat="1" applyFont="1" applyFill="1" applyBorder="1" applyAlignment="1">
      <alignment horizontal="right" vertical="center" wrapText="1"/>
    </xf>
    <xf numFmtId="3" fontId="9" fillId="0" borderId="0" xfId="9" applyNumberFormat="1" applyFont="1" applyBorder="1" applyAlignment="1">
      <alignment vertical="center"/>
    </xf>
    <xf numFmtId="3" fontId="8" fillId="0" borderId="0" xfId="9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3" fontId="9" fillId="11" borderId="0" xfId="9" applyNumberFormat="1" applyFont="1" applyFill="1" applyBorder="1" applyAlignment="1">
      <alignment horizontal="right" vertical="center"/>
    </xf>
    <xf numFmtId="0" fontId="9" fillId="0" borderId="0" xfId="10" applyFont="1" applyBorder="1" applyAlignment="1">
      <alignment vertical="center"/>
    </xf>
    <xf numFmtId="3" fontId="9" fillId="0" borderId="0" xfId="9" applyNumberFormat="1" applyFont="1" applyBorder="1" applyAlignment="1">
      <alignment horizontal="right" vertical="center"/>
    </xf>
    <xf numFmtId="0" fontId="9" fillId="0" borderId="6" xfId="9" applyFont="1" applyBorder="1" applyAlignment="1">
      <alignment vertical="center"/>
    </xf>
    <xf numFmtId="3" fontId="9" fillId="0" borderId="6" xfId="9" applyNumberFormat="1" applyFont="1" applyFill="1" applyBorder="1" applyAlignment="1">
      <alignment horizontal="right" vertical="center"/>
    </xf>
    <xf numFmtId="0" fontId="10" fillId="0" borderId="0" xfId="11" applyFont="1" applyBorder="1" applyAlignment="1">
      <alignment vertical="center"/>
    </xf>
    <xf numFmtId="0" fontId="9" fillId="0" borderId="0" xfId="9" applyFont="1" applyFill="1" applyBorder="1" applyAlignment="1">
      <alignment vertical="center"/>
    </xf>
    <xf numFmtId="0" fontId="9" fillId="0" borderId="0" xfId="12" applyFont="1" applyBorder="1" applyAlignment="1">
      <alignment vertical="center"/>
    </xf>
    <xf numFmtId="3" fontId="10" fillId="0" borderId="0" xfId="11" applyNumberFormat="1" applyFont="1" applyBorder="1" applyAlignment="1">
      <alignment horizontal="right" vertical="center"/>
    </xf>
    <xf numFmtId="10" fontId="9" fillId="0" borderId="0" xfId="9" applyNumberFormat="1" applyFont="1" applyBorder="1" applyAlignment="1">
      <alignment vertical="center"/>
    </xf>
    <xf numFmtId="3" fontId="7" fillId="0" borderId="0" xfId="12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9" fillId="0" borderId="0" xfId="11" applyFont="1" applyFill="1" applyBorder="1" applyAlignment="1">
      <alignment vertical="center"/>
    </xf>
    <xf numFmtId="3" fontId="9" fillId="11" borderId="0" xfId="6" applyNumberFormat="1" applyFont="1" applyFill="1" applyBorder="1" applyAlignment="1">
      <alignment horizontal="right" vertical="center"/>
    </xf>
    <xf numFmtId="3" fontId="9" fillId="0" borderId="0" xfId="6" applyNumberFormat="1" applyFont="1" applyBorder="1" applyAlignment="1">
      <alignment horizontal="right" vertical="center"/>
    </xf>
    <xf numFmtId="3" fontId="9" fillId="0" borderId="6" xfId="6" applyNumberFormat="1" applyFont="1" applyFill="1" applyBorder="1" applyAlignment="1">
      <alignment horizontal="right" vertical="center"/>
    </xf>
    <xf numFmtId="0" fontId="9" fillId="0" borderId="0" xfId="8" applyFont="1" applyBorder="1" applyAlignment="1">
      <alignment vertical="center"/>
    </xf>
    <xf numFmtId="0" fontId="0" fillId="4" borderId="2" xfId="0" applyFill="1" applyBorder="1"/>
    <xf numFmtId="3" fontId="9" fillId="9" borderId="0" xfId="9" applyNumberFormat="1" applyFont="1" applyFill="1" applyBorder="1" applyAlignment="1">
      <alignment horizontal="right" vertical="center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 wrapText="1"/>
    </xf>
    <xf numFmtId="1" fontId="0" fillId="4" borderId="0" xfId="0" quotePrefix="1" applyNumberFormat="1" applyFill="1"/>
    <xf numFmtId="0" fontId="9" fillId="0" borderId="6" xfId="6" applyFont="1" applyBorder="1" applyAlignment="1">
      <alignment vertical="center"/>
    </xf>
    <xf numFmtId="0" fontId="9" fillId="0" borderId="6" xfId="6" applyFont="1" applyBorder="1" applyAlignment="1">
      <alignment vertical="center"/>
    </xf>
    <xf numFmtId="0" fontId="0" fillId="5" borderId="0" xfId="0" quotePrefix="1" applyFill="1"/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 wrapText="1"/>
    </xf>
    <xf numFmtId="3" fontId="11" fillId="0" borderId="0" xfId="5" applyNumberFormat="1"/>
    <xf numFmtId="3" fontId="11" fillId="0" borderId="0" xfId="5" applyNumberFormat="1" applyAlignment="1">
      <alignment horizontal="right"/>
    </xf>
    <xf numFmtId="0" fontId="11" fillId="10" borderId="0" xfId="5" applyFill="1" applyAlignment="1">
      <alignment horizontal="right"/>
    </xf>
    <xf numFmtId="0" fontId="0" fillId="4" borderId="0" xfId="0" applyFill="1" applyAlignment="1">
      <alignment horizontal="left" wrapText="1"/>
    </xf>
    <xf numFmtId="0" fontId="9" fillId="0" borderId="6" xfId="6" applyFont="1" applyBorder="1" applyAlignment="1">
      <alignment vertical="center"/>
    </xf>
    <xf numFmtId="0" fontId="11" fillId="0" borderId="0" xfId="5" applyAlignment="1">
      <alignment horizontal="right"/>
    </xf>
    <xf numFmtId="0" fontId="9" fillId="0" borderId="6" xfId="6" applyFont="1" applyBorder="1" applyAlignment="1">
      <alignment vertical="center"/>
    </xf>
    <xf numFmtId="0" fontId="11" fillId="0" borderId="0" xfId="5" applyAlignment="1">
      <alignment horizontal="right"/>
    </xf>
    <xf numFmtId="166" fontId="9" fillId="0" borderId="0" xfId="6" applyNumberFormat="1" applyFont="1" applyBorder="1" applyAlignment="1">
      <alignment vertical="center"/>
    </xf>
    <xf numFmtId="0" fontId="0" fillId="4" borderId="0" xfId="0" applyFill="1" applyAlignment="1">
      <alignment horizontal="left" wrapText="1"/>
    </xf>
    <xf numFmtId="3" fontId="9" fillId="5" borderId="0" xfId="6" applyNumberFormat="1" applyFont="1" applyFill="1" applyBorder="1" applyAlignment="1">
      <alignment horizontal="right" vertical="center"/>
    </xf>
    <xf numFmtId="167" fontId="8" fillId="8" borderId="0" xfId="13" applyNumberFormat="1" applyFont="1" applyFill="1" applyBorder="1" applyAlignment="1">
      <alignment vertical="center"/>
    </xf>
    <xf numFmtId="0" fontId="5" fillId="4" borderId="0" xfId="2" applyFill="1"/>
    <xf numFmtId="3" fontId="1" fillId="5" borderId="1" xfId="0" applyNumberFormat="1" applyFont="1" applyFill="1" applyBorder="1" applyAlignment="1">
      <alignment horizontal="right"/>
    </xf>
    <xf numFmtId="167" fontId="9" fillId="0" borderId="0" xfId="13" applyNumberFormat="1" applyFont="1" applyBorder="1" applyAlignment="1">
      <alignment vertical="center"/>
    </xf>
    <xf numFmtId="0" fontId="12" fillId="7" borderId="0" xfId="5" applyFont="1" applyFill="1" applyAlignment="1">
      <alignment vertical="center" wrapText="1"/>
    </xf>
    <xf numFmtId="0" fontId="9" fillId="0" borderId="7" xfId="6" applyFont="1" applyBorder="1" applyAlignment="1">
      <alignment vertical="center"/>
    </xf>
    <xf numFmtId="0" fontId="9" fillId="0" borderId="6" xfId="6" applyFont="1" applyBorder="1" applyAlignment="1">
      <alignment vertical="center"/>
    </xf>
    <xf numFmtId="0" fontId="10" fillId="0" borderId="7" xfId="6" applyFont="1" applyFill="1" applyBorder="1" applyAlignment="1">
      <alignment horizontal="center" vertical="center" wrapText="1"/>
    </xf>
    <xf numFmtId="0" fontId="15" fillId="0" borderId="7" xfId="5" applyFont="1" applyBorder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0" fontId="9" fillId="0" borderId="7" xfId="9" applyFont="1" applyBorder="1" applyAlignment="1">
      <alignment vertical="center"/>
    </xf>
    <xf numFmtId="0" fontId="9" fillId="0" borderId="6" xfId="9" applyFont="1" applyBorder="1" applyAlignment="1">
      <alignment vertical="center"/>
    </xf>
    <xf numFmtId="0" fontId="10" fillId="0" borderId="7" xfId="9" applyFont="1" applyFill="1" applyBorder="1" applyAlignment="1">
      <alignment horizontal="center" vertical="center" wrapText="1"/>
    </xf>
    <xf numFmtId="0" fontId="12" fillId="7" borderId="3" xfId="5" applyFont="1" applyFill="1" applyBorder="1" applyAlignment="1">
      <alignment vertical="center" wrapText="1"/>
    </xf>
    <xf numFmtId="0" fontId="12" fillId="7" borderId="4" xfId="5" applyFont="1" applyFill="1" applyBorder="1" applyAlignment="1">
      <alignment vertical="center" wrapText="1"/>
    </xf>
    <xf numFmtId="0" fontId="12" fillId="7" borderId="5" xfId="5" applyFont="1" applyFill="1" applyBorder="1" applyAlignment="1">
      <alignment vertical="center" wrapText="1"/>
    </xf>
    <xf numFmtId="0" fontId="13" fillId="0" borderId="7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11" fillId="0" borderId="0" xfId="5" applyAlignment="1">
      <alignment horizontal="right"/>
    </xf>
    <xf numFmtId="0" fontId="0" fillId="4" borderId="0" xfId="0" applyFill="1" applyAlignment="1">
      <alignment horizontal="left" wrapText="1"/>
    </xf>
    <xf numFmtId="0" fontId="4" fillId="6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3" borderId="0" xfId="0" applyFont="1" applyFill="1" applyAlignment="1">
      <alignment horizontal="left" wrapText="1"/>
    </xf>
    <xf numFmtId="0" fontId="0" fillId="4" borderId="8" xfId="0" applyFill="1" applyBorder="1" applyAlignment="1">
      <alignment horizontal="center" wrapText="1"/>
    </xf>
    <xf numFmtId="0" fontId="0" fillId="4" borderId="0" xfId="0" applyFill="1" applyBorder="1" applyAlignment="1">
      <alignment horizontal="left" wrapText="1"/>
    </xf>
    <xf numFmtId="0" fontId="0" fillId="4" borderId="0" xfId="0" applyFill="1" applyAlignment="1">
      <alignment horizontal="left"/>
    </xf>
    <xf numFmtId="0" fontId="5" fillId="4" borderId="0" xfId="2" applyFill="1" applyAlignment="1">
      <alignment horizontal="right"/>
    </xf>
    <xf numFmtId="0" fontId="19" fillId="4" borderId="0" xfId="0" applyFont="1" applyFill="1" applyAlignment="1">
      <alignment horizontal="right"/>
    </xf>
    <xf numFmtId="0" fontId="5" fillId="4" borderId="0" xfId="2" applyFont="1" applyFill="1" applyAlignment="1">
      <alignment horizontal="left"/>
    </xf>
    <xf numFmtId="0" fontId="2" fillId="2" borderId="0" xfId="0" applyFont="1" applyFill="1" applyAlignment="1">
      <alignment horizontal="left" wrapText="1"/>
    </xf>
  </cellXfs>
  <cellStyles count="14">
    <cellStyle name="Comma" xfId="13" builtinId="3"/>
    <cellStyle name="Hyperlink" xfId="2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  <cellStyle name="Normal 3" xfId="5" xr:uid="{00000000-0005-0000-0000-000005000000}"/>
    <cellStyle name="Normal_Book1" xfId="4" xr:uid="{00000000-0005-0000-0000-000006000000}"/>
    <cellStyle name="Normal_Book1 2" xfId="12" xr:uid="{00000000-0005-0000-0000-000007000000}"/>
    <cellStyle name="Normal_Gender" xfId="7" xr:uid="{00000000-0005-0000-0000-000008000000}"/>
    <cellStyle name="Normal_Gender 2" xfId="10" xr:uid="{00000000-0005-0000-0000-000009000000}"/>
    <cellStyle name="Normal_Injuries" xfId="8" xr:uid="{00000000-0005-0000-0000-00000A000000}"/>
    <cellStyle name="Normal_Injuries 2" xfId="11" xr:uid="{00000000-0005-0000-0000-00000B000000}"/>
    <cellStyle name="Normal_Operational Activities" xfId="6" xr:uid="{00000000-0005-0000-0000-00000C000000}"/>
    <cellStyle name="Normal_Operational Activities 2" xfId="9" xr:uid="{00000000-0005-0000-0000-00000D000000}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s://www.gov.uk/government/collections/fire-prevention-and-protection-statisti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22"/>
  </sheetPr>
  <dimension ref="A1:M68"/>
  <sheetViews>
    <sheetView showGridLines="0" zoomScale="85" zoomScaleNormal="85" workbookViewId="0">
      <pane xSplit="2" ySplit="3" topLeftCell="C16" activePane="bottomRight" state="frozen"/>
      <selection activeCell="B1" sqref="B1"/>
      <selection pane="topRight" activeCell="C1" sqref="C1"/>
      <selection pane="bottomLeft" activeCell="B4" sqref="B4"/>
      <selection pane="bottomRight" activeCell="G41" sqref="G41"/>
    </sheetView>
  </sheetViews>
  <sheetFormatPr defaultRowHeight="13" x14ac:dyDescent="0.3"/>
  <cols>
    <col min="1" max="1" width="2.7265625" style="32" hidden="1" customWidth="1"/>
    <col min="2" max="2" width="25.54296875" style="32" customWidth="1"/>
    <col min="3" max="3" width="11.453125" style="32" customWidth="1"/>
    <col min="4" max="5" width="11.453125" style="52" customWidth="1"/>
    <col min="6" max="6" width="13" style="52" customWidth="1"/>
    <col min="7" max="8" width="11.453125" style="52" customWidth="1"/>
    <col min="9" max="10" width="13.26953125" style="52" customWidth="1"/>
    <col min="11" max="11" width="9.26953125" style="32"/>
    <col min="12" max="12" width="10.54296875" style="32" bestFit="1" customWidth="1"/>
    <col min="13" max="256" width="9.26953125" style="32"/>
    <col min="257" max="257" width="0" style="32" hidden="1" customWidth="1"/>
    <col min="258" max="258" width="25.54296875" style="32" customWidth="1"/>
    <col min="259" max="261" width="11.453125" style="32" customWidth="1"/>
    <col min="262" max="262" width="13" style="32" customWidth="1"/>
    <col min="263" max="264" width="11.453125" style="32" customWidth="1"/>
    <col min="265" max="266" width="13.26953125" style="32" customWidth="1"/>
    <col min="267" max="512" width="9.26953125" style="32"/>
    <col min="513" max="513" width="0" style="32" hidden="1" customWidth="1"/>
    <col min="514" max="514" width="25.54296875" style="32" customWidth="1"/>
    <col min="515" max="517" width="11.453125" style="32" customWidth="1"/>
    <col min="518" max="518" width="13" style="32" customWidth="1"/>
    <col min="519" max="520" width="11.453125" style="32" customWidth="1"/>
    <col min="521" max="522" width="13.26953125" style="32" customWidth="1"/>
    <col min="523" max="768" width="9.26953125" style="32"/>
    <col min="769" max="769" width="0" style="32" hidden="1" customWidth="1"/>
    <col min="770" max="770" width="25.54296875" style="32" customWidth="1"/>
    <col min="771" max="773" width="11.453125" style="32" customWidth="1"/>
    <col min="774" max="774" width="13" style="32" customWidth="1"/>
    <col min="775" max="776" width="11.453125" style="32" customWidth="1"/>
    <col min="777" max="778" width="13.26953125" style="32" customWidth="1"/>
    <col min="779" max="1024" width="9.26953125" style="32"/>
    <col min="1025" max="1025" width="0" style="32" hidden="1" customWidth="1"/>
    <col min="1026" max="1026" width="25.54296875" style="32" customWidth="1"/>
    <col min="1027" max="1029" width="11.453125" style="32" customWidth="1"/>
    <col min="1030" max="1030" width="13" style="32" customWidth="1"/>
    <col min="1031" max="1032" width="11.453125" style="32" customWidth="1"/>
    <col min="1033" max="1034" width="13.26953125" style="32" customWidth="1"/>
    <col min="1035" max="1280" width="9.26953125" style="32"/>
    <col min="1281" max="1281" width="0" style="32" hidden="1" customWidth="1"/>
    <col min="1282" max="1282" width="25.54296875" style="32" customWidth="1"/>
    <col min="1283" max="1285" width="11.453125" style="32" customWidth="1"/>
    <col min="1286" max="1286" width="13" style="32" customWidth="1"/>
    <col min="1287" max="1288" width="11.453125" style="32" customWidth="1"/>
    <col min="1289" max="1290" width="13.26953125" style="32" customWidth="1"/>
    <col min="1291" max="1536" width="9.26953125" style="32"/>
    <col min="1537" max="1537" width="0" style="32" hidden="1" customWidth="1"/>
    <col min="1538" max="1538" width="25.54296875" style="32" customWidth="1"/>
    <col min="1539" max="1541" width="11.453125" style="32" customWidth="1"/>
    <col min="1542" max="1542" width="13" style="32" customWidth="1"/>
    <col min="1543" max="1544" width="11.453125" style="32" customWidth="1"/>
    <col min="1545" max="1546" width="13.26953125" style="32" customWidth="1"/>
    <col min="1547" max="1792" width="9.26953125" style="32"/>
    <col min="1793" max="1793" width="0" style="32" hidden="1" customWidth="1"/>
    <col min="1794" max="1794" width="25.54296875" style="32" customWidth="1"/>
    <col min="1795" max="1797" width="11.453125" style="32" customWidth="1"/>
    <col min="1798" max="1798" width="13" style="32" customWidth="1"/>
    <col min="1799" max="1800" width="11.453125" style="32" customWidth="1"/>
    <col min="1801" max="1802" width="13.26953125" style="32" customWidth="1"/>
    <col min="1803" max="2048" width="9.26953125" style="32"/>
    <col min="2049" max="2049" width="0" style="32" hidden="1" customWidth="1"/>
    <col min="2050" max="2050" width="25.54296875" style="32" customWidth="1"/>
    <col min="2051" max="2053" width="11.453125" style="32" customWidth="1"/>
    <col min="2054" max="2054" width="13" style="32" customWidth="1"/>
    <col min="2055" max="2056" width="11.453125" style="32" customWidth="1"/>
    <col min="2057" max="2058" width="13.26953125" style="32" customWidth="1"/>
    <col min="2059" max="2304" width="9.26953125" style="32"/>
    <col min="2305" max="2305" width="0" style="32" hidden="1" customWidth="1"/>
    <col min="2306" max="2306" width="25.54296875" style="32" customWidth="1"/>
    <col min="2307" max="2309" width="11.453125" style="32" customWidth="1"/>
    <col min="2310" max="2310" width="13" style="32" customWidth="1"/>
    <col min="2311" max="2312" width="11.453125" style="32" customWidth="1"/>
    <col min="2313" max="2314" width="13.26953125" style="32" customWidth="1"/>
    <col min="2315" max="2560" width="9.26953125" style="32"/>
    <col min="2561" max="2561" width="0" style="32" hidden="1" customWidth="1"/>
    <col min="2562" max="2562" width="25.54296875" style="32" customWidth="1"/>
    <col min="2563" max="2565" width="11.453125" style="32" customWidth="1"/>
    <col min="2566" max="2566" width="13" style="32" customWidth="1"/>
    <col min="2567" max="2568" width="11.453125" style="32" customWidth="1"/>
    <col min="2569" max="2570" width="13.26953125" style="32" customWidth="1"/>
    <col min="2571" max="2816" width="9.26953125" style="32"/>
    <col min="2817" max="2817" width="0" style="32" hidden="1" customWidth="1"/>
    <col min="2818" max="2818" width="25.54296875" style="32" customWidth="1"/>
    <col min="2819" max="2821" width="11.453125" style="32" customWidth="1"/>
    <col min="2822" max="2822" width="13" style="32" customWidth="1"/>
    <col min="2823" max="2824" width="11.453125" style="32" customWidth="1"/>
    <col min="2825" max="2826" width="13.26953125" style="32" customWidth="1"/>
    <col min="2827" max="3072" width="9.26953125" style="32"/>
    <col min="3073" max="3073" width="0" style="32" hidden="1" customWidth="1"/>
    <col min="3074" max="3074" width="25.54296875" style="32" customWidth="1"/>
    <col min="3075" max="3077" width="11.453125" style="32" customWidth="1"/>
    <col min="3078" max="3078" width="13" style="32" customWidth="1"/>
    <col min="3079" max="3080" width="11.453125" style="32" customWidth="1"/>
    <col min="3081" max="3082" width="13.26953125" style="32" customWidth="1"/>
    <col min="3083" max="3328" width="9.26953125" style="32"/>
    <col min="3329" max="3329" width="0" style="32" hidden="1" customWidth="1"/>
    <col min="3330" max="3330" width="25.54296875" style="32" customWidth="1"/>
    <col min="3331" max="3333" width="11.453125" style="32" customWidth="1"/>
    <col min="3334" max="3334" width="13" style="32" customWidth="1"/>
    <col min="3335" max="3336" width="11.453125" style="32" customWidth="1"/>
    <col min="3337" max="3338" width="13.26953125" style="32" customWidth="1"/>
    <col min="3339" max="3584" width="9.26953125" style="32"/>
    <col min="3585" max="3585" width="0" style="32" hidden="1" customWidth="1"/>
    <col min="3586" max="3586" width="25.54296875" style="32" customWidth="1"/>
    <col min="3587" max="3589" width="11.453125" style="32" customWidth="1"/>
    <col min="3590" max="3590" width="13" style="32" customWidth="1"/>
    <col min="3591" max="3592" width="11.453125" style="32" customWidth="1"/>
    <col min="3593" max="3594" width="13.26953125" style="32" customWidth="1"/>
    <col min="3595" max="3840" width="9.26953125" style="32"/>
    <col min="3841" max="3841" width="0" style="32" hidden="1" customWidth="1"/>
    <col min="3842" max="3842" width="25.54296875" style="32" customWidth="1"/>
    <col min="3843" max="3845" width="11.453125" style="32" customWidth="1"/>
    <col min="3846" max="3846" width="13" style="32" customWidth="1"/>
    <col min="3847" max="3848" width="11.453125" style="32" customWidth="1"/>
    <col min="3849" max="3850" width="13.26953125" style="32" customWidth="1"/>
    <col min="3851" max="4096" width="9.26953125" style="32"/>
    <col min="4097" max="4097" width="0" style="32" hidden="1" customWidth="1"/>
    <col min="4098" max="4098" width="25.54296875" style="32" customWidth="1"/>
    <col min="4099" max="4101" width="11.453125" style="32" customWidth="1"/>
    <col min="4102" max="4102" width="13" style="32" customWidth="1"/>
    <col min="4103" max="4104" width="11.453125" style="32" customWidth="1"/>
    <col min="4105" max="4106" width="13.26953125" style="32" customWidth="1"/>
    <col min="4107" max="4352" width="9.26953125" style="32"/>
    <col min="4353" max="4353" width="0" style="32" hidden="1" customWidth="1"/>
    <col min="4354" max="4354" width="25.54296875" style="32" customWidth="1"/>
    <col min="4355" max="4357" width="11.453125" style="32" customWidth="1"/>
    <col min="4358" max="4358" width="13" style="32" customWidth="1"/>
    <col min="4359" max="4360" width="11.453125" style="32" customWidth="1"/>
    <col min="4361" max="4362" width="13.26953125" style="32" customWidth="1"/>
    <col min="4363" max="4608" width="9.26953125" style="32"/>
    <col min="4609" max="4609" width="0" style="32" hidden="1" customWidth="1"/>
    <col min="4610" max="4610" width="25.54296875" style="32" customWidth="1"/>
    <col min="4611" max="4613" width="11.453125" style="32" customWidth="1"/>
    <col min="4614" max="4614" width="13" style="32" customWidth="1"/>
    <col min="4615" max="4616" width="11.453125" style="32" customWidth="1"/>
    <col min="4617" max="4618" width="13.26953125" style="32" customWidth="1"/>
    <col min="4619" max="4864" width="9.26953125" style="32"/>
    <col min="4865" max="4865" width="0" style="32" hidden="1" customWidth="1"/>
    <col min="4866" max="4866" width="25.54296875" style="32" customWidth="1"/>
    <col min="4867" max="4869" width="11.453125" style="32" customWidth="1"/>
    <col min="4870" max="4870" width="13" style="32" customWidth="1"/>
    <col min="4871" max="4872" width="11.453125" style="32" customWidth="1"/>
    <col min="4873" max="4874" width="13.26953125" style="32" customWidth="1"/>
    <col min="4875" max="5120" width="9.26953125" style="32"/>
    <col min="5121" max="5121" width="0" style="32" hidden="1" customWidth="1"/>
    <col min="5122" max="5122" width="25.54296875" style="32" customWidth="1"/>
    <col min="5123" max="5125" width="11.453125" style="32" customWidth="1"/>
    <col min="5126" max="5126" width="13" style="32" customWidth="1"/>
    <col min="5127" max="5128" width="11.453125" style="32" customWidth="1"/>
    <col min="5129" max="5130" width="13.26953125" style="32" customWidth="1"/>
    <col min="5131" max="5376" width="9.26953125" style="32"/>
    <col min="5377" max="5377" width="0" style="32" hidden="1" customWidth="1"/>
    <col min="5378" max="5378" width="25.54296875" style="32" customWidth="1"/>
    <col min="5379" max="5381" width="11.453125" style="32" customWidth="1"/>
    <col min="5382" max="5382" width="13" style="32" customWidth="1"/>
    <col min="5383" max="5384" width="11.453125" style="32" customWidth="1"/>
    <col min="5385" max="5386" width="13.26953125" style="32" customWidth="1"/>
    <col min="5387" max="5632" width="9.26953125" style="32"/>
    <col min="5633" max="5633" width="0" style="32" hidden="1" customWidth="1"/>
    <col min="5634" max="5634" width="25.54296875" style="32" customWidth="1"/>
    <col min="5635" max="5637" width="11.453125" style="32" customWidth="1"/>
    <col min="5638" max="5638" width="13" style="32" customWidth="1"/>
    <col min="5639" max="5640" width="11.453125" style="32" customWidth="1"/>
    <col min="5641" max="5642" width="13.26953125" style="32" customWidth="1"/>
    <col min="5643" max="5888" width="9.26953125" style="32"/>
    <col min="5889" max="5889" width="0" style="32" hidden="1" customWidth="1"/>
    <col min="5890" max="5890" width="25.54296875" style="32" customWidth="1"/>
    <col min="5891" max="5893" width="11.453125" style="32" customWidth="1"/>
    <col min="5894" max="5894" width="13" style="32" customWidth="1"/>
    <col min="5895" max="5896" width="11.453125" style="32" customWidth="1"/>
    <col min="5897" max="5898" width="13.26953125" style="32" customWidth="1"/>
    <col min="5899" max="6144" width="9.26953125" style="32"/>
    <col min="6145" max="6145" width="0" style="32" hidden="1" customWidth="1"/>
    <col min="6146" max="6146" width="25.54296875" style="32" customWidth="1"/>
    <col min="6147" max="6149" width="11.453125" style="32" customWidth="1"/>
    <col min="6150" max="6150" width="13" style="32" customWidth="1"/>
    <col min="6151" max="6152" width="11.453125" style="32" customWidth="1"/>
    <col min="6153" max="6154" width="13.26953125" style="32" customWidth="1"/>
    <col min="6155" max="6400" width="9.26953125" style="32"/>
    <col min="6401" max="6401" width="0" style="32" hidden="1" customWidth="1"/>
    <col min="6402" max="6402" width="25.54296875" style="32" customWidth="1"/>
    <col min="6403" max="6405" width="11.453125" style="32" customWidth="1"/>
    <col min="6406" max="6406" width="13" style="32" customWidth="1"/>
    <col min="6407" max="6408" width="11.453125" style="32" customWidth="1"/>
    <col min="6409" max="6410" width="13.26953125" style="32" customWidth="1"/>
    <col min="6411" max="6656" width="9.26953125" style="32"/>
    <col min="6657" max="6657" width="0" style="32" hidden="1" customWidth="1"/>
    <col min="6658" max="6658" width="25.54296875" style="32" customWidth="1"/>
    <col min="6659" max="6661" width="11.453125" style="32" customWidth="1"/>
    <col min="6662" max="6662" width="13" style="32" customWidth="1"/>
    <col min="6663" max="6664" width="11.453125" style="32" customWidth="1"/>
    <col min="6665" max="6666" width="13.26953125" style="32" customWidth="1"/>
    <col min="6667" max="6912" width="9.26953125" style="32"/>
    <col min="6913" max="6913" width="0" style="32" hidden="1" customWidth="1"/>
    <col min="6914" max="6914" width="25.54296875" style="32" customWidth="1"/>
    <col min="6915" max="6917" width="11.453125" style="32" customWidth="1"/>
    <col min="6918" max="6918" width="13" style="32" customWidth="1"/>
    <col min="6919" max="6920" width="11.453125" style="32" customWidth="1"/>
    <col min="6921" max="6922" width="13.26953125" style="32" customWidth="1"/>
    <col min="6923" max="7168" width="9.26953125" style="32"/>
    <col min="7169" max="7169" width="0" style="32" hidden="1" customWidth="1"/>
    <col min="7170" max="7170" width="25.54296875" style="32" customWidth="1"/>
    <col min="7171" max="7173" width="11.453125" style="32" customWidth="1"/>
    <col min="7174" max="7174" width="13" style="32" customWidth="1"/>
    <col min="7175" max="7176" width="11.453125" style="32" customWidth="1"/>
    <col min="7177" max="7178" width="13.26953125" style="32" customWidth="1"/>
    <col min="7179" max="7424" width="9.26953125" style="32"/>
    <col min="7425" max="7425" width="0" style="32" hidden="1" customWidth="1"/>
    <col min="7426" max="7426" width="25.54296875" style="32" customWidth="1"/>
    <col min="7427" max="7429" width="11.453125" style="32" customWidth="1"/>
    <col min="7430" max="7430" width="13" style="32" customWidth="1"/>
    <col min="7431" max="7432" width="11.453125" style="32" customWidth="1"/>
    <col min="7433" max="7434" width="13.26953125" style="32" customWidth="1"/>
    <col min="7435" max="7680" width="9.26953125" style="32"/>
    <col min="7681" max="7681" width="0" style="32" hidden="1" customWidth="1"/>
    <col min="7682" max="7682" width="25.54296875" style="32" customWidth="1"/>
    <col min="7683" max="7685" width="11.453125" style="32" customWidth="1"/>
    <col min="7686" max="7686" width="13" style="32" customWidth="1"/>
    <col min="7687" max="7688" width="11.453125" style="32" customWidth="1"/>
    <col min="7689" max="7690" width="13.26953125" style="32" customWidth="1"/>
    <col min="7691" max="7936" width="9.26953125" style="32"/>
    <col min="7937" max="7937" width="0" style="32" hidden="1" customWidth="1"/>
    <col min="7938" max="7938" width="25.54296875" style="32" customWidth="1"/>
    <col min="7939" max="7941" width="11.453125" style="32" customWidth="1"/>
    <col min="7942" max="7942" width="13" style="32" customWidth="1"/>
    <col min="7943" max="7944" width="11.453125" style="32" customWidth="1"/>
    <col min="7945" max="7946" width="13.26953125" style="32" customWidth="1"/>
    <col min="7947" max="8192" width="9.26953125" style="32"/>
    <col min="8193" max="8193" width="0" style="32" hidden="1" customWidth="1"/>
    <col min="8194" max="8194" width="25.54296875" style="32" customWidth="1"/>
    <col min="8195" max="8197" width="11.453125" style="32" customWidth="1"/>
    <col min="8198" max="8198" width="13" style="32" customWidth="1"/>
    <col min="8199" max="8200" width="11.453125" style="32" customWidth="1"/>
    <col min="8201" max="8202" width="13.26953125" style="32" customWidth="1"/>
    <col min="8203" max="8448" width="9.26953125" style="32"/>
    <col min="8449" max="8449" width="0" style="32" hidden="1" customWidth="1"/>
    <col min="8450" max="8450" width="25.54296875" style="32" customWidth="1"/>
    <col min="8451" max="8453" width="11.453125" style="32" customWidth="1"/>
    <col min="8454" max="8454" width="13" style="32" customWidth="1"/>
    <col min="8455" max="8456" width="11.453125" style="32" customWidth="1"/>
    <col min="8457" max="8458" width="13.26953125" style="32" customWidth="1"/>
    <col min="8459" max="8704" width="9.26953125" style="32"/>
    <col min="8705" max="8705" width="0" style="32" hidden="1" customWidth="1"/>
    <col min="8706" max="8706" width="25.54296875" style="32" customWidth="1"/>
    <col min="8707" max="8709" width="11.453125" style="32" customWidth="1"/>
    <col min="8710" max="8710" width="13" style="32" customWidth="1"/>
    <col min="8711" max="8712" width="11.453125" style="32" customWidth="1"/>
    <col min="8713" max="8714" width="13.26953125" style="32" customWidth="1"/>
    <col min="8715" max="8960" width="9.26953125" style="32"/>
    <col min="8961" max="8961" width="0" style="32" hidden="1" customWidth="1"/>
    <col min="8962" max="8962" width="25.54296875" style="32" customWidth="1"/>
    <col min="8963" max="8965" width="11.453125" style="32" customWidth="1"/>
    <col min="8966" max="8966" width="13" style="32" customWidth="1"/>
    <col min="8967" max="8968" width="11.453125" style="32" customWidth="1"/>
    <col min="8969" max="8970" width="13.26953125" style="32" customWidth="1"/>
    <col min="8971" max="9216" width="9.26953125" style="32"/>
    <col min="9217" max="9217" width="0" style="32" hidden="1" customWidth="1"/>
    <col min="9218" max="9218" width="25.54296875" style="32" customWidth="1"/>
    <col min="9219" max="9221" width="11.453125" style="32" customWidth="1"/>
    <col min="9222" max="9222" width="13" style="32" customWidth="1"/>
    <col min="9223" max="9224" width="11.453125" style="32" customWidth="1"/>
    <col min="9225" max="9226" width="13.26953125" style="32" customWidth="1"/>
    <col min="9227" max="9472" width="9.26953125" style="32"/>
    <col min="9473" max="9473" width="0" style="32" hidden="1" customWidth="1"/>
    <col min="9474" max="9474" width="25.54296875" style="32" customWidth="1"/>
    <col min="9475" max="9477" width="11.453125" style="32" customWidth="1"/>
    <col min="9478" max="9478" width="13" style="32" customWidth="1"/>
    <col min="9479" max="9480" width="11.453125" style="32" customWidth="1"/>
    <col min="9481" max="9482" width="13.26953125" style="32" customWidth="1"/>
    <col min="9483" max="9728" width="9.26953125" style="32"/>
    <col min="9729" max="9729" width="0" style="32" hidden="1" customWidth="1"/>
    <col min="9730" max="9730" width="25.54296875" style="32" customWidth="1"/>
    <col min="9731" max="9733" width="11.453125" style="32" customWidth="1"/>
    <col min="9734" max="9734" width="13" style="32" customWidth="1"/>
    <col min="9735" max="9736" width="11.453125" style="32" customWidth="1"/>
    <col min="9737" max="9738" width="13.26953125" style="32" customWidth="1"/>
    <col min="9739" max="9984" width="9.26953125" style="32"/>
    <col min="9985" max="9985" width="0" style="32" hidden="1" customWidth="1"/>
    <col min="9986" max="9986" width="25.54296875" style="32" customWidth="1"/>
    <col min="9987" max="9989" width="11.453125" style="32" customWidth="1"/>
    <col min="9990" max="9990" width="13" style="32" customWidth="1"/>
    <col min="9991" max="9992" width="11.453125" style="32" customWidth="1"/>
    <col min="9993" max="9994" width="13.26953125" style="32" customWidth="1"/>
    <col min="9995" max="10240" width="9.26953125" style="32"/>
    <col min="10241" max="10241" width="0" style="32" hidden="1" customWidth="1"/>
    <col min="10242" max="10242" width="25.54296875" style="32" customWidth="1"/>
    <col min="10243" max="10245" width="11.453125" style="32" customWidth="1"/>
    <col min="10246" max="10246" width="13" style="32" customWidth="1"/>
    <col min="10247" max="10248" width="11.453125" style="32" customWidth="1"/>
    <col min="10249" max="10250" width="13.26953125" style="32" customWidth="1"/>
    <col min="10251" max="10496" width="9.26953125" style="32"/>
    <col min="10497" max="10497" width="0" style="32" hidden="1" customWidth="1"/>
    <col min="10498" max="10498" width="25.54296875" style="32" customWidth="1"/>
    <col min="10499" max="10501" width="11.453125" style="32" customWidth="1"/>
    <col min="10502" max="10502" width="13" style="32" customWidth="1"/>
    <col min="10503" max="10504" width="11.453125" style="32" customWidth="1"/>
    <col min="10505" max="10506" width="13.26953125" style="32" customWidth="1"/>
    <col min="10507" max="10752" width="9.26953125" style="32"/>
    <col min="10753" max="10753" width="0" style="32" hidden="1" customWidth="1"/>
    <col min="10754" max="10754" width="25.54296875" style="32" customWidth="1"/>
    <col min="10755" max="10757" width="11.453125" style="32" customWidth="1"/>
    <col min="10758" max="10758" width="13" style="32" customWidth="1"/>
    <col min="10759" max="10760" width="11.453125" style="32" customWidth="1"/>
    <col min="10761" max="10762" width="13.26953125" style="32" customWidth="1"/>
    <col min="10763" max="11008" width="9.26953125" style="32"/>
    <col min="11009" max="11009" width="0" style="32" hidden="1" customWidth="1"/>
    <col min="11010" max="11010" width="25.54296875" style="32" customWidth="1"/>
    <col min="11011" max="11013" width="11.453125" style="32" customWidth="1"/>
    <col min="11014" max="11014" width="13" style="32" customWidth="1"/>
    <col min="11015" max="11016" width="11.453125" style="32" customWidth="1"/>
    <col min="11017" max="11018" width="13.26953125" style="32" customWidth="1"/>
    <col min="11019" max="11264" width="9.26953125" style="32"/>
    <col min="11265" max="11265" width="0" style="32" hidden="1" customWidth="1"/>
    <col min="11266" max="11266" width="25.54296875" style="32" customWidth="1"/>
    <col min="11267" max="11269" width="11.453125" style="32" customWidth="1"/>
    <col min="11270" max="11270" width="13" style="32" customWidth="1"/>
    <col min="11271" max="11272" width="11.453125" style="32" customWidth="1"/>
    <col min="11273" max="11274" width="13.26953125" style="32" customWidth="1"/>
    <col min="11275" max="11520" width="9.26953125" style="32"/>
    <col min="11521" max="11521" width="0" style="32" hidden="1" customWidth="1"/>
    <col min="11522" max="11522" width="25.54296875" style="32" customWidth="1"/>
    <col min="11523" max="11525" width="11.453125" style="32" customWidth="1"/>
    <col min="11526" max="11526" width="13" style="32" customWidth="1"/>
    <col min="11527" max="11528" width="11.453125" style="32" customWidth="1"/>
    <col min="11529" max="11530" width="13.26953125" style="32" customWidth="1"/>
    <col min="11531" max="11776" width="9.26953125" style="32"/>
    <col min="11777" max="11777" width="0" style="32" hidden="1" customWidth="1"/>
    <col min="11778" max="11778" width="25.54296875" style="32" customWidth="1"/>
    <col min="11779" max="11781" width="11.453125" style="32" customWidth="1"/>
    <col min="11782" max="11782" width="13" style="32" customWidth="1"/>
    <col min="11783" max="11784" width="11.453125" style="32" customWidth="1"/>
    <col min="11785" max="11786" width="13.26953125" style="32" customWidth="1"/>
    <col min="11787" max="12032" width="9.26953125" style="32"/>
    <col min="12033" max="12033" width="0" style="32" hidden="1" customWidth="1"/>
    <col min="12034" max="12034" width="25.54296875" style="32" customWidth="1"/>
    <col min="12035" max="12037" width="11.453125" style="32" customWidth="1"/>
    <col min="12038" max="12038" width="13" style="32" customWidth="1"/>
    <col min="12039" max="12040" width="11.453125" style="32" customWidth="1"/>
    <col min="12041" max="12042" width="13.26953125" style="32" customWidth="1"/>
    <col min="12043" max="12288" width="9.26953125" style="32"/>
    <col min="12289" max="12289" width="0" style="32" hidden="1" customWidth="1"/>
    <col min="12290" max="12290" width="25.54296875" style="32" customWidth="1"/>
    <col min="12291" max="12293" width="11.453125" style="32" customWidth="1"/>
    <col min="12294" max="12294" width="13" style="32" customWidth="1"/>
    <col min="12295" max="12296" width="11.453125" style="32" customWidth="1"/>
    <col min="12297" max="12298" width="13.26953125" style="32" customWidth="1"/>
    <col min="12299" max="12544" width="9.26953125" style="32"/>
    <col min="12545" max="12545" width="0" style="32" hidden="1" customWidth="1"/>
    <col min="12546" max="12546" width="25.54296875" style="32" customWidth="1"/>
    <col min="12547" max="12549" width="11.453125" style="32" customWidth="1"/>
    <col min="12550" max="12550" width="13" style="32" customWidth="1"/>
    <col min="12551" max="12552" width="11.453125" style="32" customWidth="1"/>
    <col min="12553" max="12554" width="13.26953125" style="32" customWidth="1"/>
    <col min="12555" max="12800" width="9.26953125" style="32"/>
    <col min="12801" max="12801" width="0" style="32" hidden="1" customWidth="1"/>
    <col min="12802" max="12802" width="25.54296875" style="32" customWidth="1"/>
    <col min="12803" max="12805" width="11.453125" style="32" customWidth="1"/>
    <col min="12806" max="12806" width="13" style="32" customWidth="1"/>
    <col min="12807" max="12808" width="11.453125" style="32" customWidth="1"/>
    <col min="12809" max="12810" width="13.26953125" style="32" customWidth="1"/>
    <col min="12811" max="13056" width="9.26953125" style="32"/>
    <col min="13057" max="13057" width="0" style="32" hidden="1" customWidth="1"/>
    <col min="13058" max="13058" width="25.54296875" style="32" customWidth="1"/>
    <col min="13059" max="13061" width="11.453125" style="32" customWidth="1"/>
    <col min="13062" max="13062" width="13" style="32" customWidth="1"/>
    <col min="13063" max="13064" width="11.453125" style="32" customWidth="1"/>
    <col min="13065" max="13066" width="13.26953125" style="32" customWidth="1"/>
    <col min="13067" max="13312" width="9.26953125" style="32"/>
    <col min="13313" max="13313" width="0" style="32" hidden="1" customWidth="1"/>
    <col min="13314" max="13314" width="25.54296875" style="32" customWidth="1"/>
    <col min="13315" max="13317" width="11.453125" style="32" customWidth="1"/>
    <col min="13318" max="13318" width="13" style="32" customWidth="1"/>
    <col min="13319" max="13320" width="11.453125" style="32" customWidth="1"/>
    <col min="13321" max="13322" width="13.26953125" style="32" customWidth="1"/>
    <col min="13323" max="13568" width="9.26953125" style="32"/>
    <col min="13569" max="13569" width="0" style="32" hidden="1" customWidth="1"/>
    <col min="13570" max="13570" width="25.54296875" style="32" customWidth="1"/>
    <col min="13571" max="13573" width="11.453125" style="32" customWidth="1"/>
    <col min="13574" max="13574" width="13" style="32" customWidth="1"/>
    <col min="13575" max="13576" width="11.453125" style="32" customWidth="1"/>
    <col min="13577" max="13578" width="13.26953125" style="32" customWidth="1"/>
    <col min="13579" max="13824" width="9.26953125" style="32"/>
    <col min="13825" max="13825" width="0" style="32" hidden="1" customWidth="1"/>
    <col min="13826" max="13826" width="25.54296875" style="32" customWidth="1"/>
    <col min="13827" max="13829" width="11.453125" style="32" customWidth="1"/>
    <col min="13830" max="13830" width="13" style="32" customWidth="1"/>
    <col min="13831" max="13832" width="11.453125" style="32" customWidth="1"/>
    <col min="13833" max="13834" width="13.26953125" style="32" customWidth="1"/>
    <col min="13835" max="14080" width="9.26953125" style="32"/>
    <col min="14081" max="14081" width="0" style="32" hidden="1" customWidth="1"/>
    <col min="14082" max="14082" width="25.54296875" style="32" customWidth="1"/>
    <col min="14083" max="14085" width="11.453125" style="32" customWidth="1"/>
    <col min="14086" max="14086" width="13" style="32" customWidth="1"/>
    <col min="14087" max="14088" width="11.453125" style="32" customWidth="1"/>
    <col min="14089" max="14090" width="13.26953125" style="32" customWidth="1"/>
    <col min="14091" max="14336" width="9.26953125" style="32"/>
    <col min="14337" max="14337" width="0" style="32" hidden="1" customWidth="1"/>
    <col min="14338" max="14338" width="25.54296875" style="32" customWidth="1"/>
    <col min="14339" max="14341" width="11.453125" style="32" customWidth="1"/>
    <col min="14342" max="14342" width="13" style="32" customWidth="1"/>
    <col min="14343" max="14344" width="11.453125" style="32" customWidth="1"/>
    <col min="14345" max="14346" width="13.26953125" style="32" customWidth="1"/>
    <col min="14347" max="14592" width="9.26953125" style="32"/>
    <col min="14593" max="14593" width="0" style="32" hidden="1" customWidth="1"/>
    <col min="14594" max="14594" width="25.54296875" style="32" customWidth="1"/>
    <col min="14595" max="14597" width="11.453125" style="32" customWidth="1"/>
    <col min="14598" max="14598" width="13" style="32" customWidth="1"/>
    <col min="14599" max="14600" width="11.453125" style="32" customWidth="1"/>
    <col min="14601" max="14602" width="13.26953125" style="32" customWidth="1"/>
    <col min="14603" max="14848" width="9.26953125" style="32"/>
    <col min="14849" max="14849" width="0" style="32" hidden="1" customWidth="1"/>
    <col min="14850" max="14850" width="25.54296875" style="32" customWidth="1"/>
    <col min="14851" max="14853" width="11.453125" style="32" customWidth="1"/>
    <col min="14854" max="14854" width="13" style="32" customWidth="1"/>
    <col min="14855" max="14856" width="11.453125" style="32" customWidth="1"/>
    <col min="14857" max="14858" width="13.26953125" style="32" customWidth="1"/>
    <col min="14859" max="15104" width="9.26953125" style="32"/>
    <col min="15105" max="15105" width="0" style="32" hidden="1" customWidth="1"/>
    <col min="15106" max="15106" width="25.54296875" style="32" customWidth="1"/>
    <col min="15107" max="15109" width="11.453125" style="32" customWidth="1"/>
    <col min="15110" max="15110" width="13" style="32" customWidth="1"/>
    <col min="15111" max="15112" width="11.453125" style="32" customWidth="1"/>
    <col min="15113" max="15114" width="13.26953125" style="32" customWidth="1"/>
    <col min="15115" max="15360" width="9.26953125" style="32"/>
    <col min="15361" max="15361" width="0" style="32" hidden="1" customWidth="1"/>
    <col min="15362" max="15362" width="25.54296875" style="32" customWidth="1"/>
    <col min="15363" max="15365" width="11.453125" style="32" customWidth="1"/>
    <col min="15366" max="15366" width="13" style="32" customWidth="1"/>
    <col min="15367" max="15368" width="11.453125" style="32" customWidth="1"/>
    <col min="15369" max="15370" width="13.26953125" style="32" customWidth="1"/>
    <col min="15371" max="15616" width="9.26953125" style="32"/>
    <col min="15617" max="15617" width="0" style="32" hidden="1" customWidth="1"/>
    <col min="15618" max="15618" width="25.54296875" style="32" customWidth="1"/>
    <col min="15619" max="15621" width="11.453125" style="32" customWidth="1"/>
    <col min="15622" max="15622" width="13" style="32" customWidth="1"/>
    <col min="15623" max="15624" width="11.453125" style="32" customWidth="1"/>
    <col min="15625" max="15626" width="13.26953125" style="32" customWidth="1"/>
    <col min="15627" max="15872" width="9.26953125" style="32"/>
    <col min="15873" max="15873" width="0" style="32" hidden="1" customWidth="1"/>
    <col min="15874" max="15874" width="25.54296875" style="32" customWidth="1"/>
    <col min="15875" max="15877" width="11.453125" style="32" customWidth="1"/>
    <col min="15878" max="15878" width="13" style="32" customWidth="1"/>
    <col min="15879" max="15880" width="11.453125" style="32" customWidth="1"/>
    <col min="15881" max="15882" width="13.26953125" style="32" customWidth="1"/>
    <col min="15883" max="16128" width="9.26953125" style="32"/>
    <col min="16129" max="16129" width="0" style="32" hidden="1" customWidth="1"/>
    <col min="16130" max="16130" width="25.54296875" style="32" customWidth="1"/>
    <col min="16131" max="16133" width="11.453125" style="32" customWidth="1"/>
    <col min="16134" max="16134" width="13" style="32" customWidth="1"/>
    <col min="16135" max="16136" width="11.453125" style="32" customWidth="1"/>
    <col min="16137" max="16138" width="13.26953125" style="32" customWidth="1"/>
    <col min="16139" max="16384" width="9.26953125" style="32"/>
  </cols>
  <sheetData>
    <row r="1" spans="1:13" ht="40.5" customHeight="1" x14ac:dyDescent="0.3">
      <c r="B1" s="119" t="s">
        <v>101</v>
      </c>
      <c r="C1" s="119"/>
      <c r="D1" s="119"/>
      <c r="E1" s="119"/>
      <c r="F1" s="119"/>
      <c r="G1" s="119"/>
      <c r="H1" s="119"/>
      <c r="I1" s="119"/>
      <c r="J1" s="119"/>
    </row>
    <row r="2" spans="1:13" s="33" customFormat="1" ht="60.75" customHeight="1" x14ac:dyDescent="0.3">
      <c r="B2" s="120"/>
      <c r="C2" s="122" t="s">
        <v>67</v>
      </c>
      <c r="D2" s="123"/>
      <c r="E2" s="124" t="s">
        <v>68</v>
      </c>
      <c r="F2" s="124"/>
      <c r="G2" s="124" t="s">
        <v>69</v>
      </c>
      <c r="H2" s="124"/>
      <c r="I2" s="122" t="s">
        <v>70</v>
      </c>
      <c r="J2" s="123"/>
      <c r="K2" s="32"/>
    </row>
    <row r="3" spans="1:13" s="33" customFormat="1" ht="24" customHeight="1" x14ac:dyDescent="0.35">
      <c r="B3" s="121"/>
      <c r="C3" s="34" t="s">
        <v>71</v>
      </c>
      <c r="D3" s="35" t="s">
        <v>72</v>
      </c>
      <c r="E3" s="34" t="s">
        <v>71</v>
      </c>
      <c r="F3" s="35" t="s">
        <v>72</v>
      </c>
      <c r="G3" s="34" t="s">
        <v>71</v>
      </c>
      <c r="H3" s="35" t="s">
        <v>72</v>
      </c>
      <c r="I3" s="34" t="s">
        <v>71</v>
      </c>
      <c r="J3" s="35" t="s">
        <v>72</v>
      </c>
    </row>
    <row r="4" spans="1:13" s="33" customFormat="1" ht="24" hidden="1" customHeight="1" x14ac:dyDescent="0.35">
      <c r="C4" s="36" t="s">
        <v>73</v>
      </c>
      <c r="D4" s="36" t="s">
        <v>73</v>
      </c>
      <c r="E4" s="37" t="s">
        <v>74</v>
      </c>
      <c r="F4" s="37" t="s">
        <v>74</v>
      </c>
      <c r="G4" s="37" t="s">
        <v>75</v>
      </c>
      <c r="H4" s="37" t="s">
        <v>75</v>
      </c>
      <c r="I4" s="36" t="s">
        <v>76</v>
      </c>
      <c r="J4" s="36" t="s">
        <v>76</v>
      </c>
    </row>
    <row r="5" spans="1:13" s="33" customFormat="1" ht="24" hidden="1" customHeight="1" x14ac:dyDescent="0.35">
      <c r="C5" s="36" t="s">
        <v>71</v>
      </c>
      <c r="D5" s="37" t="s">
        <v>72</v>
      </c>
      <c r="E5" s="36" t="s">
        <v>71</v>
      </c>
      <c r="F5" s="37" t="s">
        <v>72</v>
      </c>
      <c r="G5" s="36" t="s">
        <v>71</v>
      </c>
      <c r="H5" s="37" t="s">
        <v>72</v>
      </c>
      <c r="I5" s="36" t="s">
        <v>71</v>
      </c>
      <c r="J5" s="37" t="s">
        <v>72</v>
      </c>
    </row>
    <row r="6" spans="1:13" s="33" customFormat="1" ht="25.5" customHeight="1" x14ac:dyDescent="0.35">
      <c r="B6" s="38" t="s">
        <v>0</v>
      </c>
      <c r="C6" s="39">
        <v>775019</v>
      </c>
      <c r="D6" s="39">
        <v>984787.43</v>
      </c>
      <c r="E6" s="39">
        <v>277773</v>
      </c>
      <c r="F6" s="39">
        <v>342072.45</v>
      </c>
      <c r="G6" s="39">
        <f>G7+G48</f>
        <v>86543</v>
      </c>
      <c r="H6" s="39">
        <f>H7+H48</f>
        <v>112638.3</v>
      </c>
      <c r="I6" s="39">
        <v>50105</v>
      </c>
      <c r="J6" s="39">
        <v>42705.260255560635</v>
      </c>
      <c r="L6" s="118"/>
      <c r="M6" s="41"/>
    </row>
    <row r="7" spans="1:13" s="38" customFormat="1" ht="26.25" customHeight="1" x14ac:dyDescent="0.35">
      <c r="A7" s="28"/>
      <c r="B7" s="38" t="s">
        <v>52</v>
      </c>
      <c r="C7" s="42">
        <v>409706</v>
      </c>
      <c r="D7" s="42">
        <v>514566.43</v>
      </c>
      <c r="E7" s="42">
        <v>147679</v>
      </c>
      <c r="F7" s="42">
        <v>178500.45</v>
      </c>
      <c r="G7" s="42">
        <f>SUM(G8:G47)</f>
        <v>46368</v>
      </c>
      <c r="H7" s="42">
        <f>SUM(H8:H47)</f>
        <v>58966.3</v>
      </c>
      <c r="I7" s="42">
        <v>17360</v>
      </c>
      <c r="J7" s="42">
        <v>12602.186666666666</v>
      </c>
      <c r="K7" s="33"/>
      <c r="L7" s="42"/>
    </row>
    <row r="8" spans="1:13" s="33" customFormat="1" ht="12.5" x14ac:dyDescent="0.35">
      <c r="A8" s="29">
        <v>51</v>
      </c>
      <c r="B8" s="33" t="s">
        <v>5</v>
      </c>
      <c r="C8" s="43">
        <v>15985</v>
      </c>
      <c r="D8" s="43">
        <v>11137</v>
      </c>
      <c r="E8" s="43">
        <v>5495</v>
      </c>
      <c r="F8" s="43">
        <v>3844</v>
      </c>
      <c r="G8" s="43">
        <v>2237</v>
      </c>
      <c r="H8" s="43">
        <v>1712</v>
      </c>
      <c r="I8" s="43">
        <v>343</v>
      </c>
      <c r="J8" s="43" t="s">
        <v>84</v>
      </c>
    </row>
    <row r="9" spans="1:13" s="33" customFormat="1" ht="14.5" x14ac:dyDescent="0.35">
      <c r="A9" s="29">
        <v>52</v>
      </c>
      <c r="B9" s="33" t="s">
        <v>102</v>
      </c>
      <c r="C9" s="43">
        <v>6437</v>
      </c>
      <c r="D9" s="43">
        <v>8084</v>
      </c>
      <c r="E9" s="43" t="s">
        <v>84</v>
      </c>
      <c r="F9" s="43" t="s">
        <v>84</v>
      </c>
      <c r="G9" s="43" t="s">
        <v>84</v>
      </c>
      <c r="H9" s="43" t="s">
        <v>84</v>
      </c>
      <c r="I9" s="43">
        <v>329</v>
      </c>
      <c r="J9" s="43" t="s">
        <v>84</v>
      </c>
    </row>
    <row r="10" spans="1:13" s="33" customFormat="1" ht="13.5" customHeight="1" x14ac:dyDescent="0.35">
      <c r="A10" s="29">
        <v>86</v>
      </c>
      <c r="B10" s="33" t="s">
        <v>7</v>
      </c>
      <c r="C10" s="43">
        <v>6696</v>
      </c>
      <c r="D10" s="43">
        <v>11147</v>
      </c>
      <c r="E10" s="43">
        <v>2530</v>
      </c>
      <c r="F10" s="43">
        <v>2950</v>
      </c>
      <c r="G10" s="43">
        <v>1100</v>
      </c>
      <c r="H10" s="43">
        <v>1283</v>
      </c>
      <c r="I10" s="89" t="s">
        <v>84</v>
      </c>
      <c r="J10" s="89" t="s">
        <v>84</v>
      </c>
    </row>
    <row r="11" spans="1:13" s="33" customFormat="1" ht="12.5" x14ac:dyDescent="0.35">
      <c r="A11" s="29">
        <v>53</v>
      </c>
      <c r="B11" s="33" t="s">
        <v>8</v>
      </c>
      <c r="C11" s="43">
        <v>5766</v>
      </c>
      <c r="D11" s="43">
        <v>8649</v>
      </c>
      <c r="E11" s="43">
        <v>1576</v>
      </c>
      <c r="F11" s="43">
        <v>2364</v>
      </c>
      <c r="G11" s="43">
        <v>971</v>
      </c>
      <c r="H11" s="43">
        <v>1457</v>
      </c>
      <c r="I11" s="43">
        <v>617</v>
      </c>
      <c r="J11" s="43" t="s">
        <v>84</v>
      </c>
    </row>
    <row r="12" spans="1:13" s="33" customFormat="1" ht="12.5" x14ac:dyDescent="0.35">
      <c r="A12" s="29">
        <v>54</v>
      </c>
      <c r="B12" s="33" t="s">
        <v>9</v>
      </c>
      <c r="C12" s="43">
        <v>7015</v>
      </c>
      <c r="D12" s="43">
        <v>5602</v>
      </c>
      <c r="E12" s="43">
        <v>2456</v>
      </c>
      <c r="F12" s="43">
        <v>2178</v>
      </c>
      <c r="G12" s="43">
        <v>1444</v>
      </c>
      <c r="H12" s="43">
        <v>1403</v>
      </c>
      <c r="I12" s="43">
        <v>60</v>
      </c>
      <c r="J12" s="43">
        <v>139</v>
      </c>
    </row>
    <row r="13" spans="1:13" s="33" customFormat="1" ht="12.5" x14ac:dyDescent="0.35">
      <c r="A13" s="29">
        <v>55</v>
      </c>
      <c r="B13" s="33" t="s">
        <v>10</v>
      </c>
      <c r="C13" s="43">
        <v>62707</v>
      </c>
      <c r="D13" s="43">
        <v>25083</v>
      </c>
      <c r="E13" s="43">
        <v>20517</v>
      </c>
      <c r="F13" s="43">
        <v>8206</v>
      </c>
      <c r="G13" s="43">
        <v>3013</v>
      </c>
      <c r="H13" s="43">
        <v>906</v>
      </c>
      <c r="I13" s="43">
        <v>130</v>
      </c>
      <c r="J13" s="43">
        <v>100</v>
      </c>
    </row>
    <row r="14" spans="1:13" s="33" customFormat="1" ht="14.5" x14ac:dyDescent="0.35">
      <c r="A14" s="29">
        <v>56</v>
      </c>
      <c r="B14" s="33" t="s">
        <v>103</v>
      </c>
      <c r="C14" s="43">
        <v>17469</v>
      </c>
      <c r="D14" s="43">
        <v>8734.5</v>
      </c>
      <c r="E14" s="43">
        <v>4124</v>
      </c>
      <c r="F14" s="43">
        <v>2062</v>
      </c>
      <c r="G14" s="43">
        <v>648</v>
      </c>
      <c r="H14" s="43">
        <v>324</v>
      </c>
      <c r="I14" s="89">
        <v>0</v>
      </c>
      <c r="J14" s="89">
        <v>0</v>
      </c>
    </row>
    <row r="15" spans="1:13" s="33" customFormat="1" ht="12.5" x14ac:dyDescent="0.35">
      <c r="A15" s="29">
        <v>57</v>
      </c>
      <c r="B15" s="33" t="s">
        <v>12</v>
      </c>
      <c r="C15" s="43">
        <v>3222</v>
      </c>
      <c r="D15" s="43">
        <v>3998</v>
      </c>
      <c r="E15" s="43" t="s">
        <v>84</v>
      </c>
      <c r="F15" s="43" t="s">
        <v>84</v>
      </c>
      <c r="G15" s="43" t="s">
        <v>84</v>
      </c>
      <c r="H15" s="43" t="s">
        <v>84</v>
      </c>
      <c r="I15" s="43">
        <v>417</v>
      </c>
      <c r="J15" s="43">
        <v>290.5</v>
      </c>
    </row>
    <row r="16" spans="1:13" s="33" customFormat="1" ht="12.5" x14ac:dyDescent="0.35">
      <c r="A16" s="29">
        <v>59</v>
      </c>
      <c r="B16" s="33" t="s">
        <v>13</v>
      </c>
      <c r="C16" s="43">
        <v>18175</v>
      </c>
      <c r="D16" s="43">
        <v>13631.25</v>
      </c>
      <c r="E16" s="43">
        <v>9656</v>
      </c>
      <c r="F16" s="43">
        <v>7242</v>
      </c>
      <c r="G16" s="43" t="s">
        <v>84</v>
      </c>
      <c r="H16" s="43" t="s">
        <v>84</v>
      </c>
      <c r="I16" s="43">
        <v>114</v>
      </c>
      <c r="J16" s="43">
        <v>85.5</v>
      </c>
    </row>
    <row r="17" spans="1:10" s="33" customFormat="1" ht="12.5" x14ac:dyDescent="0.35">
      <c r="A17" s="29">
        <v>60</v>
      </c>
      <c r="B17" s="33" t="s">
        <v>14</v>
      </c>
      <c r="C17" s="43">
        <v>5407</v>
      </c>
      <c r="D17" s="43">
        <v>9980</v>
      </c>
      <c r="E17" s="43">
        <v>1968</v>
      </c>
      <c r="F17" s="43">
        <v>3556</v>
      </c>
      <c r="G17" s="43">
        <v>1875</v>
      </c>
      <c r="H17" s="43">
        <v>3178</v>
      </c>
      <c r="I17" s="43">
        <v>4645</v>
      </c>
      <c r="J17" s="43">
        <v>4820</v>
      </c>
    </row>
    <row r="18" spans="1:10" s="33" customFormat="1" ht="14.5" x14ac:dyDescent="0.35">
      <c r="A18" s="29">
        <v>61</v>
      </c>
      <c r="B18" s="44" t="s">
        <v>104</v>
      </c>
      <c r="C18" s="43">
        <v>9455</v>
      </c>
      <c r="D18" s="43">
        <v>23938.5</v>
      </c>
      <c r="E18" s="43" t="s">
        <v>84</v>
      </c>
      <c r="F18" s="43" t="s">
        <v>84</v>
      </c>
      <c r="G18" s="43" t="s">
        <v>84</v>
      </c>
      <c r="H18" s="43" t="s">
        <v>84</v>
      </c>
      <c r="I18" s="89">
        <v>0</v>
      </c>
      <c r="J18" s="89">
        <v>0</v>
      </c>
    </row>
    <row r="19" spans="1:10" s="33" customFormat="1" ht="12.5" x14ac:dyDescent="0.35">
      <c r="A19" s="29"/>
      <c r="B19" s="44" t="s">
        <v>126</v>
      </c>
      <c r="C19" s="43" t="s">
        <v>127</v>
      </c>
      <c r="D19" s="43" t="s">
        <v>127</v>
      </c>
      <c r="E19" s="43" t="s">
        <v>127</v>
      </c>
      <c r="F19" s="43" t="s">
        <v>127</v>
      </c>
      <c r="G19" s="43" t="s">
        <v>127</v>
      </c>
      <c r="H19" s="43" t="s">
        <v>127</v>
      </c>
      <c r="I19" s="43" t="s">
        <v>127</v>
      </c>
      <c r="J19" s="43" t="s">
        <v>127</v>
      </c>
    </row>
    <row r="20" spans="1:10" s="33" customFormat="1" ht="12.5" x14ac:dyDescent="0.35">
      <c r="A20" s="29">
        <v>62</v>
      </c>
      <c r="B20" s="33" t="s">
        <v>16</v>
      </c>
      <c r="C20" s="43">
        <v>8857</v>
      </c>
      <c r="D20" s="43">
        <v>11657</v>
      </c>
      <c r="E20" s="43">
        <v>4360</v>
      </c>
      <c r="F20" s="43">
        <v>6022</v>
      </c>
      <c r="G20" s="43">
        <v>1763</v>
      </c>
      <c r="H20" s="43">
        <v>2430</v>
      </c>
      <c r="I20" s="43">
        <v>188</v>
      </c>
      <c r="J20" s="43">
        <v>169</v>
      </c>
    </row>
    <row r="21" spans="1:10" s="33" customFormat="1" ht="14.5" x14ac:dyDescent="0.35">
      <c r="A21" s="29">
        <v>58</v>
      </c>
      <c r="B21" s="33" t="s">
        <v>105</v>
      </c>
      <c r="C21" s="43">
        <v>9583</v>
      </c>
      <c r="D21" s="43">
        <v>8671</v>
      </c>
      <c r="E21" s="89">
        <v>3212</v>
      </c>
      <c r="F21" s="89">
        <v>3882</v>
      </c>
      <c r="G21" s="89">
        <v>4</v>
      </c>
      <c r="H21" s="89">
        <v>5</v>
      </c>
      <c r="I21" s="43">
        <v>0</v>
      </c>
      <c r="J21" s="43">
        <v>0</v>
      </c>
    </row>
    <row r="22" spans="1:10" s="33" customFormat="1" ht="12.5" x14ac:dyDescent="0.35">
      <c r="A22" s="29">
        <v>63</v>
      </c>
      <c r="B22" s="33" t="s">
        <v>18</v>
      </c>
      <c r="C22" s="43">
        <v>10144</v>
      </c>
      <c r="D22" s="43">
        <v>15883.5</v>
      </c>
      <c r="E22" s="43">
        <v>5328</v>
      </c>
      <c r="F22" s="43">
        <v>6369</v>
      </c>
      <c r="G22" s="43">
        <v>352</v>
      </c>
      <c r="H22" s="43">
        <v>792</v>
      </c>
      <c r="I22" s="89" t="s">
        <v>84</v>
      </c>
      <c r="J22" s="89" t="s">
        <v>84</v>
      </c>
    </row>
    <row r="23" spans="1:10" s="33" customFormat="1" ht="12.5" x14ac:dyDescent="0.35">
      <c r="A23" s="29">
        <v>64</v>
      </c>
      <c r="B23" s="33" t="s">
        <v>19</v>
      </c>
      <c r="C23" s="43">
        <v>6770</v>
      </c>
      <c r="D23" s="43">
        <v>10161</v>
      </c>
      <c r="E23" s="43">
        <v>3149</v>
      </c>
      <c r="F23" s="43">
        <v>4703</v>
      </c>
      <c r="G23" s="43">
        <v>1039</v>
      </c>
      <c r="H23" s="43">
        <v>1568</v>
      </c>
      <c r="I23" s="43">
        <v>697</v>
      </c>
      <c r="J23" s="43">
        <v>508</v>
      </c>
    </row>
    <row r="24" spans="1:10" s="33" customFormat="1" ht="12.5" x14ac:dyDescent="0.35">
      <c r="A24" s="29">
        <v>65</v>
      </c>
      <c r="B24" s="33" t="s">
        <v>20</v>
      </c>
      <c r="C24" s="43">
        <v>2896</v>
      </c>
      <c r="D24" s="43">
        <v>3134</v>
      </c>
      <c r="E24" s="43">
        <v>1178</v>
      </c>
      <c r="F24" s="43">
        <v>1232</v>
      </c>
      <c r="G24" s="43">
        <v>500</v>
      </c>
      <c r="H24" s="43">
        <v>1229.25</v>
      </c>
      <c r="I24" s="43">
        <v>71</v>
      </c>
      <c r="J24" s="43">
        <v>40</v>
      </c>
    </row>
    <row r="25" spans="1:10" s="33" customFormat="1" ht="12.5" x14ac:dyDescent="0.35">
      <c r="A25" s="29">
        <v>67</v>
      </c>
      <c r="B25" s="33" t="s">
        <v>23</v>
      </c>
      <c r="C25" s="43">
        <v>11023</v>
      </c>
      <c r="D25" s="43">
        <v>20984.93</v>
      </c>
      <c r="E25" s="43">
        <v>5680</v>
      </c>
      <c r="F25" s="43">
        <v>10123</v>
      </c>
      <c r="G25" s="43">
        <v>1502</v>
      </c>
      <c r="H25" s="43">
        <v>2503.15</v>
      </c>
      <c r="I25" s="43">
        <v>113</v>
      </c>
      <c r="J25" s="43">
        <v>149.66999999999999</v>
      </c>
    </row>
    <row r="26" spans="1:10" s="33" customFormat="1" ht="14.5" x14ac:dyDescent="0.35">
      <c r="A26" s="29">
        <v>68</v>
      </c>
      <c r="B26" s="33" t="s">
        <v>106</v>
      </c>
      <c r="C26" s="43">
        <v>3868</v>
      </c>
      <c r="D26" s="43">
        <v>9487</v>
      </c>
      <c r="E26" s="43">
        <v>986</v>
      </c>
      <c r="F26" s="43">
        <v>2902</v>
      </c>
      <c r="G26" s="43" t="s">
        <v>84</v>
      </c>
      <c r="H26" s="43" t="s">
        <v>84</v>
      </c>
      <c r="I26" s="43">
        <v>0</v>
      </c>
      <c r="J26" s="43">
        <v>0</v>
      </c>
    </row>
    <row r="27" spans="1:10" s="33" customFormat="1" ht="12.5" x14ac:dyDescent="0.35">
      <c r="A27" s="29">
        <v>69</v>
      </c>
      <c r="B27" s="33" t="s">
        <v>25</v>
      </c>
      <c r="C27" s="43">
        <v>3519</v>
      </c>
      <c r="D27" s="43">
        <v>9308.5</v>
      </c>
      <c r="E27" s="43">
        <v>1335</v>
      </c>
      <c r="F27" s="43">
        <v>2430.1666666666665</v>
      </c>
      <c r="G27" s="43">
        <v>19</v>
      </c>
      <c r="H27" s="43">
        <v>96.4</v>
      </c>
      <c r="I27" s="43">
        <v>441</v>
      </c>
      <c r="J27" s="43">
        <v>286.60000000000002</v>
      </c>
    </row>
    <row r="28" spans="1:10" s="33" customFormat="1" ht="12.5" x14ac:dyDescent="0.35">
      <c r="A28" s="29">
        <v>70</v>
      </c>
      <c r="B28" s="33" t="s">
        <v>26</v>
      </c>
      <c r="C28" s="43">
        <v>23347</v>
      </c>
      <c r="D28" s="43">
        <v>36116</v>
      </c>
      <c r="E28" s="43">
        <v>6649</v>
      </c>
      <c r="F28" s="43">
        <v>10306</v>
      </c>
      <c r="G28" s="43">
        <v>1723</v>
      </c>
      <c r="H28" s="43">
        <v>2671</v>
      </c>
      <c r="I28" s="43">
        <v>2896</v>
      </c>
      <c r="J28" s="43">
        <v>1535</v>
      </c>
    </row>
    <row r="29" spans="1:10" s="33" customFormat="1" ht="12.5" x14ac:dyDescent="0.35">
      <c r="A29" s="29">
        <v>71</v>
      </c>
      <c r="B29" s="33" t="s">
        <v>55</v>
      </c>
      <c r="C29" s="43">
        <v>562</v>
      </c>
      <c r="D29" s="43">
        <v>371</v>
      </c>
      <c r="E29" s="43">
        <v>323</v>
      </c>
      <c r="F29" s="43">
        <v>113</v>
      </c>
      <c r="G29" s="43" t="s">
        <v>84</v>
      </c>
      <c r="H29" s="43" t="s">
        <v>84</v>
      </c>
      <c r="I29" s="43">
        <v>88</v>
      </c>
      <c r="J29" s="43" t="s">
        <v>84</v>
      </c>
    </row>
    <row r="30" spans="1:10" s="33" customFormat="1" ht="12.5" x14ac:dyDescent="0.35">
      <c r="A30" s="29">
        <v>73</v>
      </c>
      <c r="B30" s="33" t="s">
        <v>29</v>
      </c>
      <c r="C30" s="43">
        <v>12919</v>
      </c>
      <c r="D30" s="43">
        <v>18542</v>
      </c>
      <c r="E30" s="43">
        <v>2253</v>
      </c>
      <c r="F30" s="43">
        <v>3319</v>
      </c>
      <c r="G30" s="43">
        <v>3298</v>
      </c>
      <c r="H30" s="43">
        <v>4091</v>
      </c>
      <c r="I30" s="43">
        <v>664</v>
      </c>
      <c r="J30" s="43" t="s">
        <v>84</v>
      </c>
    </row>
    <row r="31" spans="1:10" s="33" customFormat="1" ht="12.5" x14ac:dyDescent="0.35">
      <c r="A31" s="29">
        <v>74</v>
      </c>
      <c r="B31" s="33" t="s">
        <v>30</v>
      </c>
      <c r="C31" s="43">
        <v>54680</v>
      </c>
      <c r="D31" s="43">
        <v>73252</v>
      </c>
      <c r="E31" s="43">
        <v>22674</v>
      </c>
      <c r="F31" s="43">
        <v>31512</v>
      </c>
      <c r="G31" s="43">
        <v>12522</v>
      </c>
      <c r="H31" s="43">
        <v>18090</v>
      </c>
      <c r="I31" s="43">
        <v>562</v>
      </c>
      <c r="J31" s="43">
        <v>378</v>
      </c>
    </row>
    <row r="32" spans="1:10" s="33" customFormat="1" ht="14.5" x14ac:dyDescent="0.35">
      <c r="A32" s="29">
        <v>75</v>
      </c>
      <c r="B32" s="33" t="s">
        <v>107</v>
      </c>
      <c r="C32" s="43">
        <v>4235</v>
      </c>
      <c r="D32" s="43">
        <v>7411.25</v>
      </c>
      <c r="E32" s="43">
        <v>1238</v>
      </c>
      <c r="F32" s="43">
        <v>2166.5</v>
      </c>
      <c r="G32" s="43">
        <v>716</v>
      </c>
      <c r="H32" s="43">
        <v>1253</v>
      </c>
      <c r="I32" s="43">
        <v>86</v>
      </c>
      <c r="J32" s="43">
        <v>150.5</v>
      </c>
    </row>
    <row r="33" spans="1:12" s="33" customFormat="1" ht="12.5" x14ac:dyDescent="0.35">
      <c r="A33" s="29">
        <v>76</v>
      </c>
      <c r="B33" s="33" t="s">
        <v>32</v>
      </c>
      <c r="C33" s="43">
        <v>9300</v>
      </c>
      <c r="D33" s="43">
        <v>13900</v>
      </c>
      <c r="E33" s="43" t="s">
        <v>84</v>
      </c>
      <c r="F33" s="43" t="s">
        <v>84</v>
      </c>
      <c r="G33" s="43" t="s">
        <v>84</v>
      </c>
      <c r="H33" s="43" t="s">
        <v>84</v>
      </c>
      <c r="I33" s="43" t="s">
        <v>84</v>
      </c>
      <c r="J33" s="43" t="s">
        <v>84</v>
      </c>
    </row>
    <row r="34" spans="1:12" s="33" customFormat="1" ht="12.5" x14ac:dyDescent="0.35">
      <c r="A34" s="29">
        <v>79</v>
      </c>
      <c r="B34" s="33" t="s">
        <v>34</v>
      </c>
      <c r="C34" s="43">
        <v>2175</v>
      </c>
      <c r="D34" s="43">
        <v>2505</v>
      </c>
      <c r="E34" s="43">
        <v>1450</v>
      </c>
      <c r="F34" s="43">
        <v>1669</v>
      </c>
      <c r="G34" s="43" t="s">
        <v>84</v>
      </c>
      <c r="H34" s="43" t="s">
        <v>84</v>
      </c>
      <c r="I34" s="43">
        <v>476</v>
      </c>
      <c r="J34" s="43">
        <v>534</v>
      </c>
    </row>
    <row r="35" spans="1:12" s="33" customFormat="1" ht="12.5" x14ac:dyDescent="0.35">
      <c r="A35" s="29">
        <v>80</v>
      </c>
      <c r="B35" s="33" t="s">
        <v>35</v>
      </c>
      <c r="C35" s="43">
        <v>4870</v>
      </c>
      <c r="D35" s="43">
        <v>6353</v>
      </c>
      <c r="E35" s="43">
        <v>2642</v>
      </c>
      <c r="F35" s="43">
        <v>3402</v>
      </c>
      <c r="G35" s="43" t="s">
        <v>84</v>
      </c>
      <c r="H35" s="43" t="s">
        <v>84</v>
      </c>
      <c r="I35" s="43">
        <v>357</v>
      </c>
      <c r="J35" s="43">
        <v>97</v>
      </c>
    </row>
    <row r="36" spans="1:12" s="33" customFormat="1" ht="12.5" x14ac:dyDescent="0.35">
      <c r="A36" s="29">
        <v>81</v>
      </c>
      <c r="B36" s="33" t="s">
        <v>36</v>
      </c>
      <c r="C36" s="43">
        <v>11262</v>
      </c>
      <c r="D36" s="43">
        <v>22524</v>
      </c>
      <c r="E36" s="43">
        <v>2959</v>
      </c>
      <c r="F36" s="43">
        <v>5918</v>
      </c>
      <c r="G36" s="43">
        <v>1175</v>
      </c>
      <c r="H36" s="43">
        <v>2938</v>
      </c>
      <c r="I36" s="43">
        <v>459</v>
      </c>
      <c r="J36" s="43">
        <v>1148</v>
      </c>
    </row>
    <row r="37" spans="1:12" s="33" customFormat="1" ht="12.5" x14ac:dyDescent="0.35">
      <c r="A37" s="29">
        <v>83</v>
      </c>
      <c r="B37" s="33" t="s">
        <v>37</v>
      </c>
      <c r="C37" s="43">
        <v>10291</v>
      </c>
      <c r="D37" s="43">
        <v>10564.5</v>
      </c>
      <c r="E37" s="43">
        <v>2999</v>
      </c>
      <c r="F37" s="43">
        <v>3064.5</v>
      </c>
      <c r="G37" s="43">
        <v>396</v>
      </c>
      <c r="H37" s="43">
        <v>431.25</v>
      </c>
      <c r="I37" s="43">
        <v>273</v>
      </c>
      <c r="J37" s="43">
        <v>237.25</v>
      </c>
    </row>
    <row r="38" spans="1:12" s="33" customFormat="1" ht="12.5" x14ac:dyDescent="0.35">
      <c r="A38" s="29">
        <v>84</v>
      </c>
      <c r="B38" s="33" t="s">
        <v>38</v>
      </c>
      <c r="C38" s="43">
        <v>4799</v>
      </c>
      <c r="D38" s="43">
        <v>13044.5</v>
      </c>
      <c r="E38" s="43">
        <v>2359</v>
      </c>
      <c r="F38" s="43">
        <v>3833.2833333333333</v>
      </c>
      <c r="G38" s="43">
        <v>81</v>
      </c>
      <c r="H38" s="43">
        <v>103.25</v>
      </c>
      <c r="I38" s="43">
        <v>394</v>
      </c>
      <c r="J38" s="43">
        <v>352.16666666666669</v>
      </c>
    </row>
    <row r="39" spans="1:12" s="33" customFormat="1" ht="12.5" x14ac:dyDescent="0.35">
      <c r="A39" s="29">
        <v>85</v>
      </c>
      <c r="B39" s="33" t="s">
        <v>39</v>
      </c>
      <c r="C39" s="43">
        <v>1880</v>
      </c>
      <c r="D39" s="43">
        <v>6973</v>
      </c>
      <c r="E39" s="43">
        <v>870</v>
      </c>
      <c r="F39" s="43">
        <v>3484</v>
      </c>
      <c r="G39" s="43" t="s">
        <v>84</v>
      </c>
      <c r="H39" s="43" t="s">
        <v>84</v>
      </c>
      <c r="I39" s="43">
        <v>58</v>
      </c>
      <c r="J39" s="43">
        <v>155</v>
      </c>
    </row>
    <row r="40" spans="1:12" s="33" customFormat="1" ht="12.5" x14ac:dyDescent="0.35">
      <c r="A40" s="29">
        <v>87</v>
      </c>
      <c r="B40" s="33" t="s">
        <v>40</v>
      </c>
      <c r="C40" s="43">
        <v>1477</v>
      </c>
      <c r="D40" s="43">
        <v>1332</v>
      </c>
      <c r="E40" s="43">
        <v>1025</v>
      </c>
      <c r="F40" s="43">
        <v>1085</v>
      </c>
      <c r="G40" s="43" t="s">
        <v>84</v>
      </c>
      <c r="H40" s="43" t="s">
        <v>84</v>
      </c>
      <c r="I40" s="43">
        <v>560</v>
      </c>
      <c r="J40" s="43" t="s">
        <v>84</v>
      </c>
    </row>
    <row r="41" spans="1:12" s="33" customFormat="1" ht="12.5" x14ac:dyDescent="0.35">
      <c r="A41" s="29">
        <v>90</v>
      </c>
      <c r="B41" s="33" t="s">
        <v>42</v>
      </c>
      <c r="C41" s="43">
        <v>22578</v>
      </c>
      <c r="D41" s="43">
        <v>29245</v>
      </c>
      <c r="E41" s="43">
        <v>10688</v>
      </c>
      <c r="F41" s="43">
        <v>13367</v>
      </c>
      <c r="G41" s="43">
        <v>4930</v>
      </c>
      <c r="H41" s="43">
        <v>6041</v>
      </c>
      <c r="I41" s="43">
        <v>988</v>
      </c>
      <c r="J41" s="43">
        <v>1097</v>
      </c>
    </row>
    <row r="42" spans="1:12" s="33" customFormat="1" ht="12.5" x14ac:dyDescent="0.35">
      <c r="A42" s="29">
        <v>91</v>
      </c>
      <c r="B42" s="33" t="s">
        <v>43</v>
      </c>
      <c r="C42" s="43">
        <v>3894</v>
      </c>
      <c r="D42" s="43">
        <v>10709</v>
      </c>
      <c r="E42" s="43">
        <v>2686</v>
      </c>
      <c r="F42" s="43">
        <v>7741</v>
      </c>
      <c r="G42" s="43">
        <v>188</v>
      </c>
      <c r="H42" s="43">
        <v>581</v>
      </c>
      <c r="I42" s="89" t="s">
        <v>84</v>
      </c>
      <c r="J42" s="89" t="s">
        <v>84</v>
      </c>
    </row>
    <row r="43" spans="1:12" s="33" customFormat="1" ht="12.5" x14ac:dyDescent="0.35">
      <c r="A43" s="29">
        <v>92</v>
      </c>
      <c r="B43" s="33" t="s">
        <v>44</v>
      </c>
      <c r="C43" s="43">
        <v>5535</v>
      </c>
      <c r="D43" s="43">
        <v>7947</v>
      </c>
      <c r="E43" s="43">
        <v>2840</v>
      </c>
      <c r="F43" s="43">
        <v>4123</v>
      </c>
      <c r="G43" s="43">
        <v>739</v>
      </c>
      <c r="H43" s="43">
        <v>1096</v>
      </c>
      <c r="I43" s="43">
        <v>17</v>
      </c>
      <c r="J43" s="43">
        <v>24</v>
      </c>
    </row>
    <row r="44" spans="1:12" s="33" customFormat="1" ht="12.5" x14ac:dyDescent="0.35">
      <c r="A44" s="29">
        <v>94</v>
      </c>
      <c r="B44" s="33" t="s">
        <v>46</v>
      </c>
      <c r="C44" s="43">
        <v>10893</v>
      </c>
      <c r="D44" s="43">
        <v>20999</v>
      </c>
      <c r="E44" s="43">
        <v>3781</v>
      </c>
      <c r="F44" s="43">
        <v>7800</v>
      </c>
      <c r="G44" s="43">
        <v>1747</v>
      </c>
      <c r="H44" s="43">
        <v>860</v>
      </c>
      <c r="I44" s="43">
        <v>525</v>
      </c>
      <c r="J44" s="89" t="s">
        <v>84</v>
      </c>
    </row>
    <row r="45" spans="1:12" s="33" customFormat="1" ht="12.5" x14ac:dyDescent="0.35">
      <c r="A45" s="29">
        <v>96</v>
      </c>
      <c r="B45" s="33" t="s">
        <v>48</v>
      </c>
      <c r="C45" s="43">
        <v>6970</v>
      </c>
      <c r="D45" s="43">
        <v>8513</v>
      </c>
      <c r="E45" s="43">
        <v>4978</v>
      </c>
      <c r="F45" s="43">
        <v>3529</v>
      </c>
      <c r="G45" s="43">
        <v>1884</v>
      </c>
      <c r="H45" s="43">
        <v>1337</v>
      </c>
      <c r="I45" s="89" t="s">
        <v>84</v>
      </c>
      <c r="J45" s="89" t="s">
        <v>84</v>
      </c>
    </row>
    <row r="46" spans="1:12" s="33" customFormat="1" ht="12.5" x14ac:dyDescent="0.35">
      <c r="A46" s="29">
        <v>98</v>
      </c>
      <c r="B46" s="33" t="s">
        <v>50</v>
      </c>
      <c r="C46" s="43">
        <v>2998</v>
      </c>
      <c r="D46" s="43">
        <v>4969</v>
      </c>
      <c r="E46" s="43">
        <v>1715</v>
      </c>
      <c r="F46" s="43">
        <v>2003</v>
      </c>
      <c r="G46" s="43">
        <v>502</v>
      </c>
      <c r="H46" s="43">
        <v>587</v>
      </c>
      <c r="I46" s="43">
        <v>792</v>
      </c>
      <c r="J46" s="43">
        <v>306</v>
      </c>
    </row>
    <row r="47" spans="1:12" s="33" customFormat="1" ht="14.5" x14ac:dyDescent="0.35">
      <c r="A47" s="29">
        <v>72</v>
      </c>
      <c r="B47" s="33" t="s">
        <v>108</v>
      </c>
      <c r="C47" s="43">
        <v>47</v>
      </c>
      <c r="D47" s="43">
        <v>25</v>
      </c>
      <c r="E47" s="43" t="s">
        <v>84</v>
      </c>
      <c r="F47" s="43" t="s">
        <v>84</v>
      </c>
      <c r="G47" s="43" t="s">
        <v>84</v>
      </c>
      <c r="H47" s="43" t="s">
        <v>84</v>
      </c>
      <c r="I47" s="43">
        <v>0</v>
      </c>
      <c r="J47" s="43">
        <v>0</v>
      </c>
    </row>
    <row r="48" spans="1:12" s="38" customFormat="1" ht="26.25" customHeight="1" x14ac:dyDescent="0.35">
      <c r="B48" s="38" t="s">
        <v>56</v>
      </c>
      <c r="C48" s="42">
        <v>365313</v>
      </c>
      <c r="D48" s="42">
        <v>470221</v>
      </c>
      <c r="E48" s="42">
        <v>130094</v>
      </c>
      <c r="F48" s="42">
        <v>163572</v>
      </c>
      <c r="G48" s="42">
        <v>40175</v>
      </c>
      <c r="H48" s="42">
        <v>53672</v>
      </c>
      <c r="I48" s="42">
        <v>32745</v>
      </c>
      <c r="J48" s="42">
        <v>30103.073588893967</v>
      </c>
      <c r="L48" s="33"/>
    </row>
    <row r="49" spans="1:12" s="33" customFormat="1" ht="12.5" x14ac:dyDescent="0.35">
      <c r="A49" s="29">
        <v>66</v>
      </c>
      <c r="B49" s="33" t="s">
        <v>22</v>
      </c>
      <c r="C49" s="43">
        <v>55115</v>
      </c>
      <c r="D49" s="90">
        <v>108642</v>
      </c>
      <c r="E49" s="43">
        <v>16238</v>
      </c>
      <c r="F49" s="90">
        <v>32745</v>
      </c>
      <c r="G49" s="43" t="s">
        <v>84</v>
      </c>
      <c r="H49" s="43" t="s">
        <v>84</v>
      </c>
      <c r="I49" s="43">
        <v>18961</v>
      </c>
      <c r="J49" s="90">
        <v>13940.5</v>
      </c>
    </row>
    <row r="50" spans="1:12" s="33" customFormat="1" ht="14.25" customHeight="1" x14ac:dyDescent="0.35">
      <c r="A50" s="29">
        <v>78</v>
      </c>
      <c r="B50" s="33" t="s">
        <v>109</v>
      </c>
      <c r="C50" s="43">
        <v>70477</v>
      </c>
      <c r="D50" s="43">
        <v>110181</v>
      </c>
      <c r="E50" s="43">
        <v>25134</v>
      </c>
      <c r="F50" s="43">
        <v>39294</v>
      </c>
      <c r="G50" s="43">
        <v>7924</v>
      </c>
      <c r="H50" s="43">
        <v>12388</v>
      </c>
      <c r="I50" s="43">
        <v>4459</v>
      </c>
      <c r="J50" s="43">
        <v>6689</v>
      </c>
    </row>
    <row r="51" spans="1:12" s="33" customFormat="1" ht="15.75" customHeight="1" x14ac:dyDescent="0.35">
      <c r="A51" s="29">
        <v>89</v>
      </c>
      <c r="B51" s="33" t="s">
        <v>41</v>
      </c>
      <c r="C51" s="43">
        <v>35634</v>
      </c>
      <c r="D51" s="43">
        <v>30050</v>
      </c>
      <c r="E51" s="43">
        <v>13076</v>
      </c>
      <c r="F51" s="43">
        <v>11046</v>
      </c>
      <c r="G51" s="43">
        <v>7214</v>
      </c>
      <c r="H51" s="43">
        <v>6123</v>
      </c>
      <c r="I51" s="43">
        <v>345</v>
      </c>
      <c r="J51" s="43">
        <v>345</v>
      </c>
    </row>
    <row r="52" spans="1:12" s="33" customFormat="1" ht="12.5" x14ac:dyDescent="0.35">
      <c r="A52" s="29">
        <v>93</v>
      </c>
      <c r="B52" s="33" t="s">
        <v>57</v>
      </c>
      <c r="C52" s="43">
        <v>30153</v>
      </c>
      <c r="D52" s="43">
        <v>11737</v>
      </c>
      <c r="E52" s="43">
        <v>13870</v>
      </c>
      <c r="F52" s="43">
        <v>5412</v>
      </c>
      <c r="G52" s="43">
        <v>3263</v>
      </c>
      <c r="H52" s="43">
        <v>1397</v>
      </c>
      <c r="I52" s="43">
        <v>106</v>
      </c>
      <c r="J52" s="43">
        <v>35</v>
      </c>
    </row>
    <row r="53" spans="1:12" s="33" customFormat="1" ht="14.5" x14ac:dyDescent="0.35">
      <c r="A53" s="29">
        <v>95</v>
      </c>
      <c r="B53" s="33" t="s">
        <v>110</v>
      </c>
      <c r="C53" s="43">
        <v>40908</v>
      </c>
      <c r="D53" s="43">
        <v>82816</v>
      </c>
      <c r="E53" s="43">
        <v>14651</v>
      </c>
      <c r="F53" s="43">
        <v>29302</v>
      </c>
      <c r="G53" s="43">
        <v>11502</v>
      </c>
      <c r="H53" s="43">
        <v>23300</v>
      </c>
      <c r="I53" s="89" t="s">
        <v>84</v>
      </c>
      <c r="J53" s="89" t="s">
        <v>84</v>
      </c>
    </row>
    <row r="54" spans="1:12" s="33" customFormat="1" ht="14" x14ac:dyDescent="0.35">
      <c r="A54" s="29">
        <v>97</v>
      </c>
      <c r="B54" s="33" t="s">
        <v>49</v>
      </c>
      <c r="C54" s="43">
        <v>63010</v>
      </c>
      <c r="D54" s="43">
        <v>54953</v>
      </c>
      <c r="E54" s="43">
        <v>20083</v>
      </c>
      <c r="F54" s="43">
        <v>17515</v>
      </c>
      <c r="G54" s="43" t="s">
        <v>84</v>
      </c>
      <c r="H54" s="43" t="s">
        <v>84</v>
      </c>
      <c r="I54" s="43">
        <v>77</v>
      </c>
      <c r="J54" s="43">
        <v>67.150000000000006</v>
      </c>
      <c r="L54" s="38"/>
    </row>
    <row r="55" spans="1:12" s="33" customFormat="1" ht="14.5" x14ac:dyDescent="0.35">
      <c r="A55" s="45">
        <v>77</v>
      </c>
      <c r="B55" s="62" t="s">
        <v>111</v>
      </c>
      <c r="C55" s="91">
        <v>70016</v>
      </c>
      <c r="D55" s="91">
        <v>71842</v>
      </c>
      <c r="E55" s="91">
        <v>27042</v>
      </c>
      <c r="F55" s="91">
        <v>28258</v>
      </c>
      <c r="G55" s="91">
        <v>10272</v>
      </c>
      <c r="H55" s="91">
        <v>10464</v>
      </c>
      <c r="I55" s="91">
        <v>8797</v>
      </c>
      <c r="J55" s="91">
        <v>9026.4235888939675</v>
      </c>
    </row>
    <row r="56" spans="1:12" s="33" customFormat="1" ht="6" customHeight="1" x14ac:dyDescent="0.35">
      <c r="B56" s="47"/>
      <c r="J56" s="48"/>
    </row>
    <row r="57" spans="1:12" s="33" customFormat="1" ht="11.25" customHeight="1" x14ac:dyDescent="0.35">
      <c r="B57" s="92" t="s">
        <v>112</v>
      </c>
      <c r="J57" s="48"/>
    </row>
    <row r="58" spans="1:12" s="33" customFormat="1" ht="12.5" x14ac:dyDescent="0.35">
      <c r="B58" s="33" t="s">
        <v>113</v>
      </c>
      <c r="J58" s="48"/>
    </row>
    <row r="59" spans="1:12" s="33" customFormat="1" ht="12.5" x14ac:dyDescent="0.35">
      <c r="B59" s="33" t="s">
        <v>99</v>
      </c>
      <c r="J59" s="48"/>
    </row>
    <row r="60" spans="1:12" s="33" customFormat="1" ht="12.5" x14ac:dyDescent="0.35">
      <c r="B60" s="33" t="s">
        <v>100</v>
      </c>
      <c r="J60" s="48"/>
    </row>
    <row r="61" spans="1:12" s="33" customFormat="1" ht="12.5" x14ac:dyDescent="0.35">
      <c r="B61" s="33" t="s">
        <v>114</v>
      </c>
      <c r="J61" s="48"/>
    </row>
    <row r="62" spans="1:12" s="33" customFormat="1" ht="12.5" x14ac:dyDescent="0.35">
      <c r="J62" s="48"/>
    </row>
    <row r="63" spans="1:12" s="33" customFormat="1" ht="12.5" x14ac:dyDescent="0.35">
      <c r="B63" s="33" t="s">
        <v>78</v>
      </c>
      <c r="J63" s="48"/>
    </row>
    <row r="64" spans="1:12" s="33" customFormat="1" ht="12.5" x14ac:dyDescent="0.35">
      <c r="J64" s="48"/>
    </row>
    <row r="65" spans="2:10" s="33" customFormat="1" x14ac:dyDescent="0.35">
      <c r="B65" s="49" t="s">
        <v>79</v>
      </c>
      <c r="J65" s="50"/>
    </row>
    <row r="68" spans="2:10" ht="9.75" customHeight="1" x14ac:dyDescent="0.3"/>
  </sheetData>
  <mergeCells count="6">
    <mergeCell ref="B1:J1"/>
    <mergeCell ref="B2:B3"/>
    <mergeCell ref="C2:D2"/>
    <mergeCell ref="E2:F2"/>
    <mergeCell ref="G2:H2"/>
    <mergeCell ref="I2:J2"/>
  </mergeCells>
  <pageMargins left="0.48" right="0.31" top="1" bottom="1" header="0.5" footer="0.5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0000"/>
  </sheetPr>
  <dimension ref="A1:T71"/>
  <sheetViews>
    <sheetView showGridLines="0" zoomScale="85" zoomScaleNormal="85" workbookViewId="0">
      <pane xSplit="2" ySplit="3" topLeftCell="C46" activePane="bottomRight" state="frozen"/>
      <selection activeCell="B1" sqref="B1"/>
      <selection pane="topRight" activeCell="C1" sqref="C1"/>
      <selection pane="bottomLeft" activeCell="B4" sqref="B4"/>
      <selection pane="bottomRight" activeCell="B70" sqref="B70"/>
    </sheetView>
  </sheetViews>
  <sheetFormatPr defaultRowHeight="13" x14ac:dyDescent="0.3"/>
  <cols>
    <col min="1" max="1" width="2.7265625" style="32" hidden="1" customWidth="1"/>
    <col min="2" max="2" width="25.54296875" style="32" customWidth="1"/>
    <col min="3" max="3" width="11.453125" style="32" customWidth="1"/>
    <col min="4" max="5" width="11.453125" style="109" customWidth="1"/>
    <col min="6" max="6" width="13" style="109" customWidth="1"/>
    <col min="7" max="8" width="11.453125" style="109" customWidth="1"/>
    <col min="9" max="10" width="13.26953125" style="109" customWidth="1"/>
    <col min="11" max="256" width="8.7265625" style="32"/>
    <col min="257" max="257" width="0" style="32" hidden="1" customWidth="1"/>
    <col min="258" max="258" width="25.54296875" style="32" customWidth="1"/>
    <col min="259" max="261" width="11.453125" style="32" customWidth="1"/>
    <col min="262" max="262" width="13" style="32" customWidth="1"/>
    <col min="263" max="264" width="11.453125" style="32" customWidth="1"/>
    <col min="265" max="266" width="13.26953125" style="32" customWidth="1"/>
    <col min="267" max="512" width="8.7265625" style="32"/>
    <col min="513" max="513" width="0" style="32" hidden="1" customWidth="1"/>
    <col min="514" max="514" width="25.54296875" style="32" customWidth="1"/>
    <col min="515" max="517" width="11.453125" style="32" customWidth="1"/>
    <col min="518" max="518" width="13" style="32" customWidth="1"/>
    <col min="519" max="520" width="11.453125" style="32" customWidth="1"/>
    <col min="521" max="522" width="13.26953125" style="32" customWidth="1"/>
    <col min="523" max="768" width="8.7265625" style="32"/>
    <col min="769" max="769" width="0" style="32" hidden="1" customWidth="1"/>
    <col min="770" max="770" width="25.54296875" style="32" customWidth="1"/>
    <col min="771" max="773" width="11.453125" style="32" customWidth="1"/>
    <col min="774" max="774" width="13" style="32" customWidth="1"/>
    <col min="775" max="776" width="11.453125" style="32" customWidth="1"/>
    <col min="777" max="778" width="13.26953125" style="32" customWidth="1"/>
    <col min="779" max="1024" width="8.7265625" style="32"/>
    <col min="1025" max="1025" width="0" style="32" hidden="1" customWidth="1"/>
    <col min="1026" max="1026" width="25.54296875" style="32" customWidth="1"/>
    <col min="1027" max="1029" width="11.453125" style="32" customWidth="1"/>
    <col min="1030" max="1030" width="13" style="32" customWidth="1"/>
    <col min="1031" max="1032" width="11.453125" style="32" customWidth="1"/>
    <col min="1033" max="1034" width="13.26953125" style="32" customWidth="1"/>
    <col min="1035" max="1280" width="8.7265625" style="32"/>
    <col min="1281" max="1281" width="0" style="32" hidden="1" customWidth="1"/>
    <col min="1282" max="1282" width="25.54296875" style="32" customWidth="1"/>
    <col min="1283" max="1285" width="11.453125" style="32" customWidth="1"/>
    <col min="1286" max="1286" width="13" style="32" customWidth="1"/>
    <col min="1287" max="1288" width="11.453125" style="32" customWidth="1"/>
    <col min="1289" max="1290" width="13.26953125" style="32" customWidth="1"/>
    <col min="1291" max="1536" width="8.7265625" style="32"/>
    <col min="1537" max="1537" width="0" style="32" hidden="1" customWidth="1"/>
    <col min="1538" max="1538" width="25.54296875" style="32" customWidth="1"/>
    <col min="1539" max="1541" width="11.453125" style="32" customWidth="1"/>
    <col min="1542" max="1542" width="13" style="32" customWidth="1"/>
    <col min="1543" max="1544" width="11.453125" style="32" customWidth="1"/>
    <col min="1545" max="1546" width="13.26953125" style="32" customWidth="1"/>
    <col min="1547" max="1792" width="8.7265625" style="32"/>
    <col min="1793" max="1793" width="0" style="32" hidden="1" customWidth="1"/>
    <col min="1794" max="1794" width="25.54296875" style="32" customWidth="1"/>
    <col min="1795" max="1797" width="11.453125" style="32" customWidth="1"/>
    <col min="1798" max="1798" width="13" style="32" customWidth="1"/>
    <col min="1799" max="1800" width="11.453125" style="32" customWidth="1"/>
    <col min="1801" max="1802" width="13.26953125" style="32" customWidth="1"/>
    <col min="1803" max="2048" width="8.7265625" style="32"/>
    <col min="2049" max="2049" width="0" style="32" hidden="1" customWidth="1"/>
    <col min="2050" max="2050" width="25.54296875" style="32" customWidth="1"/>
    <col min="2051" max="2053" width="11.453125" style="32" customWidth="1"/>
    <col min="2054" max="2054" width="13" style="32" customWidth="1"/>
    <col min="2055" max="2056" width="11.453125" style="32" customWidth="1"/>
    <col min="2057" max="2058" width="13.26953125" style="32" customWidth="1"/>
    <col min="2059" max="2304" width="8.7265625" style="32"/>
    <col min="2305" max="2305" width="0" style="32" hidden="1" customWidth="1"/>
    <col min="2306" max="2306" width="25.54296875" style="32" customWidth="1"/>
    <col min="2307" max="2309" width="11.453125" style="32" customWidth="1"/>
    <col min="2310" max="2310" width="13" style="32" customWidth="1"/>
    <col min="2311" max="2312" width="11.453125" style="32" customWidth="1"/>
    <col min="2313" max="2314" width="13.26953125" style="32" customWidth="1"/>
    <col min="2315" max="2560" width="8.7265625" style="32"/>
    <col min="2561" max="2561" width="0" style="32" hidden="1" customWidth="1"/>
    <col min="2562" max="2562" width="25.54296875" style="32" customWidth="1"/>
    <col min="2563" max="2565" width="11.453125" style="32" customWidth="1"/>
    <col min="2566" max="2566" width="13" style="32" customWidth="1"/>
    <col min="2567" max="2568" width="11.453125" style="32" customWidth="1"/>
    <col min="2569" max="2570" width="13.26953125" style="32" customWidth="1"/>
    <col min="2571" max="2816" width="8.7265625" style="32"/>
    <col min="2817" max="2817" width="0" style="32" hidden="1" customWidth="1"/>
    <col min="2818" max="2818" width="25.54296875" style="32" customWidth="1"/>
    <col min="2819" max="2821" width="11.453125" style="32" customWidth="1"/>
    <col min="2822" max="2822" width="13" style="32" customWidth="1"/>
    <col min="2823" max="2824" width="11.453125" style="32" customWidth="1"/>
    <col min="2825" max="2826" width="13.26953125" style="32" customWidth="1"/>
    <col min="2827" max="3072" width="8.7265625" style="32"/>
    <col min="3073" max="3073" width="0" style="32" hidden="1" customWidth="1"/>
    <col min="3074" max="3074" width="25.54296875" style="32" customWidth="1"/>
    <col min="3075" max="3077" width="11.453125" style="32" customWidth="1"/>
    <col min="3078" max="3078" width="13" style="32" customWidth="1"/>
    <col min="3079" max="3080" width="11.453125" style="32" customWidth="1"/>
    <col min="3081" max="3082" width="13.26953125" style="32" customWidth="1"/>
    <col min="3083" max="3328" width="8.7265625" style="32"/>
    <col min="3329" max="3329" width="0" style="32" hidden="1" customWidth="1"/>
    <col min="3330" max="3330" width="25.54296875" style="32" customWidth="1"/>
    <col min="3331" max="3333" width="11.453125" style="32" customWidth="1"/>
    <col min="3334" max="3334" width="13" style="32" customWidth="1"/>
    <col min="3335" max="3336" width="11.453125" style="32" customWidth="1"/>
    <col min="3337" max="3338" width="13.26953125" style="32" customWidth="1"/>
    <col min="3339" max="3584" width="8.7265625" style="32"/>
    <col min="3585" max="3585" width="0" style="32" hidden="1" customWidth="1"/>
    <col min="3586" max="3586" width="25.54296875" style="32" customWidth="1"/>
    <col min="3587" max="3589" width="11.453125" style="32" customWidth="1"/>
    <col min="3590" max="3590" width="13" style="32" customWidth="1"/>
    <col min="3591" max="3592" width="11.453125" style="32" customWidth="1"/>
    <col min="3593" max="3594" width="13.26953125" style="32" customWidth="1"/>
    <col min="3595" max="3840" width="8.7265625" style="32"/>
    <col min="3841" max="3841" width="0" style="32" hidden="1" customWidth="1"/>
    <col min="3842" max="3842" width="25.54296875" style="32" customWidth="1"/>
    <col min="3843" max="3845" width="11.453125" style="32" customWidth="1"/>
    <col min="3846" max="3846" width="13" style="32" customWidth="1"/>
    <col min="3847" max="3848" width="11.453125" style="32" customWidth="1"/>
    <col min="3849" max="3850" width="13.26953125" style="32" customWidth="1"/>
    <col min="3851" max="4096" width="8.7265625" style="32"/>
    <col min="4097" max="4097" width="0" style="32" hidden="1" customWidth="1"/>
    <col min="4098" max="4098" width="25.54296875" style="32" customWidth="1"/>
    <col min="4099" max="4101" width="11.453125" style="32" customWidth="1"/>
    <col min="4102" max="4102" width="13" style="32" customWidth="1"/>
    <col min="4103" max="4104" width="11.453125" style="32" customWidth="1"/>
    <col min="4105" max="4106" width="13.26953125" style="32" customWidth="1"/>
    <col min="4107" max="4352" width="8.7265625" style="32"/>
    <col min="4353" max="4353" width="0" style="32" hidden="1" customWidth="1"/>
    <col min="4354" max="4354" width="25.54296875" style="32" customWidth="1"/>
    <col min="4355" max="4357" width="11.453125" style="32" customWidth="1"/>
    <col min="4358" max="4358" width="13" style="32" customWidth="1"/>
    <col min="4359" max="4360" width="11.453125" style="32" customWidth="1"/>
    <col min="4361" max="4362" width="13.26953125" style="32" customWidth="1"/>
    <col min="4363" max="4608" width="8.7265625" style="32"/>
    <col min="4609" max="4609" width="0" style="32" hidden="1" customWidth="1"/>
    <col min="4610" max="4610" width="25.54296875" style="32" customWidth="1"/>
    <col min="4611" max="4613" width="11.453125" style="32" customWidth="1"/>
    <col min="4614" max="4614" width="13" style="32" customWidth="1"/>
    <col min="4615" max="4616" width="11.453125" style="32" customWidth="1"/>
    <col min="4617" max="4618" width="13.26953125" style="32" customWidth="1"/>
    <col min="4619" max="4864" width="8.7265625" style="32"/>
    <col min="4865" max="4865" width="0" style="32" hidden="1" customWidth="1"/>
    <col min="4866" max="4866" width="25.54296875" style="32" customWidth="1"/>
    <col min="4867" max="4869" width="11.453125" style="32" customWidth="1"/>
    <col min="4870" max="4870" width="13" style="32" customWidth="1"/>
    <col min="4871" max="4872" width="11.453125" style="32" customWidth="1"/>
    <col min="4873" max="4874" width="13.26953125" style="32" customWidth="1"/>
    <col min="4875" max="5120" width="8.7265625" style="32"/>
    <col min="5121" max="5121" width="0" style="32" hidden="1" customWidth="1"/>
    <col min="5122" max="5122" width="25.54296875" style="32" customWidth="1"/>
    <col min="5123" max="5125" width="11.453125" style="32" customWidth="1"/>
    <col min="5126" max="5126" width="13" style="32" customWidth="1"/>
    <col min="5127" max="5128" width="11.453125" style="32" customWidth="1"/>
    <col min="5129" max="5130" width="13.26953125" style="32" customWidth="1"/>
    <col min="5131" max="5376" width="8.7265625" style="32"/>
    <col min="5377" max="5377" width="0" style="32" hidden="1" customWidth="1"/>
    <col min="5378" max="5378" width="25.54296875" style="32" customWidth="1"/>
    <col min="5379" max="5381" width="11.453125" style="32" customWidth="1"/>
    <col min="5382" max="5382" width="13" style="32" customWidth="1"/>
    <col min="5383" max="5384" width="11.453125" style="32" customWidth="1"/>
    <col min="5385" max="5386" width="13.26953125" style="32" customWidth="1"/>
    <col min="5387" max="5632" width="8.7265625" style="32"/>
    <col min="5633" max="5633" width="0" style="32" hidden="1" customWidth="1"/>
    <col min="5634" max="5634" width="25.54296875" style="32" customWidth="1"/>
    <col min="5635" max="5637" width="11.453125" style="32" customWidth="1"/>
    <col min="5638" max="5638" width="13" style="32" customWidth="1"/>
    <col min="5639" max="5640" width="11.453125" style="32" customWidth="1"/>
    <col min="5641" max="5642" width="13.26953125" style="32" customWidth="1"/>
    <col min="5643" max="5888" width="8.7265625" style="32"/>
    <col min="5889" max="5889" width="0" style="32" hidden="1" customWidth="1"/>
    <col min="5890" max="5890" width="25.54296875" style="32" customWidth="1"/>
    <col min="5891" max="5893" width="11.453125" style="32" customWidth="1"/>
    <col min="5894" max="5894" width="13" style="32" customWidth="1"/>
    <col min="5895" max="5896" width="11.453125" style="32" customWidth="1"/>
    <col min="5897" max="5898" width="13.26953125" style="32" customWidth="1"/>
    <col min="5899" max="6144" width="8.7265625" style="32"/>
    <col min="6145" max="6145" width="0" style="32" hidden="1" customWidth="1"/>
    <col min="6146" max="6146" width="25.54296875" style="32" customWidth="1"/>
    <col min="6147" max="6149" width="11.453125" style="32" customWidth="1"/>
    <col min="6150" max="6150" width="13" style="32" customWidth="1"/>
    <col min="6151" max="6152" width="11.453125" style="32" customWidth="1"/>
    <col min="6153" max="6154" width="13.26953125" style="32" customWidth="1"/>
    <col min="6155" max="6400" width="8.7265625" style="32"/>
    <col min="6401" max="6401" width="0" style="32" hidden="1" customWidth="1"/>
    <col min="6402" max="6402" width="25.54296875" style="32" customWidth="1"/>
    <col min="6403" max="6405" width="11.453125" style="32" customWidth="1"/>
    <col min="6406" max="6406" width="13" style="32" customWidth="1"/>
    <col min="6407" max="6408" width="11.453125" style="32" customWidth="1"/>
    <col min="6409" max="6410" width="13.26953125" style="32" customWidth="1"/>
    <col min="6411" max="6656" width="8.7265625" style="32"/>
    <col min="6657" max="6657" width="0" style="32" hidden="1" customWidth="1"/>
    <col min="6658" max="6658" width="25.54296875" style="32" customWidth="1"/>
    <col min="6659" max="6661" width="11.453125" style="32" customWidth="1"/>
    <col min="6662" max="6662" width="13" style="32" customWidth="1"/>
    <col min="6663" max="6664" width="11.453125" style="32" customWidth="1"/>
    <col min="6665" max="6666" width="13.26953125" style="32" customWidth="1"/>
    <col min="6667" max="6912" width="8.7265625" style="32"/>
    <col min="6913" max="6913" width="0" style="32" hidden="1" customWidth="1"/>
    <col min="6914" max="6914" width="25.54296875" style="32" customWidth="1"/>
    <col min="6915" max="6917" width="11.453125" style="32" customWidth="1"/>
    <col min="6918" max="6918" width="13" style="32" customWidth="1"/>
    <col min="6919" max="6920" width="11.453125" style="32" customWidth="1"/>
    <col min="6921" max="6922" width="13.26953125" style="32" customWidth="1"/>
    <col min="6923" max="7168" width="8.7265625" style="32"/>
    <col min="7169" max="7169" width="0" style="32" hidden="1" customWidth="1"/>
    <col min="7170" max="7170" width="25.54296875" style="32" customWidth="1"/>
    <col min="7171" max="7173" width="11.453125" style="32" customWidth="1"/>
    <col min="7174" max="7174" width="13" style="32" customWidth="1"/>
    <col min="7175" max="7176" width="11.453125" style="32" customWidth="1"/>
    <col min="7177" max="7178" width="13.26953125" style="32" customWidth="1"/>
    <col min="7179" max="7424" width="8.7265625" style="32"/>
    <col min="7425" max="7425" width="0" style="32" hidden="1" customWidth="1"/>
    <col min="7426" max="7426" width="25.54296875" style="32" customWidth="1"/>
    <col min="7427" max="7429" width="11.453125" style="32" customWidth="1"/>
    <col min="7430" max="7430" width="13" style="32" customWidth="1"/>
    <col min="7431" max="7432" width="11.453125" style="32" customWidth="1"/>
    <col min="7433" max="7434" width="13.26953125" style="32" customWidth="1"/>
    <col min="7435" max="7680" width="8.7265625" style="32"/>
    <col min="7681" max="7681" width="0" style="32" hidden="1" customWidth="1"/>
    <col min="7682" max="7682" width="25.54296875" style="32" customWidth="1"/>
    <col min="7683" max="7685" width="11.453125" style="32" customWidth="1"/>
    <col min="7686" max="7686" width="13" style="32" customWidth="1"/>
    <col min="7687" max="7688" width="11.453125" style="32" customWidth="1"/>
    <col min="7689" max="7690" width="13.26953125" style="32" customWidth="1"/>
    <col min="7691" max="7936" width="8.7265625" style="32"/>
    <col min="7937" max="7937" width="0" style="32" hidden="1" customWidth="1"/>
    <col min="7938" max="7938" width="25.54296875" style="32" customWidth="1"/>
    <col min="7939" max="7941" width="11.453125" style="32" customWidth="1"/>
    <col min="7942" max="7942" width="13" style="32" customWidth="1"/>
    <col min="7943" max="7944" width="11.453125" style="32" customWidth="1"/>
    <col min="7945" max="7946" width="13.26953125" style="32" customWidth="1"/>
    <col min="7947" max="8192" width="8.7265625" style="32"/>
    <col min="8193" max="8193" width="0" style="32" hidden="1" customWidth="1"/>
    <col min="8194" max="8194" width="25.54296875" style="32" customWidth="1"/>
    <col min="8195" max="8197" width="11.453125" style="32" customWidth="1"/>
    <col min="8198" max="8198" width="13" style="32" customWidth="1"/>
    <col min="8199" max="8200" width="11.453125" style="32" customWidth="1"/>
    <col min="8201" max="8202" width="13.26953125" style="32" customWidth="1"/>
    <col min="8203" max="8448" width="8.7265625" style="32"/>
    <col min="8449" max="8449" width="0" style="32" hidden="1" customWidth="1"/>
    <col min="8450" max="8450" width="25.54296875" style="32" customWidth="1"/>
    <col min="8451" max="8453" width="11.453125" style="32" customWidth="1"/>
    <col min="8454" max="8454" width="13" style="32" customWidth="1"/>
    <col min="8455" max="8456" width="11.453125" style="32" customWidth="1"/>
    <col min="8457" max="8458" width="13.26953125" style="32" customWidth="1"/>
    <col min="8459" max="8704" width="8.7265625" style="32"/>
    <col min="8705" max="8705" width="0" style="32" hidden="1" customWidth="1"/>
    <col min="8706" max="8706" width="25.54296875" style="32" customWidth="1"/>
    <col min="8707" max="8709" width="11.453125" style="32" customWidth="1"/>
    <col min="8710" max="8710" width="13" style="32" customWidth="1"/>
    <col min="8711" max="8712" width="11.453125" style="32" customWidth="1"/>
    <col min="8713" max="8714" width="13.26953125" style="32" customWidth="1"/>
    <col min="8715" max="8960" width="8.7265625" style="32"/>
    <col min="8961" max="8961" width="0" style="32" hidden="1" customWidth="1"/>
    <col min="8962" max="8962" width="25.54296875" style="32" customWidth="1"/>
    <col min="8963" max="8965" width="11.453125" style="32" customWidth="1"/>
    <col min="8966" max="8966" width="13" style="32" customWidth="1"/>
    <col min="8967" max="8968" width="11.453125" style="32" customWidth="1"/>
    <col min="8969" max="8970" width="13.26953125" style="32" customWidth="1"/>
    <col min="8971" max="9216" width="8.7265625" style="32"/>
    <col min="9217" max="9217" width="0" style="32" hidden="1" customWidth="1"/>
    <col min="9218" max="9218" width="25.54296875" style="32" customWidth="1"/>
    <col min="9219" max="9221" width="11.453125" style="32" customWidth="1"/>
    <col min="9222" max="9222" width="13" style="32" customWidth="1"/>
    <col min="9223" max="9224" width="11.453125" style="32" customWidth="1"/>
    <col min="9225" max="9226" width="13.26953125" style="32" customWidth="1"/>
    <col min="9227" max="9472" width="8.7265625" style="32"/>
    <col min="9473" max="9473" width="0" style="32" hidden="1" customWidth="1"/>
    <col min="9474" max="9474" width="25.54296875" style="32" customWidth="1"/>
    <col min="9475" max="9477" width="11.453125" style="32" customWidth="1"/>
    <col min="9478" max="9478" width="13" style="32" customWidth="1"/>
    <col min="9479" max="9480" width="11.453125" style="32" customWidth="1"/>
    <col min="9481" max="9482" width="13.26953125" style="32" customWidth="1"/>
    <col min="9483" max="9728" width="8.7265625" style="32"/>
    <col min="9729" max="9729" width="0" style="32" hidden="1" customWidth="1"/>
    <col min="9730" max="9730" width="25.54296875" style="32" customWidth="1"/>
    <col min="9731" max="9733" width="11.453125" style="32" customWidth="1"/>
    <col min="9734" max="9734" width="13" style="32" customWidth="1"/>
    <col min="9735" max="9736" width="11.453125" style="32" customWidth="1"/>
    <col min="9737" max="9738" width="13.26953125" style="32" customWidth="1"/>
    <col min="9739" max="9984" width="8.7265625" style="32"/>
    <col min="9985" max="9985" width="0" style="32" hidden="1" customWidth="1"/>
    <col min="9986" max="9986" width="25.54296875" style="32" customWidth="1"/>
    <col min="9987" max="9989" width="11.453125" style="32" customWidth="1"/>
    <col min="9990" max="9990" width="13" style="32" customWidth="1"/>
    <col min="9991" max="9992" width="11.453125" style="32" customWidth="1"/>
    <col min="9993" max="9994" width="13.26953125" style="32" customWidth="1"/>
    <col min="9995" max="10240" width="8.7265625" style="32"/>
    <col min="10241" max="10241" width="0" style="32" hidden="1" customWidth="1"/>
    <col min="10242" max="10242" width="25.54296875" style="32" customWidth="1"/>
    <col min="10243" max="10245" width="11.453125" style="32" customWidth="1"/>
    <col min="10246" max="10246" width="13" style="32" customWidth="1"/>
    <col min="10247" max="10248" width="11.453125" style="32" customWidth="1"/>
    <col min="10249" max="10250" width="13.26953125" style="32" customWidth="1"/>
    <col min="10251" max="10496" width="8.7265625" style="32"/>
    <col min="10497" max="10497" width="0" style="32" hidden="1" customWidth="1"/>
    <col min="10498" max="10498" width="25.54296875" style="32" customWidth="1"/>
    <col min="10499" max="10501" width="11.453125" style="32" customWidth="1"/>
    <col min="10502" max="10502" width="13" style="32" customWidth="1"/>
    <col min="10503" max="10504" width="11.453125" style="32" customWidth="1"/>
    <col min="10505" max="10506" width="13.26953125" style="32" customWidth="1"/>
    <col min="10507" max="10752" width="8.7265625" style="32"/>
    <col min="10753" max="10753" width="0" style="32" hidden="1" customWidth="1"/>
    <col min="10754" max="10754" width="25.54296875" style="32" customWidth="1"/>
    <col min="10755" max="10757" width="11.453125" style="32" customWidth="1"/>
    <col min="10758" max="10758" width="13" style="32" customWidth="1"/>
    <col min="10759" max="10760" width="11.453125" style="32" customWidth="1"/>
    <col min="10761" max="10762" width="13.26953125" style="32" customWidth="1"/>
    <col min="10763" max="11008" width="8.7265625" style="32"/>
    <col min="11009" max="11009" width="0" style="32" hidden="1" customWidth="1"/>
    <col min="11010" max="11010" width="25.54296875" style="32" customWidth="1"/>
    <col min="11011" max="11013" width="11.453125" style="32" customWidth="1"/>
    <col min="11014" max="11014" width="13" style="32" customWidth="1"/>
    <col min="11015" max="11016" width="11.453125" style="32" customWidth="1"/>
    <col min="11017" max="11018" width="13.26953125" style="32" customWidth="1"/>
    <col min="11019" max="11264" width="8.7265625" style="32"/>
    <col min="11265" max="11265" width="0" style="32" hidden="1" customWidth="1"/>
    <col min="11266" max="11266" width="25.54296875" style="32" customWidth="1"/>
    <col min="11267" max="11269" width="11.453125" style="32" customWidth="1"/>
    <col min="11270" max="11270" width="13" style="32" customWidth="1"/>
    <col min="11271" max="11272" width="11.453125" style="32" customWidth="1"/>
    <col min="11273" max="11274" width="13.26953125" style="32" customWidth="1"/>
    <col min="11275" max="11520" width="8.7265625" style="32"/>
    <col min="11521" max="11521" width="0" style="32" hidden="1" customWidth="1"/>
    <col min="11522" max="11522" width="25.54296875" style="32" customWidth="1"/>
    <col min="11523" max="11525" width="11.453125" style="32" customWidth="1"/>
    <col min="11526" max="11526" width="13" style="32" customWidth="1"/>
    <col min="11527" max="11528" width="11.453125" style="32" customWidth="1"/>
    <col min="11529" max="11530" width="13.26953125" style="32" customWidth="1"/>
    <col min="11531" max="11776" width="8.7265625" style="32"/>
    <col min="11777" max="11777" width="0" style="32" hidden="1" customWidth="1"/>
    <col min="11778" max="11778" width="25.54296875" style="32" customWidth="1"/>
    <col min="11779" max="11781" width="11.453125" style="32" customWidth="1"/>
    <col min="11782" max="11782" width="13" style="32" customWidth="1"/>
    <col min="11783" max="11784" width="11.453125" style="32" customWidth="1"/>
    <col min="11785" max="11786" width="13.26953125" style="32" customWidth="1"/>
    <col min="11787" max="12032" width="8.7265625" style="32"/>
    <col min="12033" max="12033" width="0" style="32" hidden="1" customWidth="1"/>
    <col min="12034" max="12034" width="25.54296875" style="32" customWidth="1"/>
    <col min="12035" max="12037" width="11.453125" style="32" customWidth="1"/>
    <col min="12038" max="12038" width="13" style="32" customWidth="1"/>
    <col min="12039" max="12040" width="11.453125" style="32" customWidth="1"/>
    <col min="12041" max="12042" width="13.26953125" style="32" customWidth="1"/>
    <col min="12043" max="12288" width="8.7265625" style="32"/>
    <col min="12289" max="12289" width="0" style="32" hidden="1" customWidth="1"/>
    <col min="12290" max="12290" width="25.54296875" style="32" customWidth="1"/>
    <col min="12291" max="12293" width="11.453125" style="32" customWidth="1"/>
    <col min="12294" max="12294" width="13" style="32" customWidth="1"/>
    <col min="12295" max="12296" width="11.453125" style="32" customWidth="1"/>
    <col min="12297" max="12298" width="13.26953125" style="32" customWidth="1"/>
    <col min="12299" max="12544" width="8.7265625" style="32"/>
    <col min="12545" max="12545" width="0" style="32" hidden="1" customWidth="1"/>
    <col min="12546" max="12546" width="25.54296875" style="32" customWidth="1"/>
    <col min="12547" max="12549" width="11.453125" style="32" customWidth="1"/>
    <col min="12550" max="12550" width="13" style="32" customWidth="1"/>
    <col min="12551" max="12552" width="11.453125" style="32" customWidth="1"/>
    <col min="12553" max="12554" width="13.26953125" style="32" customWidth="1"/>
    <col min="12555" max="12800" width="8.7265625" style="32"/>
    <col min="12801" max="12801" width="0" style="32" hidden="1" customWidth="1"/>
    <col min="12802" max="12802" width="25.54296875" style="32" customWidth="1"/>
    <col min="12803" max="12805" width="11.453125" style="32" customWidth="1"/>
    <col min="12806" max="12806" width="13" style="32" customWidth="1"/>
    <col min="12807" max="12808" width="11.453125" style="32" customWidth="1"/>
    <col min="12809" max="12810" width="13.26953125" style="32" customWidth="1"/>
    <col min="12811" max="13056" width="8.7265625" style="32"/>
    <col min="13057" max="13057" width="0" style="32" hidden="1" customWidth="1"/>
    <col min="13058" max="13058" width="25.54296875" style="32" customWidth="1"/>
    <col min="13059" max="13061" width="11.453125" style="32" customWidth="1"/>
    <col min="13062" max="13062" width="13" style="32" customWidth="1"/>
    <col min="13063" max="13064" width="11.453125" style="32" customWidth="1"/>
    <col min="13065" max="13066" width="13.26953125" style="32" customWidth="1"/>
    <col min="13067" max="13312" width="8.7265625" style="32"/>
    <col min="13313" max="13313" width="0" style="32" hidden="1" customWidth="1"/>
    <col min="13314" max="13314" width="25.54296875" style="32" customWidth="1"/>
    <col min="13315" max="13317" width="11.453125" style="32" customWidth="1"/>
    <col min="13318" max="13318" width="13" style="32" customWidth="1"/>
    <col min="13319" max="13320" width="11.453125" style="32" customWidth="1"/>
    <col min="13321" max="13322" width="13.26953125" style="32" customWidth="1"/>
    <col min="13323" max="13568" width="8.7265625" style="32"/>
    <col min="13569" max="13569" width="0" style="32" hidden="1" customWidth="1"/>
    <col min="13570" max="13570" width="25.54296875" style="32" customWidth="1"/>
    <col min="13571" max="13573" width="11.453125" style="32" customWidth="1"/>
    <col min="13574" max="13574" width="13" style="32" customWidth="1"/>
    <col min="13575" max="13576" width="11.453125" style="32" customWidth="1"/>
    <col min="13577" max="13578" width="13.26953125" style="32" customWidth="1"/>
    <col min="13579" max="13824" width="8.7265625" style="32"/>
    <col min="13825" max="13825" width="0" style="32" hidden="1" customWidth="1"/>
    <col min="13826" max="13826" width="25.54296875" style="32" customWidth="1"/>
    <col min="13827" max="13829" width="11.453125" style="32" customWidth="1"/>
    <col min="13830" max="13830" width="13" style="32" customWidth="1"/>
    <col min="13831" max="13832" width="11.453125" style="32" customWidth="1"/>
    <col min="13833" max="13834" width="13.26953125" style="32" customWidth="1"/>
    <col min="13835" max="14080" width="8.7265625" style="32"/>
    <col min="14081" max="14081" width="0" style="32" hidden="1" customWidth="1"/>
    <col min="14082" max="14082" width="25.54296875" style="32" customWidth="1"/>
    <col min="14083" max="14085" width="11.453125" style="32" customWidth="1"/>
    <col min="14086" max="14086" width="13" style="32" customWidth="1"/>
    <col min="14087" max="14088" width="11.453125" style="32" customWidth="1"/>
    <col min="14089" max="14090" width="13.26953125" style="32" customWidth="1"/>
    <col min="14091" max="14336" width="8.7265625" style="32"/>
    <col min="14337" max="14337" width="0" style="32" hidden="1" customWidth="1"/>
    <col min="14338" max="14338" width="25.54296875" style="32" customWidth="1"/>
    <col min="14339" max="14341" width="11.453125" style="32" customWidth="1"/>
    <col min="14342" max="14342" width="13" style="32" customWidth="1"/>
    <col min="14343" max="14344" width="11.453125" style="32" customWidth="1"/>
    <col min="14345" max="14346" width="13.26953125" style="32" customWidth="1"/>
    <col min="14347" max="14592" width="8.7265625" style="32"/>
    <col min="14593" max="14593" width="0" style="32" hidden="1" customWidth="1"/>
    <col min="14594" max="14594" width="25.54296875" style="32" customWidth="1"/>
    <col min="14595" max="14597" width="11.453125" style="32" customWidth="1"/>
    <col min="14598" max="14598" width="13" style="32" customWidth="1"/>
    <col min="14599" max="14600" width="11.453125" style="32" customWidth="1"/>
    <col min="14601" max="14602" width="13.26953125" style="32" customWidth="1"/>
    <col min="14603" max="14848" width="8.7265625" style="32"/>
    <col min="14849" max="14849" width="0" style="32" hidden="1" customWidth="1"/>
    <col min="14850" max="14850" width="25.54296875" style="32" customWidth="1"/>
    <col min="14851" max="14853" width="11.453125" style="32" customWidth="1"/>
    <col min="14854" max="14854" width="13" style="32" customWidth="1"/>
    <col min="14855" max="14856" width="11.453125" style="32" customWidth="1"/>
    <col min="14857" max="14858" width="13.26953125" style="32" customWidth="1"/>
    <col min="14859" max="15104" width="8.7265625" style="32"/>
    <col min="15105" max="15105" width="0" style="32" hidden="1" customWidth="1"/>
    <col min="15106" max="15106" width="25.54296875" style="32" customWidth="1"/>
    <col min="15107" max="15109" width="11.453125" style="32" customWidth="1"/>
    <col min="15110" max="15110" width="13" style="32" customWidth="1"/>
    <col min="15111" max="15112" width="11.453125" style="32" customWidth="1"/>
    <col min="15113" max="15114" width="13.26953125" style="32" customWidth="1"/>
    <col min="15115" max="15360" width="8.7265625" style="32"/>
    <col min="15361" max="15361" width="0" style="32" hidden="1" customWidth="1"/>
    <col min="15362" max="15362" width="25.54296875" style="32" customWidth="1"/>
    <col min="15363" max="15365" width="11.453125" style="32" customWidth="1"/>
    <col min="15366" max="15366" width="13" style="32" customWidth="1"/>
    <col min="15367" max="15368" width="11.453125" style="32" customWidth="1"/>
    <col min="15369" max="15370" width="13.26953125" style="32" customWidth="1"/>
    <col min="15371" max="15616" width="8.7265625" style="32"/>
    <col min="15617" max="15617" width="0" style="32" hidden="1" customWidth="1"/>
    <col min="15618" max="15618" width="25.54296875" style="32" customWidth="1"/>
    <col min="15619" max="15621" width="11.453125" style="32" customWidth="1"/>
    <col min="15622" max="15622" width="13" style="32" customWidth="1"/>
    <col min="15623" max="15624" width="11.453125" style="32" customWidth="1"/>
    <col min="15625" max="15626" width="13.26953125" style="32" customWidth="1"/>
    <col min="15627" max="15872" width="8.7265625" style="32"/>
    <col min="15873" max="15873" width="0" style="32" hidden="1" customWidth="1"/>
    <col min="15874" max="15874" width="25.54296875" style="32" customWidth="1"/>
    <col min="15875" max="15877" width="11.453125" style="32" customWidth="1"/>
    <col min="15878" max="15878" width="13" style="32" customWidth="1"/>
    <col min="15879" max="15880" width="11.453125" style="32" customWidth="1"/>
    <col min="15881" max="15882" width="13.26953125" style="32" customWidth="1"/>
    <col min="15883" max="16128" width="8.7265625" style="32"/>
    <col min="16129" max="16129" width="0" style="32" hidden="1" customWidth="1"/>
    <col min="16130" max="16130" width="25.54296875" style="32" customWidth="1"/>
    <col min="16131" max="16133" width="11.453125" style="32" customWidth="1"/>
    <col min="16134" max="16134" width="13" style="32" customWidth="1"/>
    <col min="16135" max="16136" width="11.453125" style="32" customWidth="1"/>
    <col min="16137" max="16138" width="13.26953125" style="32" customWidth="1"/>
    <col min="16139" max="16384" width="8.7265625" style="32"/>
  </cols>
  <sheetData>
    <row r="1" spans="1:20" ht="40.5" customHeight="1" x14ac:dyDescent="0.3">
      <c r="B1" s="128" t="s">
        <v>125</v>
      </c>
      <c r="C1" s="129"/>
      <c r="D1" s="129"/>
      <c r="E1" s="129"/>
      <c r="F1" s="129"/>
      <c r="G1" s="129"/>
      <c r="H1" s="129"/>
      <c r="I1" s="129"/>
      <c r="J1" s="130"/>
    </row>
    <row r="2" spans="1:20" s="33" customFormat="1" ht="60.75" customHeight="1" x14ac:dyDescent="0.3">
      <c r="B2" s="120"/>
      <c r="C2" s="122" t="s">
        <v>67</v>
      </c>
      <c r="D2" s="131"/>
      <c r="E2" s="132" t="s">
        <v>68</v>
      </c>
      <c r="F2" s="132"/>
      <c r="G2" s="132" t="s">
        <v>69</v>
      </c>
      <c r="H2" s="132"/>
      <c r="I2" s="122" t="s">
        <v>70</v>
      </c>
      <c r="J2" s="131"/>
      <c r="K2" s="32"/>
    </row>
    <row r="3" spans="1:20" s="33" customFormat="1" ht="24" customHeight="1" x14ac:dyDescent="0.35">
      <c r="B3" s="121"/>
      <c r="C3" s="34" t="s">
        <v>71</v>
      </c>
      <c r="D3" s="35" t="s">
        <v>72</v>
      </c>
      <c r="E3" s="34" t="s">
        <v>71</v>
      </c>
      <c r="F3" s="35" t="s">
        <v>72</v>
      </c>
      <c r="G3" s="34" t="s">
        <v>71</v>
      </c>
      <c r="H3" s="35" t="s">
        <v>72</v>
      </c>
      <c r="I3" s="34" t="s">
        <v>71</v>
      </c>
      <c r="J3" s="35" t="s">
        <v>72</v>
      </c>
    </row>
    <row r="4" spans="1:20" s="33" customFormat="1" ht="24" hidden="1" customHeight="1" x14ac:dyDescent="0.35">
      <c r="C4" s="36" t="s">
        <v>73</v>
      </c>
      <c r="D4" s="36" t="s">
        <v>73</v>
      </c>
      <c r="E4" s="37" t="s">
        <v>74</v>
      </c>
      <c r="F4" s="37" t="s">
        <v>74</v>
      </c>
      <c r="G4" s="37" t="s">
        <v>75</v>
      </c>
      <c r="H4" s="37" t="s">
        <v>75</v>
      </c>
      <c r="I4" s="36" t="s">
        <v>76</v>
      </c>
      <c r="J4" s="36" t="s">
        <v>76</v>
      </c>
    </row>
    <row r="5" spans="1:20" s="33" customFormat="1" ht="24" hidden="1" customHeight="1" x14ac:dyDescent="0.35">
      <c r="C5" s="36" t="s">
        <v>71</v>
      </c>
      <c r="D5" s="37" t="s">
        <v>72</v>
      </c>
      <c r="E5" s="36" t="s">
        <v>71</v>
      </c>
      <c r="F5" s="37" t="s">
        <v>72</v>
      </c>
      <c r="G5" s="36" t="s">
        <v>71</v>
      </c>
      <c r="H5" s="37" t="s">
        <v>72</v>
      </c>
      <c r="I5" s="36" t="s">
        <v>71</v>
      </c>
      <c r="J5" s="37" t="s">
        <v>72</v>
      </c>
    </row>
    <row r="6" spans="1:20" s="33" customFormat="1" ht="25.5" customHeight="1" x14ac:dyDescent="0.35">
      <c r="B6" s="38" t="s">
        <v>0</v>
      </c>
      <c r="C6" s="39">
        <f>C7+C48</f>
        <v>576040</v>
      </c>
      <c r="D6" s="39">
        <f t="shared" ref="D6:J6" si="0">D7+D48</f>
        <v>956123.3</v>
      </c>
      <c r="E6" s="39">
        <f t="shared" si="0"/>
        <v>311588</v>
      </c>
      <c r="F6" s="39">
        <f t="shared" si="0"/>
        <v>499376.53</v>
      </c>
      <c r="G6" s="39">
        <f t="shared" si="0"/>
        <v>142043</v>
      </c>
      <c r="H6" s="39">
        <f t="shared" si="0"/>
        <v>302001.96999999997</v>
      </c>
      <c r="I6" s="39">
        <f t="shared" si="0"/>
        <v>24284</v>
      </c>
      <c r="J6" s="39">
        <f t="shared" si="0"/>
        <v>23906.84</v>
      </c>
      <c r="L6" s="40"/>
      <c r="M6" s="40"/>
      <c r="N6" s="41"/>
      <c r="O6" s="41"/>
      <c r="P6" s="41"/>
      <c r="Q6" s="41"/>
      <c r="R6" s="41"/>
      <c r="S6" s="41"/>
      <c r="T6" s="41"/>
    </row>
    <row r="7" spans="1:20" s="38" customFormat="1" ht="26.25" customHeight="1" x14ac:dyDescent="0.35">
      <c r="A7" s="28"/>
      <c r="B7" s="38" t="s">
        <v>52</v>
      </c>
      <c r="C7" s="42">
        <f>SUM(C8:C47)</f>
        <v>309962</v>
      </c>
      <c r="D7" s="42">
        <f t="shared" ref="D7:J7" si="1">SUM(D8:D47)</f>
        <v>430483.8</v>
      </c>
      <c r="E7" s="42">
        <f t="shared" si="1"/>
        <v>192078</v>
      </c>
      <c r="F7" s="42">
        <f t="shared" si="1"/>
        <v>256672.53000000003</v>
      </c>
      <c r="G7" s="42">
        <f t="shared" si="1"/>
        <v>63484</v>
      </c>
      <c r="H7" s="42">
        <f t="shared" si="1"/>
        <v>107296.97</v>
      </c>
      <c r="I7" s="42">
        <f t="shared" si="1"/>
        <v>17350</v>
      </c>
      <c r="J7" s="42">
        <f t="shared" si="1"/>
        <v>22570.84</v>
      </c>
      <c r="L7" s="41"/>
      <c r="M7" s="41"/>
      <c r="N7" s="41"/>
      <c r="O7" s="41"/>
      <c r="P7" s="41"/>
      <c r="Q7" s="41"/>
      <c r="R7" s="41"/>
      <c r="S7" s="41"/>
    </row>
    <row r="8" spans="1:20" s="33" customFormat="1" ht="12.5" x14ac:dyDescent="0.35">
      <c r="A8" s="29">
        <v>51</v>
      </c>
      <c r="B8" s="33" t="s">
        <v>5</v>
      </c>
      <c r="C8" s="43">
        <v>8402</v>
      </c>
      <c r="D8" s="43">
        <v>9140</v>
      </c>
      <c r="E8" s="43">
        <v>5426</v>
      </c>
      <c r="F8" s="43">
        <v>6078</v>
      </c>
      <c r="G8" s="43">
        <v>3299</v>
      </c>
      <c r="H8" s="43">
        <v>3604</v>
      </c>
      <c r="I8" s="43">
        <v>1094</v>
      </c>
      <c r="J8" s="43">
        <v>549</v>
      </c>
      <c r="L8" s="41"/>
      <c r="M8" s="41"/>
      <c r="N8" s="41"/>
      <c r="O8" s="41"/>
      <c r="P8" s="41"/>
      <c r="Q8" s="41"/>
      <c r="R8" s="41"/>
      <c r="S8" s="41"/>
    </row>
    <row r="9" spans="1:20" s="33" customFormat="1" ht="12.5" x14ac:dyDescent="0.35">
      <c r="A9" s="29">
        <v>52</v>
      </c>
      <c r="B9" s="33" t="s">
        <v>6</v>
      </c>
      <c r="C9" s="43">
        <v>2101</v>
      </c>
      <c r="D9" s="43">
        <v>3089</v>
      </c>
      <c r="E9" s="43">
        <v>938</v>
      </c>
      <c r="F9" s="43">
        <v>1668</v>
      </c>
      <c r="G9" s="43">
        <v>0</v>
      </c>
      <c r="H9" s="43">
        <v>0</v>
      </c>
      <c r="I9" s="43">
        <v>738</v>
      </c>
      <c r="J9" s="43">
        <v>0</v>
      </c>
      <c r="L9" s="41"/>
      <c r="M9" s="41"/>
      <c r="N9" s="41"/>
      <c r="O9" s="41"/>
      <c r="P9" s="41"/>
      <c r="Q9" s="41"/>
      <c r="R9" s="41"/>
      <c r="S9" s="41"/>
    </row>
    <row r="10" spans="1:20" s="33" customFormat="1" ht="13.5" customHeight="1" x14ac:dyDescent="0.35">
      <c r="A10" s="29">
        <v>86</v>
      </c>
      <c r="B10" s="33" t="s">
        <v>7</v>
      </c>
      <c r="C10" s="43">
        <v>9203</v>
      </c>
      <c r="D10" s="43">
        <v>10580</v>
      </c>
      <c r="E10" s="43">
        <v>6556</v>
      </c>
      <c r="F10" s="43">
        <v>7512</v>
      </c>
      <c r="G10" s="43">
        <v>2117</v>
      </c>
      <c r="H10" s="43">
        <v>2433</v>
      </c>
      <c r="I10" s="43">
        <v>0</v>
      </c>
      <c r="J10" s="43">
        <v>0</v>
      </c>
      <c r="L10" s="41"/>
      <c r="M10" s="41"/>
      <c r="N10" s="41"/>
      <c r="O10" s="41"/>
      <c r="P10" s="41"/>
      <c r="Q10" s="41"/>
      <c r="R10" s="41"/>
      <c r="S10" s="41"/>
    </row>
    <row r="11" spans="1:20" s="33" customFormat="1" ht="12.5" x14ac:dyDescent="0.35">
      <c r="A11" s="29">
        <v>53</v>
      </c>
      <c r="B11" s="33" t="s">
        <v>8</v>
      </c>
      <c r="C11" s="43">
        <v>3171</v>
      </c>
      <c r="D11" s="43">
        <v>1754</v>
      </c>
      <c r="E11" s="43">
        <v>1104</v>
      </c>
      <c r="F11" s="43">
        <v>1010</v>
      </c>
      <c r="G11" s="43">
        <v>399</v>
      </c>
      <c r="H11" s="43">
        <v>234</v>
      </c>
      <c r="I11" s="43">
        <v>0</v>
      </c>
      <c r="J11" s="43">
        <v>0</v>
      </c>
      <c r="L11" s="41"/>
      <c r="M11" s="41"/>
      <c r="N11" s="41"/>
      <c r="O11" s="41"/>
      <c r="P11" s="41"/>
      <c r="Q11" s="41"/>
      <c r="R11" s="41"/>
      <c r="S11" s="41"/>
    </row>
    <row r="12" spans="1:20" s="33" customFormat="1" ht="12.5" x14ac:dyDescent="0.35">
      <c r="A12" s="29">
        <v>54</v>
      </c>
      <c r="B12" s="33" t="s">
        <v>9</v>
      </c>
      <c r="C12" s="43">
        <v>4318</v>
      </c>
      <c r="D12" s="43">
        <v>4581.3</v>
      </c>
      <c r="E12" s="43">
        <v>3399</v>
      </c>
      <c r="F12" s="43">
        <v>3697</v>
      </c>
      <c r="G12" s="43">
        <v>2104</v>
      </c>
      <c r="H12" s="43">
        <v>2490</v>
      </c>
      <c r="I12" s="43">
        <v>952</v>
      </c>
      <c r="J12" s="43">
        <v>682</v>
      </c>
      <c r="L12" s="41"/>
      <c r="M12" s="41"/>
      <c r="N12" s="41"/>
      <c r="O12" s="41"/>
      <c r="P12" s="41"/>
      <c r="Q12" s="41"/>
      <c r="R12" s="41"/>
      <c r="S12" s="41"/>
    </row>
    <row r="13" spans="1:20" s="33" customFormat="1" ht="12.5" x14ac:dyDescent="0.35">
      <c r="A13" s="29">
        <v>55</v>
      </c>
      <c r="B13" s="33" t="s">
        <v>10</v>
      </c>
      <c r="C13" s="43">
        <v>42395</v>
      </c>
      <c r="D13" s="43">
        <v>21197.5</v>
      </c>
      <c r="E13" s="43">
        <v>36379</v>
      </c>
      <c r="F13" s="43">
        <v>18189.5</v>
      </c>
      <c r="G13" s="43">
        <v>1465</v>
      </c>
      <c r="H13" s="43">
        <v>732.5</v>
      </c>
      <c r="I13" s="43">
        <v>0</v>
      </c>
      <c r="J13" s="43">
        <v>0</v>
      </c>
      <c r="L13" s="41"/>
      <c r="M13" s="41"/>
      <c r="N13" s="41"/>
      <c r="O13" s="41"/>
      <c r="P13" s="41"/>
      <c r="Q13" s="41"/>
      <c r="R13" s="41"/>
      <c r="S13" s="41"/>
    </row>
    <row r="14" spans="1:20" s="33" customFormat="1" ht="12.5" x14ac:dyDescent="0.35">
      <c r="A14" s="29">
        <v>56</v>
      </c>
      <c r="B14" s="33" t="s">
        <v>11</v>
      </c>
      <c r="C14" s="43">
        <v>18315</v>
      </c>
      <c r="D14" s="43">
        <v>76000</v>
      </c>
      <c r="E14" s="43">
        <v>10760</v>
      </c>
      <c r="F14" s="43">
        <v>40328</v>
      </c>
      <c r="G14" s="43">
        <v>3378</v>
      </c>
      <c r="H14" s="43">
        <v>6777</v>
      </c>
      <c r="I14" s="43">
        <v>3935</v>
      </c>
      <c r="J14" s="43">
        <v>7870</v>
      </c>
      <c r="L14" s="41"/>
      <c r="M14" s="41"/>
      <c r="N14" s="41"/>
      <c r="O14" s="41"/>
      <c r="P14" s="41"/>
      <c r="Q14" s="41"/>
      <c r="R14" s="41"/>
      <c r="S14" s="41"/>
    </row>
    <row r="15" spans="1:20" s="33" customFormat="1" ht="12.5" x14ac:dyDescent="0.35">
      <c r="A15" s="29">
        <v>57</v>
      </c>
      <c r="B15" s="33" t="s">
        <v>12</v>
      </c>
      <c r="C15" s="43">
        <v>5373</v>
      </c>
      <c r="D15" s="43">
        <v>4622.25</v>
      </c>
      <c r="E15" s="43">
        <v>1279</v>
      </c>
      <c r="F15" s="43">
        <v>1083.2</v>
      </c>
      <c r="G15" s="43">
        <v>3135</v>
      </c>
      <c r="H15" s="43">
        <v>2213.33</v>
      </c>
      <c r="I15" s="43">
        <v>792</v>
      </c>
      <c r="J15" s="43">
        <v>178.6</v>
      </c>
      <c r="L15" s="41"/>
      <c r="M15" s="41"/>
      <c r="N15" s="41"/>
      <c r="O15" s="41"/>
      <c r="P15" s="41"/>
      <c r="Q15" s="41"/>
      <c r="R15" s="41"/>
      <c r="S15" s="41"/>
    </row>
    <row r="16" spans="1:20" s="33" customFormat="1" ht="12.5" x14ac:dyDescent="0.35">
      <c r="A16" s="29">
        <v>59</v>
      </c>
      <c r="B16" s="33" t="s">
        <v>13</v>
      </c>
      <c r="C16" s="43">
        <v>10070</v>
      </c>
      <c r="D16" s="43">
        <v>20140</v>
      </c>
      <c r="E16" s="43">
        <v>5244</v>
      </c>
      <c r="F16" s="43">
        <v>10488</v>
      </c>
      <c r="G16" s="43">
        <v>3754</v>
      </c>
      <c r="H16" s="43">
        <v>7508</v>
      </c>
      <c r="I16" s="43">
        <v>10</v>
      </c>
      <c r="J16" s="43">
        <v>20</v>
      </c>
      <c r="L16" s="41"/>
      <c r="M16" s="41"/>
      <c r="N16" s="41"/>
      <c r="O16" s="41"/>
      <c r="P16" s="41"/>
      <c r="Q16" s="41"/>
      <c r="R16" s="41"/>
      <c r="S16" s="41"/>
    </row>
    <row r="17" spans="1:19" s="33" customFormat="1" ht="12.5" x14ac:dyDescent="0.35">
      <c r="A17" s="29">
        <v>60</v>
      </c>
      <c r="B17" s="33" t="s">
        <v>14</v>
      </c>
      <c r="C17" s="43">
        <v>9531</v>
      </c>
      <c r="D17" s="43">
        <v>15371.75</v>
      </c>
      <c r="E17" s="43">
        <v>7384</v>
      </c>
      <c r="F17" s="43">
        <v>11609.63</v>
      </c>
      <c r="G17" s="43">
        <v>3352</v>
      </c>
      <c r="H17" s="43">
        <v>5872.89</v>
      </c>
      <c r="I17" s="43">
        <v>3881</v>
      </c>
      <c r="J17" s="43">
        <v>4836.99</v>
      </c>
      <c r="L17" s="41"/>
      <c r="M17" s="41"/>
      <c r="N17" s="41"/>
      <c r="O17" s="41"/>
      <c r="P17" s="41"/>
      <c r="Q17" s="41"/>
      <c r="R17" s="41"/>
      <c r="S17" s="41"/>
    </row>
    <row r="18" spans="1:19" s="33" customFormat="1" ht="12.5" x14ac:dyDescent="0.35">
      <c r="A18" s="29">
        <v>61</v>
      </c>
      <c r="B18" s="44" t="s">
        <v>53</v>
      </c>
      <c r="C18" s="43">
        <v>10864</v>
      </c>
      <c r="D18" s="43">
        <v>13164</v>
      </c>
      <c r="E18" s="43">
        <v>7103</v>
      </c>
      <c r="F18" s="43">
        <v>9024</v>
      </c>
      <c r="G18" s="43">
        <v>2217</v>
      </c>
      <c r="H18" s="43">
        <v>2806</v>
      </c>
      <c r="I18" s="43">
        <v>0</v>
      </c>
      <c r="J18" s="43">
        <v>0</v>
      </c>
      <c r="L18" s="41"/>
      <c r="M18" s="41"/>
      <c r="N18" s="41"/>
      <c r="O18" s="41"/>
      <c r="P18" s="41"/>
      <c r="Q18" s="41"/>
      <c r="R18" s="41"/>
      <c r="S18" s="41"/>
    </row>
    <row r="19" spans="1:19" s="33" customFormat="1" ht="12.5" x14ac:dyDescent="0.35">
      <c r="A19" s="29"/>
      <c r="B19" s="44" t="s">
        <v>126</v>
      </c>
      <c r="C19" s="43">
        <v>11783</v>
      </c>
      <c r="D19" s="43">
        <v>15441</v>
      </c>
      <c r="E19" s="43">
        <v>7779</v>
      </c>
      <c r="F19" s="43">
        <v>10455</v>
      </c>
      <c r="G19" s="43">
        <v>0</v>
      </c>
      <c r="H19" s="43">
        <v>0</v>
      </c>
      <c r="I19" s="43">
        <v>366</v>
      </c>
      <c r="J19" s="43">
        <v>183</v>
      </c>
      <c r="L19" s="41"/>
      <c r="M19" s="41"/>
      <c r="N19" s="41"/>
      <c r="O19" s="41"/>
      <c r="P19" s="41"/>
      <c r="Q19" s="41"/>
      <c r="R19" s="41"/>
      <c r="S19" s="41"/>
    </row>
    <row r="20" spans="1:19" s="33" customFormat="1" ht="12.5" x14ac:dyDescent="0.35">
      <c r="A20" s="29">
        <v>62</v>
      </c>
      <c r="B20" s="33" t="s">
        <v>16</v>
      </c>
      <c r="C20" s="43" t="s">
        <v>127</v>
      </c>
      <c r="D20" s="43" t="s">
        <v>127</v>
      </c>
      <c r="E20" s="43" t="s">
        <v>127</v>
      </c>
      <c r="F20" s="43" t="s">
        <v>127</v>
      </c>
      <c r="G20" s="43" t="s">
        <v>127</v>
      </c>
      <c r="H20" s="43" t="s">
        <v>127</v>
      </c>
      <c r="I20" s="43" t="s">
        <v>127</v>
      </c>
      <c r="J20" s="43" t="s">
        <v>127</v>
      </c>
      <c r="L20" s="41"/>
      <c r="M20" s="41"/>
      <c r="N20" s="41"/>
      <c r="O20" s="41"/>
      <c r="P20" s="41"/>
      <c r="Q20" s="41"/>
      <c r="R20" s="41"/>
      <c r="S20" s="41"/>
    </row>
    <row r="21" spans="1:19" s="33" customFormat="1" ht="12.5" x14ac:dyDescent="0.35">
      <c r="A21" s="29">
        <v>58</v>
      </c>
      <c r="B21" s="33" t="s">
        <v>17</v>
      </c>
      <c r="C21" s="43">
        <v>19545</v>
      </c>
      <c r="D21" s="43">
        <v>14614</v>
      </c>
      <c r="E21" s="43">
        <v>7072</v>
      </c>
      <c r="F21" s="43">
        <v>5621</v>
      </c>
      <c r="G21" s="43">
        <v>1196</v>
      </c>
      <c r="H21" s="43">
        <v>1288</v>
      </c>
      <c r="I21" s="43">
        <v>0</v>
      </c>
      <c r="J21" s="43">
        <v>0</v>
      </c>
      <c r="L21" s="41"/>
      <c r="M21" s="41"/>
      <c r="N21" s="41"/>
      <c r="O21" s="41"/>
      <c r="P21" s="41"/>
      <c r="Q21" s="41"/>
      <c r="R21" s="41"/>
      <c r="S21" s="41"/>
    </row>
    <row r="22" spans="1:19" s="33" customFormat="1" ht="12.5" x14ac:dyDescent="0.35">
      <c r="A22" s="29">
        <v>63</v>
      </c>
      <c r="B22" s="33" t="s">
        <v>18</v>
      </c>
      <c r="C22" s="43">
        <v>10982</v>
      </c>
      <c r="D22" s="43">
        <v>18709.25</v>
      </c>
      <c r="E22" s="43">
        <v>2365</v>
      </c>
      <c r="F22" s="43">
        <v>4025.25</v>
      </c>
      <c r="G22" s="43">
        <v>1020</v>
      </c>
      <c r="H22" s="43">
        <v>1742.75</v>
      </c>
      <c r="I22" s="43">
        <v>0</v>
      </c>
      <c r="J22" s="43">
        <v>0</v>
      </c>
      <c r="L22" s="41"/>
      <c r="M22" s="41"/>
      <c r="N22" s="41"/>
      <c r="O22" s="41"/>
      <c r="P22" s="41"/>
      <c r="Q22" s="41"/>
      <c r="R22" s="41"/>
      <c r="S22" s="41"/>
    </row>
    <row r="23" spans="1:19" s="33" customFormat="1" ht="12.5" x14ac:dyDescent="0.35">
      <c r="A23" s="29">
        <v>64</v>
      </c>
      <c r="B23" s="33" t="s">
        <v>19</v>
      </c>
      <c r="C23" s="43">
        <v>8513</v>
      </c>
      <c r="D23" s="43">
        <v>27589</v>
      </c>
      <c r="E23" s="43">
        <v>5003</v>
      </c>
      <c r="F23" s="43">
        <v>16277</v>
      </c>
      <c r="G23" s="43">
        <v>2435</v>
      </c>
      <c r="H23" s="43">
        <v>7725</v>
      </c>
      <c r="I23" s="43">
        <v>0</v>
      </c>
      <c r="J23" s="43">
        <v>0</v>
      </c>
      <c r="L23" s="41"/>
      <c r="M23" s="41"/>
      <c r="N23" s="41"/>
      <c r="O23" s="41"/>
      <c r="P23" s="41"/>
      <c r="Q23" s="41"/>
      <c r="R23" s="41"/>
      <c r="S23" s="41"/>
    </row>
    <row r="24" spans="1:19" s="33" customFormat="1" ht="12.5" x14ac:dyDescent="0.35">
      <c r="A24" s="29">
        <v>65</v>
      </c>
      <c r="B24" s="33" t="s">
        <v>20</v>
      </c>
      <c r="C24" s="43">
        <v>7649</v>
      </c>
      <c r="D24" s="43">
        <v>13692</v>
      </c>
      <c r="E24" s="43">
        <v>4151</v>
      </c>
      <c r="F24" s="43">
        <v>7430</v>
      </c>
      <c r="G24" s="43">
        <v>2860</v>
      </c>
      <c r="H24" s="43">
        <v>5119</v>
      </c>
      <c r="I24" s="43">
        <v>0</v>
      </c>
      <c r="J24" s="43">
        <v>0</v>
      </c>
      <c r="L24" s="41"/>
      <c r="M24" s="41"/>
      <c r="N24" s="41"/>
      <c r="O24" s="41"/>
      <c r="P24" s="41"/>
      <c r="Q24" s="41"/>
      <c r="R24" s="41"/>
      <c r="S24" s="41"/>
    </row>
    <row r="25" spans="1:19" s="33" customFormat="1" ht="12.5" x14ac:dyDescent="0.35">
      <c r="A25" s="29">
        <v>67</v>
      </c>
      <c r="B25" s="33" t="s">
        <v>23</v>
      </c>
      <c r="C25" s="43">
        <v>5030</v>
      </c>
      <c r="D25" s="43">
        <v>8593</v>
      </c>
      <c r="E25" s="43">
        <v>3305</v>
      </c>
      <c r="F25" s="43">
        <v>6917</v>
      </c>
      <c r="G25" s="43">
        <v>17</v>
      </c>
      <c r="H25" s="43">
        <v>60</v>
      </c>
      <c r="I25" s="43">
        <v>133</v>
      </c>
      <c r="J25" s="43">
        <v>87</v>
      </c>
      <c r="L25" s="41"/>
      <c r="M25" s="41"/>
      <c r="N25" s="41"/>
      <c r="O25" s="41"/>
      <c r="P25" s="41"/>
      <c r="Q25" s="41"/>
      <c r="R25" s="41"/>
      <c r="S25" s="41"/>
    </row>
    <row r="26" spans="1:19" s="33" customFormat="1" ht="12.5" x14ac:dyDescent="0.35">
      <c r="A26" s="29">
        <v>68</v>
      </c>
      <c r="B26" s="33" t="s">
        <v>54</v>
      </c>
      <c r="C26" s="43">
        <v>4113</v>
      </c>
      <c r="D26" s="43">
        <v>4485</v>
      </c>
      <c r="E26" s="43">
        <v>2546</v>
      </c>
      <c r="F26" s="43">
        <v>2885</v>
      </c>
      <c r="G26" s="43">
        <v>1260</v>
      </c>
      <c r="H26" s="43">
        <v>1537</v>
      </c>
      <c r="I26" s="43">
        <v>0</v>
      </c>
      <c r="J26" s="43">
        <v>0</v>
      </c>
      <c r="L26" s="41"/>
      <c r="M26" s="41"/>
      <c r="N26" s="41"/>
      <c r="O26" s="41"/>
      <c r="P26" s="41"/>
      <c r="Q26" s="41"/>
      <c r="R26" s="41"/>
      <c r="S26" s="41"/>
    </row>
    <row r="27" spans="1:19" s="33" customFormat="1" ht="12.5" x14ac:dyDescent="0.35">
      <c r="A27" s="29">
        <v>69</v>
      </c>
      <c r="B27" s="33" t="s">
        <v>25</v>
      </c>
      <c r="C27" s="43">
        <v>3512</v>
      </c>
      <c r="D27" s="43">
        <v>2613</v>
      </c>
      <c r="E27" s="43">
        <v>1831</v>
      </c>
      <c r="F27" s="43">
        <v>1430</v>
      </c>
      <c r="G27" s="43">
        <v>444</v>
      </c>
      <c r="H27" s="43">
        <v>384</v>
      </c>
      <c r="I27" s="43">
        <v>2320</v>
      </c>
      <c r="J27" s="43">
        <v>2589</v>
      </c>
      <c r="L27" s="41"/>
      <c r="M27" s="41"/>
      <c r="N27" s="41"/>
      <c r="O27" s="41"/>
      <c r="P27" s="41"/>
      <c r="Q27" s="41"/>
      <c r="R27" s="41"/>
      <c r="S27" s="41"/>
    </row>
    <row r="28" spans="1:19" s="33" customFormat="1" ht="12.5" x14ac:dyDescent="0.35">
      <c r="A28" s="29">
        <v>70</v>
      </c>
      <c r="B28" s="33" t="s">
        <v>26</v>
      </c>
      <c r="C28" s="43">
        <v>5376</v>
      </c>
      <c r="D28" s="43">
        <v>3982</v>
      </c>
      <c r="E28" s="43">
        <v>2457</v>
      </c>
      <c r="F28" s="43">
        <v>1744</v>
      </c>
      <c r="G28" s="43">
        <v>1035</v>
      </c>
      <c r="H28" s="43">
        <v>817</v>
      </c>
      <c r="I28" s="43">
        <v>0</v>
      </c>
      <c r="J28" s="43">
        <v>0</v>
      </c>
      <c r="L28" s="41"/>
      <c r="M28" s="41"/>
      <c r="N28" s="41"/>
      <c r="O28" s="41"/>
      <c r="P28" s="41"/>
      <c r="Q28" s="41"/>
      <c r="R28" s="41"/>
      <c r="S28" s="41"/>
    </row>
    <row r="29" spans="1:19" s="33" customFormat="1" ht="12.5" x14ac:dyDescent="0.35">
      <c r="A29" s="29">
        <v>71</v>
      </c>
      <c r="B29" s="33" t="s">
        <v>55</v>
      </c>
      <c r="C29" s="43">
        <v>647</v>
      </c>
      <c r="D29" s="43">
        <v>467</v>
      </c>
      <c r="E29" s="43">
        <v>480</v>
      </c>
      <c r="F29" s="43">
        <v>356</v>
      </c>
      <c r="G29" s="43">
        <v>0</v>
      </c>
      <c r="H29" s="43">
        <v>0</v>
      </c>
      <c r="I29" s="43">
        <v>230</v>
      </c>
      <c r="J29" s="43">
        <v>163</v>
      </c>
      <c r="L29" s="41"/>
      <c r="M29" s="41"/>
      <c r="N29" s="41"/>
      <c r="O29" s="41"/>
      <c r="P29" s="41"/>
      <c r="Q29" s="41"/>
      <c r="R29" s="41"/>
      <c r="S29" s="41"/>
    </row>
    <row r="30" spans="1:19" s="33" customFormat="1" ht="12.5" x14ac:dyDescent="0.35">
      <c r="A30" s="29">
        <v>73</v>
      </c>
      <c r="B30" s="33" t="s">
        <v>29</v>
      </c>
      <c r="C30" s="43">
        <v>15933</v>
      </c>
      <c r="D30" s="43">
        <v>23899.5</v>
      </c>
      <c r="E30" s="43">
        <v>10050</v>
      </c>
      <c r="F30" s="43">
        <v>15075</v>
      </c>
      <c r="G30" s="43">
        <v>6510</v>
      </c>
      <c r="H30" s="43">
        <v>9765</v>
      </c>
      <c r="I30" s="43">
        <v>0</v>
      </c>
      <c r="J30" s="43">
        <v>0</v>
      </c>
      <c r="K30" s="112"/>
      <c r="L30" s="41"/>
      <c r="M30" s="41"/>
      <c r="N30" s="41"/>
      <c r="O30" s="41"/>
      <c r="P30" s="41"/>
      <c r="Q30" s="41"/>
      <c r="R30" s="41"/>
      <c r="S30" s="41"/>
    </row>
    <row r="31" spans="1:19" s="33" customFormat="1" ht="12.5" x14ac:dyDescent="0.35">
      <c r="A31" s="29">
        <v>74</v>
      </c>
      <c r="B31" s="33" t="s">
        <v>30</v>
      </c>
      <c r="C31" s="43">
        <v>11954</v>
      </c>
      <c r="D31" s="43">
        <v>21959</v>
      </c>
      <c r="E31" s="43">
        <v>8507</v>
      </c>
      <c r="F31" s="43">
        <v>14462</v>
      </c>
      <c r="G31" s="43">
        <v>8131</v>
      </c>
      <c r="H31" s="43">
        <v>13823</v>
      </c>
      <c r="I31" s="43">
        <v>0</v>
      </c>
      <c r="J31" s="43">
        <v>0</v>
      </c>
      <c r="L31" s="41"/>
      <c r="M31" s="41"/>
      <c r="N31" s="41"/>
      <c r="O31" s="41"/>
      <c r="P31" s="41"/>
      <c r="Q31" s="41"/>
      <c r="R31" s="41"/>
      <c r="S31" s="41"/>
    </row>
    <row r="32" spans="1:19" s="33" customFormat="1" ht="12.5" x14ac:dyDescent="0.35">
      <c r="A32" s="29">
        <v>75</v>
      </c>
      <c r="B32" s="33" t="s">
        <v>31</v>
      </c>
      <c r="C32" s="43">
        <v>7926</v>
      </c>
      <c r="D32" s="43">
        <v>13871</v>
      </c>
      <c r="E32" s="43">
        <v>4743</v>
      </c>
      <c r="F32" s="43">
        <v>8300</v>
      </c>
      <c r="G32" s="43">
        <v>2299</v>
      </c>
      <c r="H32" s="43">
        <v>4023</v>
      </c>
      <c r="I32" s="43">
        <v>480</v>
      </c>
      <c r="J32" s="43">
        <v>840</v>
      </c>
      <c r="L32" s="41"/>
      <c r="M32" s="41"/>
      <c r="N32" s="41"/>
      <c r="O32" s="41"/>
      <c r="P32" s="41"/>
      <c r="Q32" s="41"/>
      <c r="R32" s="41"/>
      <c r="S32" s="41"/>
    </row>
    <row r="33" spans="1:19" s="33" customFormat="1" ht="12.5" x14ac:dyDescent="0.35">
      <c r="A33" s="29">
        <v>76</v>
      </c>
      <c r="B33" s="33" t="s">
        <v>32</v>
      </c>
      <c r="C33" s="43">
        <v>5274</v>
      </c>
      <c r="D33" s="43">
        <v>4490</v>
      </c>
      <c r="E33" s="43">
        <v>2044</v>
      </c>
      <c r="F33" s="43">
        <v>2594</v>
      </c>
      <c r="G33" s="43">
        <v>2031</v>
      </c>
      <c r="H33" s="43">
        <v>2803</v>
      </c>
      <c r="I33" s="43">
        <v>15</v>
      </c>
      <c r="J33" s="43">
        <v>23</v>
      </c>
      <c r="L33" s="41"/>
      <c r="M33" s="41"/>
      <c r="N33" s="41"/>
      <c r="O33" s="41"/>
      <c r="P33" s="41"/>
      <c r="Q33" s="41"/>
      <c r="R33" s="41"/>
      <c r="S33" s="41"/>
    </row>
    <row r="34" spans="1:19" s="33" customFormat="1" ht="12.5" x14ac:dyDescent="0.35">
      <c r="A34" s="29">
        <v>79</v>
      </c>
      <c r="B34" s="33" t="s">
        <v>34</v>
      </c>
      <c r="C34" s="43">
        <v>3751</v>
      </c>
      <c r="D34" s="43">
        <v>3620.25</v>
      </c>
      <c r="E34" s="43">
        <v>2047</v>
      </c>
      <c r="F34" s="43">
        <v>1965</v>
      </c>
      <c r="G34" s="43">
        <v>0</v>
      </c>
      <c r="H34" s="43">
        <v>0</v>
      </c>
      <c r="I34" s="43">
        <v>13</v>
      </c>
      <c r="J34" s="43">
        <v>7.25</v>
      </c>
      <c r="L34" s="41"/>
      <c r="M34" s="41"/>
      <c r="N34" s="41"/>
      <c r="O34" s="41"/>
      <c r="P34" s="41"/>
      <c r="Q34" s="41"/>
      <c r="R34" s="41"/>
      <c r="S34" s="41"/>
    </row>
    <row r="35" spans="1:19" s="33" customFormat="1" ht="12.5" x14ac:dyDescent="0.35">
      <c r="A35" s="29">
        <v>80</v>
      </c>
      <c r="B35" s="33" t="s">
        <v>35</v>
      </c>
      <c r="C35" s="43">
        <v>2956</v>
      </c>
      <c r="D35" s="43">
        <v>4482</v>
      </c>
      <c r="E35" s="43">
        <v>1905</v>
      </c>
      <c r="F35" s="43">
        <v>2868</v>
      </c>
      <c r="G35" s="43">
        <v>0</v>
      </c>
      <c r="H35" s="43">
        <v>0</v>
      </c>
      <c r="I35" s="43">
        <v>8</v>
      </c>
      <c r="J35" s="43">
        <v>4</v>
      </c>
      <c r="L35" s="41"/>
      <c r="M35" s="41"/>
      <c r="N35" s="41"/>
      <c r="O35" s="41"/>
      <c r="P35" s="41"/>
      <c r="Q35" s="41"/>
      <c r="R35" s="41"/>
      <c r="S35" s="41"/>
    </row>
    <row r="36" spans="1:19" s="33" customFormat="1" ht="12.5" x14ac:dyDescent="0.35">
      <c r="A36" s="29">
        <v>81</v>
      </c>
      <c r="B36" s="33" t="s">
        <v>36</v>
      </c>
      <c r="C36" s="43">
        <v>2445</v>
      </c>
      <c r="D36" s="43">
        <v>1698</v>
      </c>
      <c r="E36" s="43">
        <v>1390</v>
      </c>
      <c r="F36" s="43">
        <v>926</v>
      </c>
      <c r="G36" s="43">
        <v>412</v>
      </c>
      <c r="H36" s="43">
        <v>274</v>
      </c>
      <c r="I36" s="43">
        <v>44</v>
      </c>
      <c r="J36" s="43">
        <v>44</v>
      </c>
      <c r="L36" s="41"/>
      <c r="M36" s="41"/>
      <c r="N36" s="41"/>
      <c r="O36" s="41"/>
      <c r="P36" s="41"/>
      <c r="Q36" s="41"/>
      <c r="R36" s="41"/>
      <c r="S36" s="41"/>
    </row>
    <row r="37" spans="1:19" s="33" customFormat="1" ht="12.5" x14ac:dyDescent="0.35">
      <c r="A37" s="29">
        <v>83</v>
      </c>
      <c r="B37" s="33" t="s">
        <v>37</v>
      </c>
      <c r="C37" s="43">
        <v>7839</v>
      </c>
      <c r="D37" s="43">
        <v>7646.5</v>
      </c>
      <c r="E37" s="43">
        <v>4991</v>
      </c>
      <c r="F37" s="43">
        <v>4878</v>
      </c>
      <c r="G37" s="43">
        <v>1030</v>
      </c>
      <c r="H37" s="43">
        <v>1319.25</v>
      </c>
      <c r="I37" s="43">
        <v>4</v>
      </c>
      <c r="J37" s="43">
        <v>2</v>
      </c>
      <c r="L37" s="41"/>
      <c r="M37" s="41"/>
      <c r="N37" s="41"/>
      <c r="O37" s="41"/>
      <c r="P37" s="41"/>
      <c r="Q37" s="41"/>
      <c r="R37" s="41"/>
      <c r="S37" s="41"/>
    </row>
    <row r="38" spans="1:19" s="33" customFormat="1" ht="12.5" x14ac:dyDescent="0.35">
      <c r="A38" s="29">
        <v>84</v>
      </c>
      <c r="B38" s="33" t="s">
        <v>38</v>
      </c>
      <c r="C38" s="43">
        <v>3757</v>
      </c>
      <c r="D38" s="43">
        <v>11344</v>
      </c>
      <c r="E38" s="43">
        <v>1879</v>
      </c>
      <c r="F38" s="43">
        <v>5715</v>
      </c>
      <c r="G38" s="43">
        <v>1692</v>
      </c>
      <c r="H38" s="43">
        <v>5696</v>
      </c>
      <c r="I38" s="43">
        <v>571</v>
      </c>
      <c r="J38" s="43">
        <v>879</v>
      </c>
      <c r="L38" s="41"/>
      <c r="M38" s="41"/>
      <c r="N38" s="41"/>
      <c r="O38" s="41"/>
      <c r="P38" s="41"/>
      <c r="Q38" s="41"/>
      <c r="R38" s="41"/>
      <c r="S38" s="41"/>
    </row>
    <row r="39" spans="1:19" s="33" customFormat="1" ht="12.5" x14ac:dyDescent="0.35">
      <c r="A39" s="29">
        <v>85</v>
      </c>
      <c r="B39" s="33" t="s">
        <v>39</v>
      </c>
      <c r="C39" s="43">
        <v>2252</v>
      </c>
      <c r="D39" s="43">
        <v>5593.5</v>
      </c>
      <c r="E39" s="43">
        <v>1916</v>
      </c>
      <c r="F39" s="43">
        <v>3723</v>
      </c>
      <c r="G39" s="43">
        <v>6</v>
      </c>
      <c r="H39" s="43">
        <v>12.75</v>
      </c>
      <c r="I39" s="43">
        <v>13</v>
      </c>
      <c r="J39" s="43">
        <v>13</v>
      </c>
      <c r="L39" s="41"/>
      <c r="M39" s="41"/>
      <c r="N39" s="41"/>
      <c r="O39" s="41"/>
      <c r="P39" s="41"/>
      <c r="Q39" s="41"/>
      <c r="R39" s="41"/>
      <c r="S39" s="41"/>
    </row>
    <row r="40" spans="1:19" s="33" customFormat="1" ht="12.5" x14ac:dyDescent="0.35">
      <c r="A40" s="29">
        <v>87</v>
      </c>
      <c r="B40" s="33" t="s">
        <v>40</v>
      </c>
      <c r="C40" s="43">
        <v>4205</v>
      </c>
      <c r="D40" s="43">
        <v>3889</v>
      </c>
      <c r="E40" s="43">
        <v>3504</v>
      </c>
      <c r="F40" s="43">
        <v>3419.95</v>
      </c>
      <c r="G40" s="43">
        <v>0</v>
      </c>
      <c r="H40" s="43">
        <v>0</v>
      </c>
      <c r="I40" s="43">
        <v>546</v>
      </c>
      <c r="J40" s="43">
        <v>0</v>
      </c>
      <c r="L40" s="41"/>
      <c r="M40" s="41"/>
      <c r="N40" s="41"/>
      <c r="O40" s="41"/>
      <c r="P40" s="41"/>
      <c r="Q40" s="41"/>
      <c r="R40" s="41"/>
      <c r="S40" s="41"/>
    </row>
    <row r="41" spans="1:19" s="33" customFormat="1" ht="12.5" x14ac:dyDescent="0.35">
      <c r="A41" s="29">
        <v>90</v>
      </c>
      <c r="B41" s="33" t="s">
        <v>42</v>
      </c>
      <c r="C41" s="43">
        <v>25206</v>
      </c>
      <c r="D41" s="43">
        <v>0</v>
      </c>
      <c r="E41" s="43">
        <v>15199</v>
      </c>
      <c r="F41" s="43">
        <v>0</v>
      </c>
      <c r="G41" s="43">
        <v>2099</v>
      </c>
      <c r="H41" s="43">
        <v>0</v>
      </c>
      <c r="I41" s="43">
        <v>318</v>
      </c>
      <c r="J41" s="43">
        <v>0</v>
      </c>
      <c r="L41" s="41"/>
      <c r="M41" s="41"/>
      <c r="N41" s="41"/>
      <c r="O41" s="41"/>
      <c r="P41" s="41"/>
      <c r="Q41" s="41"/>
      <c r="R41" s="41"/>
      <c r="S41" s="41"/>
    </row>
    <row r="42" spans="1:19" s="33" customFormat="1" ht="12.5" x14ac:dyDescent="0.35">
      <c r="A42" s="29">
        <v>91</v>
      </c>
      <c r="B42" s="33" t="s">
        <v>43</v>
      </c>
      <c r="C42" s="43">
        <v>1310</v>
      </c>
      <c r="D42" s="43">
        <v>2691</v>
      </c>
      <c r="E42" s="43">
        <v>809</v>
      </c>
      <c r="F42" s="43">
        <v>1879</v>
      </c>
      <c r="G42" s="43">
        <v>159</v>
      </c>
      <c r="H42" s="43">
        <v>410</v>
      </c>
      <c r="I42" s="43">
        <v>0</v>
      </c>
      <c r="J42" s="43">
        <v>0</v>
      </c>
      <c r="L42" s="41"/>
      <c r="M42" s="41"/>
      <c r="N42" s="41"/>
      <c r="O42" s="41"/>
      <c r="P42" s="41"/>
      <c r="Q42" s="41"/>
      <c r="R42" s="41"/>
      <c r="S42" s="41"/>
    </row>
    <row r="43" spans="1:19" s="33" customFormat="1" ht="12.5" x14ac:dyDescent="0.35">
      <c r="A43" s="29">
        <v>92</v>
      </c>
      <c r="B43" s="33" t="s">
        <v>44</v>
      </c>
      <c r="C43" s="43">
        <v>3521</v>
      </c>
      <c r="D43" s="43">
        <v>17848</v>
      </c>
      <c r="E43" s="43">
        <v>2475</v>
      </c>
      <c r="F43" s="43">
        <v>10182</v>
      </c>
      <c r="G43" s="43">
        <v>1373</v>
      </c>
      <c r="H43" s="43">
        <v>11843</v>
      </c>
      <c r="I43" s="43">
        <v>887</v>
      </c>
      <c r="J43" s="43">
        <v>3600</v>
      </c>
      <c r="L43" s="41"/>
      <c r="M43" s="41"/>
      <c r="N43" s="41"/>
      <c r="O43" s="41"/>
      <c r="P43" s="41"/>
      <c r="Q43" s="41"/>
      <c r="R43" s="41"/>
      <c r="S43" s="41"/>
    </row>
    <row r="44" spans="1:19" s="33" customFormat="1" ht="12.5" x14ac:dyDescent="0.35">
      <c r="A44" s="29">
        <v>94</v>
      </c>
      <c r="B44" s="33" t="s">
        <v>46</v>
      </c>
      <c r="C44" s="43">
        <v>4039</v>
      </c>
      <c r="D44" s="43">
        <v>8078</v>
      </c>
      <c r="E44" s="43">
        <v>2964</v>
      </c>
      <c r="F44" s="43">
        <v>5928</v>
      </c>
      <c r="G44" s="43">
        <v>686</v>
      </c>
      <c r="H44" s="43">
        <v>1372</v>
      </c>
      <c r="I44" s="43">
        <v>0</v>
      </c>
      <c r="J44" s="43">
        <v>0</v>
      </c>
      <c r="L44" s="41"/>
      <c r="M44" s="41"/>
      <c r="N44" s="41"/>
      <c r="O44" s="41"/>
      <c r="P44" s="41"/>
      <c r="Q44" s="41"/>
      <c r="R44" s="41"/>
      <c r="S44" s="41"/>
    </row>
    <row r="45" spans="1:19" s="33" customFormat="1" ht="12.5" x14ac:dyDescent="0.35">
      <c r="A45" s="29">
        <v>96</v>
      </c>
      <c r="B45" s="33" t="s">
        <v>48</v>
      </c>
      <c r="C45" s="43">
        <v>6647</v>
      </c>
      <c r="D45" s="43">
        <v>9534</v>
      </c>
      <c r="E45" s="43">
        <v>5073</v>
      </c>
      <c r="F45" s="43">
        <v>6922</v>
      </c>
      <c r="G45" s="43">
        <v>1568</v>
      </c>
      <c r="H45" s="43">
        <v>2612</v>
      </c>
      <c r="I45" s="43">
        <v>0</v>
      </c>
      <c r="J45" s="43">
        <v>0</v>
      </c>
      <c r="L45" s="41"/>
      <c r="M45" s="41"/>
      <c r="N45" s="41"/>
      <c r="O45" s="41"/>
      <c r="P45" s="41"/>
      <c r="Q45" s="41"/>
      <c r="R45" s="41"/>
      <c r="S45" s="41"/>
    </row>
    <row r="46" spans="1:19" s="33" customFormat="1" ht="12.5" x14ac:dyDescent="0.35">
      <c r="A46" s="29">
        <v>98</v>
      </c>
      <c r="B46" s="33" t="s">
        <v>50</v>
      </c>
      <c r="C46" s="43" t="s">
        <v>127</v>
      </c>
      <c r="D46" s="43" t="s">
        <v>127</v>
      </c>
      <c r="E46" s="43" t="s">
        <v>127</v>
      </c>
      <c r="F46" s="43" t="s">
        <v>127</v>
      </c>
      <c r="G46" s="43" t="s">
        <v>127</v>
      </c>
      <c r="H46" s="43" t="s">
        <v>127</v>
      </c>
      <c r="I46" s="43" t="s">
        <v>127</v>
      </c>
      <c r="J46" s="43" t="s">
        <v>127</v>
      </c>
      <c r="L46" s="41"/>
      <c r="M46" s="41"/>
      <c r="N46" s="41"/>
      <c r="O46" s="41"/>
      <c r="P46" s="41"/>
      <c r="Q46" s="41"/>
      <c r="R46" s="41"/>
      <c r="S46" s="41"/>
    </row>
    <row r="47" spans="1:19" s="33" customFormat="1" ht="12.5" x14ac:dyDescent="0.35">
      <c r="A47" s="29">
        <v>72</v>
      </c>
      <c r="B47" s="33" t="s">
        <v>28</v>
      </c>
      <c r="C47" s="43">
        <v>54</v>
      </c>
      <c r="D47" s="43">
        <v>15</v>
      </c>
      <c r="E47" s="43">
        <v>21</v>
      </c>
      <c r="F47" s="43">
        <v>8</v>
      </c>
      <c r="G47" s="43">
        <v>1</v>
      </c>
      <c r="H47" s="43">
        <v>0.5</v>
      </c>
      <c r="I47" s="43">
        <v>0</v>
      </c>
      <c r="J47" s="43">
        <v>0</v>
      </c>
      <c r="L47" s="41"/>
      <c r="M47" s="41"/>
      <c r="N47" s="41"/>
      <c r="O47" s="41"/>
      <c r="P47" s="41"/>
      <c r="Q47" s="41"/>
      <c r="R47" s="41"/>
      <c r="S47" s="41"/>
    </row>
    <row r="48" spans="1:19" s="38" customFormat="1" ht="26.25" customHeight="1" x14ac:dyDescent="0.35">
      <c r="B48" s="38" t="s">
        <v>56</v>
      </c>
      <c r="C48" s="42">
        <f>SUM(C49:C55)</f>
        <v>266078</v>
      </c>
      <c r="D48" s="42">
        <f t="shared" ref="D48:J48" si="2">SUM(D49:D55)</f>
        <v>525639.5</v>
      </c>
      <c r="E48" s="42">
        <f t="shared" si="2"/>
        <v>119510</v>
      </c>
      <c r="F48" s="42">
        <f t="shared" si="2"/>
        <v>242704</v>
      </c>
      <c r="G48" s="42">
        <f t="shared" si="2"/>
        <v>78559</v>
      </c>
      <c r="H48" s="42">
        <f t="shared" si="2"/>
        <v>194705</v>
      </c>
      <c r="I48" s="42">
        <f t="shared" si="2"/>
        <v>6934</v>
      </c>
      <c r="J48" s="42">
        <f t="shared" si="2"/>
        <v>1336</v>
      </c>
      <c r="L48" s="41"/>
      <c r="M48" s="41"/>
      <c r="N48" s="41"/>
      <c r="O48" s="41"/>
      <c r="P48" s="41"/>
      <c r="Q48" s="41"/>
      <c r="R48" s="41"/>
      <c r="S48" s="41"/>
    </row>
    <row r="49" spans="1:19" s="33" customFormat="1" ht="12.5" x14ac:dyDescent="0.35">
      <c r="A49" s="29">
        <v>66</v>
      </c>
      <c r="B49" s="33" t="s">
        <v>22</v>
      </c>
      <c r="C49" s="43">
        <v>33418</v>
      </c>
      <c r="D49" s="43">
        <v>39659.5</v>
      </c>
      <c r="E49" s="43">
        <v>11782</v>
      </c>
      <c r="F49" s="43">
        <v>15058</v>
      </c>
      <c r="G49" s="43">
        <v>2660</v>
      </c>
      <c r="H49" s="43">
        <v>7833</v>
      </c>
      <c r="I49" s="43">
        <v>0</v>
      </c>
      <c r="J49" s="43">
        <v>0</v>
      </c>
      <c r="L49" s="41"/>
      <c r="M49" s="41"/>
      <c r="N49" s="41"/>
      <c r="O49" s="41"/>
      <c r="P49" s="41"/>
      <c r="Q49" s="41"/>
      <c r="R49" s="41"/>
      <c r="S49" s="41"/>
    </row>
    <row r="50" spans="1:19" s="33" customFormat="1" ht="14.25" customHeight="1" x14ac:dyDescent="0.35">
      <c r="A50" s="29">
        <v>78</v>
      </c>
      <c r="B50" s="33" t="s">
        <v>33</v>
      </c>
      <c r="C50" s="43">
        <v>52564</v>
      </c>
      <c r="D50" s="43">
        <v>83577</v>
      </c>
      <c r="E50" s="43">
        <v>30932</v>
      </c>
      <c r="F50" s="43">
        <v>49182</v>
      </c>
      <c r="G50" s="43">
        <v>8745</v>
      </c>
      <c r="H50" s="43">
        <v>13905</v>
      </c>
      <c r="I50" s="43">
        <v>0</v>
      </c>
      <c r="J50" s="43">
        <v>0</v>
      </c>
      <c r="L50" s="41"/>
      <c r="M50" s="41"/>
      <c r="N50" s="41"/>
      <c r="O50" s="41"/>
      <c r="P50" s="41"/>
      <c r="Q50" s="41"/>
      <c r="R50" s="41"/>
      <c r="S50" s="41"/>
    </row>
    <row r="51" spans="1:19" s="33" customFormat="1" ht="15.75" customHeight="1" x14ac:dyDescent="0.35">
      <c r="A51" s="29">
        <v>89</v>
      </c>
      <c r="B51" s="33" t="s">
        <v>41</v>
      </c>
      <c r="C51" s="43">
        <v>20578</v>
      </c>
      <c r="D51" s="43">
        <v>27368</v>
      </c>
      <c r="E51" s="43">
        <v>7036</v>
      </c>
      <c r="F51" s="43">
        <v>9358</v>
      </c>
      <c r="G51" s="43">
        <v>4019</v>
      </c>
      <c r="H51" s="43">
        <v>5345</v>
      </c>
      <c r="I51" s="43">
        <v>478</v>
      </c>
      <c r="J51" s="43">
        <v>315</v>
      </c>
      <c r="L51" s="41"/>
      <c r="M51" s="41"/>
      <c r="N51" s="41"/>
      <c r="O51" s="41"/>
      <c r="P51" s="41"/>
      <c r="Q51" s="41"/>
      <c r="R51" s="41"/>
      <c r="S51" s="41"/>
    </row>
    <row r="52" spans="1:19" s="33" customFormat="1" ht="12.5" x14ac:dyDescent="0.35">
      <c r="A52" s="29">
        <v>93</v>
      </c>
      <c r="B52" s="33" t="s">
        <v>57</v>
      </c>
      <c r="C52" s="43">
        <v>26134</v>
      </c>
      <c r="D52" s="43">
        <v>14501</v>
      </c>
      <c r="E52" s="43">
        <v>12996</v>
      </c>
      <c r="F52" s="43">
        <v>7697</v>
      </c>
      <c r="G52" s="43">
        <v>4962</v>
      </c>
      <c r="H52" s="43">
        <v>3425</v>
      </c>
      <c r="I52" s="43">
        <v>4958</v>
      </c>
      <c r="J52" s="43">
        <v>982</v>
      </c>
      <c r="L52" s="41"/>
      <c r="M52" s="41"/>
      <c r="N52" s="41"/>
      <c r="O52" s="41"/>
      <c r="P52" s="41"/>
      <c r="Q52" s="41"/>
      <c r="R52" s="41"/>
      <c r="S52" s="41"/>
    </row>
    <row r="53" spans="1:19" s="33" customFormat="1" ht="12.5" x14ac:dyDescent="0.35">
      <c r="A53" s="29">
        <v>95</v>
      </c>
      <c r="B53" s="33" t="s">
        <v>47</v>
      </c>
      <c r="C53" s="43">
        <v>31576</v>
      </c>
      <c r="D53" s="43">
        <v>119207</v>
      </c>
      <c r="E53" s="43">
        <v>17539</v>
      </c>
      <c r="F53" s="43">
        <v>66214</v>
      </c>
      <c r="G53" s="43">
        <v>19761</v>
      </c>
      <c r="H53" s="43">
        <v>74602</v>
      </c>
      <c r="I53" s="43">
        <v>0</v>
      </c>
      <c r="J53" s="43">
        <v>0</v>
      </c>
      <c r="L53" s="41"/>
      <c r="M53" s="41"/>
      <c r="N53" s="41"/>
      <c r="O53" s="41"/>
      <c r="P53" s="41"/>
      <c r="Q53" s="41"/>
      <c r="R53" s="41"/>
      <c r="S53" s="41"/>
    </row>
    <row r="54" spans="1:19" s="33" customFormat="1" ht="12.5" x14ac:dyDescent="0.35">
      <c r="A54" s="29">
        <v>97</v>
      </c>
      <c r="B54" s="33" t="s">
        <v>49</v>
      </c>
      <c r="C54" s="43">
        <v>18477</v>
      </c>
      <c r="D54" s="43">
        <v>88283</v>
      </c>
      <c r="E54" s="43">
        <v>9494</v>
      </c>
      <c r="F54" s="43">
        <v>38171</v>
      </c>
      <c r="G54" s="43">
        <v>7740</v>
      </c>
      <c r="H54" s="43">
        <v>28728</v>
      </c>
      <c r="I54" s="43">
        <v>27</v>
      </c>
      <c r="J54" s="43">
        <v>39</v>
      </c>
      <c r="L54" s="41"/>
      <c r="M54" s="41"/>
      <c r="N54" s="41"/>
      <c r="O54" s="41"/>
      <c r="P54" s="41"/>
      <c r="Q54" s="41"/>
      <c r="R54" s="41"/>
      <c r="S54" s="41"/>
    </row>
    <row r="55" spans="1:19" s="33" customFormat="1" ht="12.5" x14ac:dyDescent="0.35">
      <c r="A55" s="45">
        <v>77</v>
      </c>
      <c r="B55" s="108" t="s">
        <v>21</v>
      </c>
      <c r="C55" s="43">
        <v>83331</v>
      </c>
      <c r="D55" s="43">
        <v>153044</v>
      </c>
      <c r="E55" s="43">
        <v>29731</v>
      </c>
      <c r="F55" s="43">
        <v>57024</v>
      </c>
      <c r="G55" s="43">
        <v>30672</v>
      </c>
      <c r="H55" s="43">
        <v>60867</v>
      </c>
      <c r="I55" s="43">
        <v>1471</v>
      </c>
      <c r="J55" s="43">
        <v>0</v>
      </c>
      <c r="L55" s="41"/>
      <c r="M55" s="41"/>
      <c r="N55" s="41"/>
      <c r="O55" s="41"/>
      <c r="P55" s="41"/>
      <c r="Q55" s="41"/>
      <c r="R55" s="41"/>
      <c r="S55" s="41"/>
    </row>
    <row r="56" spans="1:19" s="33" customFormat="1" ht="6" customHeight="1" x14ac:dyDescent="0.35">
      <c r="B56" s="47"/>
      <c r="J56" s="48"/>
    </row>
    <row r="57" spans="1:19" s="33" customFormat="1" ht="12.5" x14ac:dyDescent="0.35">
      <c r="B57" s="33" t="s">
        <v>78</v>
      </c>
      <c r="J57" s="48"/>
    </row>
    <row r="58" spans="1:19" s="33" customFormat="1" ht="12.5" x14ac:dyDescent="0.35">
      <c r="J58" s="48"/>
    </row>
    <row r="59" spans="1:19" s="33" customFormat="1" x14ac:dyDescent="0.35">
      <c r="B59" s="49" t="s">
        <v>79</v>
      </c>
      <c r="J59" s="50"/>
    </row>
    <row r="61" spans="1:19" x14ac:dyDescent="0.3">
      <c r="B61" s="51" t="s">
        <v>80</v>
      </c>
    </row>
    <row r="62" spans="1:19" ht="9.75" customHeight="1" x14ac:dyDescent="0.3"/>
    <row r="66" spans="2:8" x14ac:dyDescent="0.3">
      <c r="B66" s="32" t="s">
        <v>133</v>
      </c>
    </row>
    <row r="67" spans="2:8" x14ac:dyDescent="0.3">
      <c r="B67" s="32" t="s">
        <v>132</v>
      </c>
    </row>
    <row r="70" spans="2:8" x14ac:dyDescent="0.3">
      <c r="B70" s="32" t="s">
        <v>134</v>
      </c>
      <c r="C70" s="104">
        <f>C7-C41</f>
        <v>284756</v>
      </c>
      <c r="D70" s="105">
        <f>D7</f>
        <v>430483.8</v>
      </c>
    </row>
    <row r="71" spans="2:8" x14ac:dyDescent="0.3">
      <c r="B71" s="32" t="s">
        <v>42</v>
      </c>
      <c r="C71" s="104">
        <f>C41</f>
        <v>25206</v>
      </c>
      <c r="D71" s="106">
        <f>C71*(D70/C70)</f>
        <v>38105.517224571209</v>
      </c>
      <c r="E71" s="133" t="s">
        <v>135</v>
      </c>
      <c r="F71" s="133"/>
      <c r="G71" s="133"/>
      <c r="H71" s="133"/>
    </row>
  </sheetData>
  <mergeCells count="7">
    <mergeCell ref="E71:H71"/>
    <mergeCell ref="B1:J1"/>
    <mergeCell ref="B2:B3"/>
    <mergeCell ref="C2:D2"/>
    <mergeCell ref="E2:F2"/>
    <mergeCell ref="G2:H2"/>
    <mergeCell ref="I2:J2"/>
  </mergeCells>
  <pageMargins left="0.48" right="0.31" top="1" bottom="1" header="0.5" footer="0.5"/>
  <pageSetup paperSize="9" scale="7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0000"/>
  </sheetPr>
  <dimension ref="A1:T61"/>
  <sheetViews>
    <sheetView showGridLines="0" zoomScale="85" zoomScaleNormal="85" workbookViewId="0">
      <pane xSplit="2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H7" sqref="H7"/>
    </sheetView>
  </sheetViews>
  <sheetFormatPr defaultRowHeight="13" x14ac:dyDescent="0.3"/>
  <cols>
    <col min="1" max="1" width="2.7265625" style="32" hidden="1" customWidth="1"/>
    <col min="2" max="2" width="25.54296875" style="32" customWidth="1"/>
    <col min="3" max="3" width="11.453125" style="32" customWidth="1"/>
    <col min="4" max="4" width="10.7265625" style="111" bestFit="1" customWidth="1"/>
    <col min="5" max="5" width="11.453125" style="111" customWidth="1"/>
    <col min="6" max="6" width="13" style="111" customWidth="1"/>
    <col min="7" max="8" width="11.453125" style="111" customWidth="1"/>
    <col min="9" max="10" width="13.26953125" style="111" customWidth="1"/>
    <col min="11" max="11" width="8.7265625" style="32"/>
    <col min="12" max="13" width="11.26953125" style="32" customWidth="1"/>
    <col min="14" max="256" width="8.7265625" style="32"/>
    <col min="257" max="257" width="0" style="32" hidden="1" customWidth="1"/>
    <col min="258" max="258" width="25.54296875" style="32" customWidth="1"/>
    <col min="259" max="261" width="11.453125" style="32" customWidth="1"/>
    <col min="262" max="262" width="13" style="32" customWidth="1"/>
    <col min="263" max="264" width="11.453125" style="32" customWidth="1"/>
    <col min="265" max="266" width="13.26953125" style="32" customWidth="1"/>
    <col min="267" max="512" width="8.7265625" style="32"/>
    <col min="513" max="513" width="0" style="32" hidden="1" customWidth="1"/>
    <col min="514" max="514" width="25.54296875" style="32" customWidth="1"/>
    <col min="515" max="517" width="11.453125" style="32" customWidth="1"/>
    <col min="518" max="518" width="13" style="32" customWidth="1"/>
    <col min="519" max="520" width="11.453125" style="32" customWidth="1"/>
    <col min="521" max="522" width="13.26953125" style="32" customWidth="1"/>
    <col min="523" max="768" width="8.7265625" style="32"/>
    <col min="769" max="769" width="0" style="32" hidden="1" customWidth="1"/>
    <col min="770" max="770" width="25.54296875" style="32" customWidth="1"/>
    <col min="771" max="773" width="11.453125" style="32" customWidth="1"/>
    <col min="774" max="774" width="13" style="32" customWidth="1"/>
    <col min="775" max="776" width="11.453125" style="32" customWidth="1"/>
    <col min="777" max="778" width="13.26953125" style="32" customWidth="1"/>
    <col min="779" max="1024" width="8.7265625" style="32"/>
    <col min="1025" max="1025" width="0" style="32" hidden="1" customWidth="1"/>
    <col min="1026" max="1026" width="25.54296875" style="32" customWidth="1"/>
    <col min="1027" max="1029" width="11.453125" style="32" customWidth="1"/>
    <col min="1030" max="1030" width="13" style="32" customWidth="1"/>
    <col min="1031" max="1032" width="11.453125" style="32" customWidth="1"/>
    <col min="1033" max="1034" width="13.26953125" style="32" customWidth="1"/>
    <col min="1035" max="1280" width="8.7265625" style="32"/>
    <col min="1281" max="1281" width="0" style="32" hidden="1" customWidth="1"/>
    <col min="1282" max="1282" width="25.54296875" style="32" customWidth="1"/>
    <col min="1283" max="1285" width="11.453125" style="32" customWidth="1"/>
    <col min="1286" max="1286" width="13" style="32" customWidth="1"/>
    <col min="1287" max="1288" width="11.453125" style="32" customWidth="1"/>
    <col min="1289" max="1290" width="13.26953125" style="32" customWidth="1"/>
    <col min="1291" max="1536" width="8.7265625" style="32"/>
    <col min="1537" max="1537" width="0" style="32" hidden="1" customWidth="1"/>
    <col min="1538" max="1538" width="25.54296875" style="32" customWidth="1"/>
    <col min="1539" max="1541" width="11.453125" style="32" customWidth="1"/>
    <col min="1542" max="1542" width="13" style="32" customWidth="1"/>
    <col min="1543" max="1544" width="11.453125" style="32" customWidth="1"/>
    <col min="1545" max="1546" width="13.26953125" style="32" customWidth="1"/>
    <col min="1547" max="1792" width="8.7265625" style="32"/>
    <col min="1793" max="1793" width="0" style="32" hidden="1" customWidth="1"/>
    <col min="1794" max="1794" width="25.54296875" style="32" customWidth="1"/>
    <col min="1795" max="1797" width="11.453125" style="32" customWidth="1"/>
    <col min="1798" max="1798" width="13" style="32" customWidth="1"/>
    <col min="1799" max="1800" width="11.453125" style="32" customWidth="1"/>
    <col min="1801" max="1802" width="13.26953125" style="32" customWidth="1"/>
    <col min="1803" max="2048" width="8.7265625" style="32"/>
    <col min="2049" max="2049" width="0" style="32" hidden="1" customWidth="1"/>
    <col min="2050" max="2050" width="25.54296875" style="32" customWidth="1"/>
    <col min="2051" max="2053" width="11.453125" style="32" customWidth="1"/>
    <col min="2054" max="2054" width="13" style="32" customWidth="1"/>
    <col min="2055" max="2056" width="11.453125" style="32" customWidth="1"/>
    <col min="2057" max="2058" width="13.26953125" style="32" customWidth="1"/>
    <col min="2059" max="2304" width="8.7265625" style="32"/>
    <col min="2305" max="2305" width="0" style="32" hidden="1" customWidth="1"/>
    <col min="2306" max="2306" width="25.54296875" style="32" customWidth="1"/>
    <col min="2307" max="2309" width="11.453125" style="32" customWidth="1"/>
    <col min="2310" max="2310" width="13" style="32" customWidth="1"/>
    <col min="2311" max="2312" width="11.453125" style="32" customWidth="1"/>
    <col min="2313" max="2314" width="13.26953125" style="32" customWidth="1"/>
    <col min="2315" max="2560" width="8.7265625" style="32"/>
    <col min="2561" max="2561" width="0" style="32" hidden="1" customWidth="1"/>
    <col min="2562" max="2562" width="25.54296875" style="32" customWidth="1"/>
    <col min="2563" max="2565" width="11.453125" style="32" customWidth="1"/>
    <col min="2566" max="2566" width="13" style="32" customWidth="1"/>
    <col min="2567" max="2568" width="11.453125" style="32" customWidth="1"/>
    <col min="2569" max="2570" width="13.26953125" style="32" customWidth="1"/>
    <col min="2571" max="2816" width="8.7265625" style="32"/>
    <col min="2817" max="2817" width="0" style="32" hidden="1" customWidth="1"/>
    <col min="2818" max="2818" width="25.54296875" style="32" customWidth="1"/>
    <col min="2819" max="2821" width="11.453125" style="32" customWidth="1"/>
    <col min="2822" max="2822" width="13" style="32" customWidth="1"/>
    <col min="2823" max="2824" width="11.453125" style="32" customWidth="1"/>
    <col min="2825" max="2826" width="13.26953125" style="32" customWidth="1"/>
    <col min="2827" max="3072" width="8.7265625" style="32"/>
    <col min="3073" max="3073" width="0" style="32" hidden="1" customWidth="1"/>
    <col min="3074" max="3074" width="25.54296875" style="32" customWidth="1"/>
    <col min="3075" max="3077" width="11.453125" style="32" customWidth="1"/>
    <col min="3078" max="3078" width="13" style="32" customWidth="1"/>
    <col min="3079" max="3080" width="11.453125" style="32" customWidth="1"/>
    <col min="3081" max="3082" width="13.26953125" style="32" customWidth="1"/>
    <col min="3083" max="3328" width="8.7265625" style="32"/>
    <col min="3329" max="3329" width="0" style="32" hidden="1" customWidth="1"/>
    <col min="3330" max="3330" width="25.54296875" style="32" customWidth="1"/>
    <col min="3331" max="3333" width="11.453125" style="32" customWidth="1"/>
    <col min="3334" max="3334" width="13" style="32" customWidth="1"/>
    <col min="3335" max="3336" width="11.453125" style="32" customWidth="1"/>
    <col min="3337" max="3338" width="13.26953125" style="32" customWidth="1"/>
    <col min="3339" max="3584" width="8.7265625" style="32"/>
    <col min="3585" max="3585" width="0" style="32" hidden="1" customWidth="1"/>
    <col min="3586" max="3586" width="25.54296875" style="32" customWidth="1"/>
    <col min="3587" max="3589" width="11.453125" style="32" customWidth="1"/>
    <col min="3590" max="3590" width="13" style="32" customWidth="1"/>
    <col min="3591" max="3592" width="11.453125" style="32" customWidth="1"/>
    <col min="3593" max="3594" width="13.26953125" style="32" customWidth="1"/>
    <col min="3595" max="3840" width="8.7265625" style="32"/>
    <col min="3841" max="3841" width="0" style="32" hidden="1" customWidth="1"/>
    <col min="3842" max="3842" width="25.54296875" style="32" customWidth="1"/>
    <col min="3843" max="3845" width="11.453125" style="32" customWidth="1"/>
    <col min="3846" max="3846" width="13" style="32" customWidth="1"/>
    <col min="3847" max="3848" width="11.453125" style="32" customWidth="1"/>
    <col min="3849" max="3850" width="13.26953125" style="32" customWidth="1"/>
    <col min="3851" max="4096" width="8.7265625" style="32"/>
    <col min="4097" max="4097" width="0" style="32" hidden="1" customWidth="1"/>
    <col min="4098" max="4098" width="25.54296875" style="32" customWidth="1"/>
    <col min="4099" max="4101" width="11.453125" style="32" customWidth="1"/>
    <col min="4102" max="4102" width="13" style="32" customWidth="1"/>
    <col min="4103" max="4104" width="11.453125" style="32" customWidth="1"/>
    <col min="4105" max="4106" width="13.26953125" style="32" customWidth="1"/>
    <col min="4107" max="4352" width="8.7265625" style="32"/>
    <col min="4353" max="4353" width="0" style="32" hidden="1" customWidth="1"/>
    <col min="4354" max="4354" width="25.54296875" style="32" customWidth="1"/>
    <col min="4355" max="4357" width="11.453125" style="32" customWidth="1"/>
    <col min="4358" max="4358" width="13" style="32" customWidth="1"/>
    <col min="4359" max="4360" width="11.453125" style="32" customWidth="1"/>
    <col min="4361" max="4362" width="13.26953125" style="32" customWidth="1"/>
    <col min="4363" max="4608" width="8.7265625" style="32"/>
    <col min="4609" max="4609" width="0" style="32" hidden="1" customWidth="1"/>
    <col min="4610" max="4610" width="25.54296875" style="32" customWidth="1"/>
    <col min="4611" max="4613" width="11.453125" style="32" customWidth="1"/>
    <col min="4614" max="4614" width="13" style="32" customWidth="1"/>
    <col min="4615" max="4616" width="11.453125" style="32" customWidth="1"/>
    <col min="4617" max="4618" width="13.26953125" style="32" customWidth="1"/>
    <col min="4619" max="4864" width="8.7265625" style="32"/>
    <col min="4865" max="4865" width="0" style="32" hidden="1" customWidth="1"/>
    <col min="4866" max="4866" width="25.54296875" style="32" customWidth="1"/>
    <col min="4867" max="4869" width="11.453125" style="32" customWidth="1"/>
    <col min="4870" max="4870" width="13" style="32" customWidth="1"/>
    <col min="4871" max="4872" width="11.453125" style="32" customWidth="1"/>
    <col min="4873" max="4874" width="13.26953125" style="32" customWidth="1"/>
    <col min="4875" max="5120" width="8.7265625" style="32"/>
    <col min="5121" max="5121" width="0" style="32" hidden="1" customWidth="1"/>
    <col min="5122" max="5122" width="25.54296875" style="32" customWidth="1"/>
    <col min="5123" max="5125" width="11.453125" style="32" customWidth="1"/>
    <col min="5126" max="5126" width="13" style="32" customWidth="1"/>
    <col min="5127" max="5128" width="11.453125" style="32" customWidth="1"/>
    <col min="5129" max="5130" width="13.26953125" style="32" customWidth="1"/>
    <col min="5131" max="5376" width="8.7265625" style="32"/>
    <col min="5377" max="5377" width="0" style="32" hidden="1" customWidth="1"/>
    <col min="5378" max="5378" width="25.54296875" style="32" customWidth="1"/>
    <col min="5379" max="5381" width="11.453125" style="32" customWidth="1"/>
    <col min="5382" max="5382" width="13" style="32" customWidth="1"/>
    <col min="5383" max="5384" width="11.453125" style="32" customWidth="1"/>
    <col min="5385" max="5386" width="13.26953125" style="32" customWidth="1"/>
    <col min="5387" max="5632" width="8.7265625" style="32"/>
    <col min="5633" max="5633" width="0" style="32" hidden="1" customWidth="1"/>
    <col min="5634" max="5634" width="25.54296875" style="32" customWidth="1"/>
    <col min="5635" max="5637" width="11.453125" style="32" customWidth="1"/>
    <col min="5638" max="5638" width="13" style="32" customWidth="1"/>
    <col min="5639" max="5640" width="11.453125" style="32" customWidth="1"/>
    <col min="5641" max="5642" width="13.26953125" style="32" customWidth="1"/>
    <col min="5643" max="5888" width="8.7265625" style="32"/>
    <col min="5889" max="5889" width="0" style="32" hidden="1" customWidth="1"/>
    <col min="5890" max="5890" width="25.54296875" style="32" customWidth="1"/>
    <col min="5891" max="5893" width="11.453125" style="32" customWidth="1"/>
    <col min="5894" max="5894" width="13" style="32" customWidth="1"/>
    <col min="5895" max="5896" width="11.453125" style="32" customWidth="1"/>
    <col min="5897" max="5898" width="13.26953125" style="32" customWidth="1"/>
    <col min="5899" max="6144" width="8.7265625" style="32"/>
    <col min="6145" max="6145" width="0" style="32" hidden="1" customWidth="1"/>
    <col min="6146" max="6146" width="25.54296875" style="32" customWidth="1"/>
    <col min="6147" max="6149" width="11.453125" style="32" customWidth="1"/>
    <col min="6150" max="6150" width="13" style="32" customWidth="1"/>
    <col min="6151" max="6152" width="11.453125" style="32" customWidth="1"/>
    <col min="6153" max="6154" width="13.26953125" style="32" customWidth="1"/>
    <col min="6155" max="6400" width="8.7265625" style="32"/>
    <col min="6401" max="6401" width="0" style="32" hidden="1" customWidth="1"/>
    <col min="6402" max="6402" width="25.54296875" style="32" customWidth="1"/>
    <col min="6403" max="6405" width="11.453125" style="32" customWidth="1"/>
    <col min="6406" max="6406" width="13" style="32" customWidth="1"/>
    <col min="6407" max="6408" width="11.453125" style="32" customWidth="1"/>
    <col min="6409" max="6410" width="13.26953125" style="32" customWidth="1"/>
    <col min="6411" max="6656" width="8.7265625" style="32"/>
    <col min="6657" max="6657" width="0" style="32" hidden="1" customWidth="1"/>
    <col min="6658" max="6658" width="25.54296875" style="32" customWidth="1"/>
    <col min="6659" max="6661" width="11.453125" style="32" customWidth="1"/>
    <col min="6662" max="6662" width="13" style="32" customWidth="1"/>
    <col min="6663" max="6664" width="11.453125" style="32" customWidth="1"/>
    <col min="6665" max="6666" width="13.26953125" style="32" customWidth="1"/>
    <col min="6667" max="6912" width="8.7265625" style="32"/>
    <col min="6913" max="6913" width="0" style="32" hidden="1" customWidth="1"/>
    <col min="6914" max="6914" width="25.54296875" style="32" customWidth="1"/>
    <col min="6915" max="6917" width="11.453125" style="32" customWidth="1"/>
    <col min="6918" max="6918" width="13" style="32" customWidth="1"/>
    <col min="6919" max="6920" width="11.453125" style="32" customWidth="1"/>
    <col min="6921" max="6922" width="13.26953125" style="32" customWidth="1"/>
    <col min="6923" max="7168" width="8.7265625" style="32"/>
    <col min="7169" max="7169" width="0" style="32" hidden="1" customWidth="1"/>
    <col min="7170" max="7170" width="25.54296875" style="32" customWidth="1"/>
    <col min="7171" max="7173" width="11.453125" style="32" customWidth="1"/>
    <col min="7174" max="7174" width="13" style="32" customWidth="1"/>
    <col min="7175" max="7176" width="11.453125" style="32" customWidth="1"/>
    <col min="7177" max="7178" width="13.26953125" style="32" customWidth="1"/>
    <col min="7179" max="7424" width="8.7265625" style="32"/>
    <col min="7425" max="7425" width="0" style="32" hidden="1" customWidth="1"/>
    <col min="7426" max="7426" width="25.54296875" style="32" customWidth="1"/>
    <col min="7427" max="7429" width="11.453125" style="32" customWidth="1"/>
    <col min="7430" max="7430" width="13" style="32" customWidth="1"/>
    <col min="7431" max="7432" width="11.453125" style="32" customWidth="1"/>
    <col min="7433" max="7434" width="13.26953125" style="32" customWidth="1"/>
    <col min="7435" max="7680" width="8.7265625" style="32"/>
    <col min="7681" max="7681" width="0" style="32" hidden="1" customWidth="1"/>
    <col min="7682" max="7682" width="25.54296875" style="32" customWidth="1"/>
    <col min="7683" max="7685" width="11.453125" style="32" customWidth="1"/>
    <col min="7686" max="7686" width="13" style="32" customWidth="1"/>
    <col min="7687" max="7688" width="11.453125" style="32" customWidth="1"/>
    <col min="7689" max="7690" width="13.26953125" style="32" customWidth="1"/>
    <col min="7691" max="7936" width="8.7265625" style="32"/>
    <col min="7937" max="7937" width="0" style="32" hidden="1" customWidth="1"/>
    <col min="7938" max="7938" width="25.54296875" style="32" customWidth="1"/>
    <col min="7939" max="7941" width="11.453125" style="32" customWidth="1"/>
    <col min="7942" max="7942" width="13" style="32" customWidth="1"/>
    <col min="7943" max="7944" width="11.453125" style="32" customWidth="1"/>
    <col min="7945" max="7946" width="13.26953125" style="32" customWidth="1"/>
    <col min="7947" max="8192" width="8.7265625" style="32"/>
    <col min="8193" max="8193" width="0" style="32" hidden="1" customWidth="1"/>
    <col min="8194" max="8194" width="25.54296875" style="32" customWidth="1"/>
    <col min="8195" max="8197" width="11.453125" style="32" customWidth="1"/>
    <col min="8198" max="8198" width="13" style="32" customWidth="1"/>
    <col min="8199" max="8200" width="11.453125" style="32" customWidth="1"/>
    <col min="8201" max="8202" width="13.26953125" style="32" customWidth="1"/>
    <col min="8203" max="8448" width="8.7265625" style="32"/>
    <col min="8449" max="8449" width="0" style="32" hidden="1" customWidth="1"/>
    <col min="8450" max="8450" width="25.54296875" style="32" customWidth="1"/>
    <col min="8451" max="8453" width="11.453125" style="32" customWidth="1"/>
    <col min="8454" max="8454" width="13" style="32" customWidth="1"/>
    <col min="8455" max="8456" width="11.453125" style="32" customWidth="1"/>
    <col min="8457" max="8458" width="13.26953125" style="32" customWidth="1"/>
    <col min="8459" max="8704" width="8.7265625" style="32"/>
    <col min="8705" max="8705" width="0" style="32" hidden="1" customWidth="1"/>
    <col min="8706" max="8706" width="25.54296875" style="32" customWidth="1"/>
    <col min="8707" max="8709" width="11.453125" style="32" customWidth="1"/>
    <col min="8710" max="8710" width="13" style="32" customWidth="1"/>
    <col min="8711" max="8712" width="11.453125" style="32" customWidth="1"/>
    <col min="8713" max="8714" width="13.26953125" style="32" customWidth="1"/>
    <col min="8715" max="8960" width="8.7265625" style="32"/>
    <col min="8961" max="8961" width="0" style="32" hidden="1" customWidth="1"/>
    <col min="8962" max="8962" width="25.54296875" style="32" customWidth="1"/>
    <col min="8963" max="8965" width="11.453125" style="32" customWidth="1"/>
    <col min="8966" max="8966" width="13" style="32" customWidth="1"/>
    <col min="8967" max="8968" width="11.453125" style="32" customWidth="1"/>
    <col min="8969" max="8970" width="13.26953125" style="32" customWidth="1"/>
    <col min="8971" max="9216" width="8.7265625" style="32"/>
    <col min="9217" max="9217" width="0" style="32" hidden="1" customWidth="1"/>
    <col min="9218" max="9218" width="25.54296875" style="32" customWidth="1"/>
    <col min="9219" max="9221" width="11.453125" style="32" customWidth="1"/>
    <col min="9222" max="9222" width="13" style="32" customWidth="1"/>
    <col min="9223" max="9224" width="11.453125" style="32" customWidth="1"/>
    <col min="9225" max="9226" width="13.26953125" style="32" customWidth="1"/>
    <col min="9227" max="9472" width="8.7265625" style="32"/>
    <col min="9473" max="9473" width="0" style="32" hidden="1" customWidth="1"/>
    <col min="9474" max="9474" width="25.54296875" style="32" customWidth="1"/>
    <col min="9475" max="9477" width="11.453125" style="32" customWidth="1"/>
    <col min="9478" max="9478" width="13" style="32" customWidth="1"/>
    <col min="9479" max="9480" width="11.453125" style="32" customWidth="1"/>
    <col min="9481" max="9482" width="13.26953125" style="32" customWidth="1"/>
    <col min="9483" max="9728" width="8.7265625" style="32"/>
    <col min="9729" max="9729" width="0" style="32" hidden="1" customWidth="1"/>
    <col min="9730" max="9730" width="25.54296875" style="32" customWidth="1"/>
    <col min="9731" max="9733" width="11.453125" style="32" customWidth="1"/>
    <col min="9734" max="9734" width="13" style="32" customWidth="1"/>
    <col min="9735" max="9736" width="11.453125" style="32" customWidth="1"/>
    <col min="9737" max="9738" width="13.26953125" style="32" customWidth="1"/>
    <col min="9739" max="9984" width="8.7265625" style="32"/>
    <col min="9985" max="9985" width="0" style="32" hidden="1" customWidth="1"/>
    <col min="9986" max="9986" width="25.54296875" style="32" customWidth="1"/>
    <col min="9987" max="9989" width="11.453125" style="32" customWidth="1"/>
    <col min="9990" max="9990" width="13" style="32" customWidth="1"/>
    <col min="9991" max="9992" width="11.453125" style="32" customWidth="1"/>
    <col min="9993" max="9994" width="13.26953125" style="32" customWidth="1"/>
    <col min="9995" max="10240" width="8.7265625" style="32"/>
    <col min="10241" max="10241" width="0" style="32" hidden="1" customWidth="1"/>
    <col min="10242" max="10242" width="25.54296875" style="32" customWidth="1"/>
    <col min="10243" max="10245" width="11.453125" style="32" customWidth="1"/>
    <col min="10246" max="10246" width="13" style="32" customWidth="1"/>
    <col min="10247" max="10248" width="11.453125" style="32" customWidth="1"/>
    <col min="10249" max="10250" width="13.26953125" style="32" customWidth="1"/>
    <col min="10251" max="10496" width="8.7265625" style="32"/>
    <col min="10497" max="10497" width="0" style="32" hidden="1" customWidth="1"/>
    <col min="10498" max="10498" width="25.54296875" style="32" customWidth="1"/>
    <col min="10499" max="10501" width="11.453125" style="32" customWidth="1"/>
    <col min="10502" max="10502" width="13" style="32" customWidth="1"/>
    <col min="10503" max="10504" width="11.453125" style="32" customWidth="1"/>
    <col min="10505" max="10506" width="13.26953125" style="32" customWidth="1"/>
    <col min="10507" max="10752" width="8.7265625" style="32"/>
    <col min="10753" max="10753" width="0" style="32" hidden="1" customWidth="1"/>
    <col min="10754" max="10754" width="25.54296875" style="32" customWidth="1"/>
    <col min="10755" max="10757" width="11.453125" style="32" customWidth="1"/>
    <col min="10758" max="10758" width="13" style="32" customWidth="1"/>
    <col min="10759" max="10760" width="11.453125" style="32" customWidth="1"/>
    <col min="10761" max="10762" width="13.26953125" style="32" customWidth="1"/>
    <col min="10763" max="11008" width="8.7265625" style="32"/>
    <col min="11009" max="11009" width="0" style="32" hidden="1" customWidth="1"/>
    <col min="11010" max="11010" width="25.54296875" style="32" customWidth="1"/>
    <col min="11011" max="11013" width="11.453125" style="32" customWidth="1"/>
    <col min="11014" max="11014" width="13" style="32" customWidth="1"/>
    <col min="11015" max="11016" width="11.453125" style="32" customWidth="1"/>
    <col min="11017" max="11018" width="13.26953125" style="32" customWidth="1"/>
    <col min="11019" max="11264" width="8.7265625" style="32"/>
    <col min="11265" max="11265" width="0" style="32" hidden="1" customWidth="1"/>
    <col min="11266" max="11266" width="25.54296875" style="32" customWidth="1"/>
    <col min="11267" max="11269" width="11.453125" style="32" customWidth="1"/>
    <col min="11270" max="11270" width="13" style="32" customWidth="1"/>
    <col min="11271" max="11272" width="11.453125" style="32" customWidth="1"/>
    <col min="11273" max="11274" width="13.26953125" style="32" customWidth="1"/>
    <col min="11275" max="11520" width="8.7265625" style="32"/>
    <col min="11521" max="11521" width="0" style="32" hidden="1" customWidth="1"/>
    <col min="11522" max="11522" width="25.54296875" style="32" customWidth="1"/>
    <col min="11523" max="11525" width="11.453125" style="32" customWidth="1"/>
    <col min="11526" max="11526" width="13" style="32" customWidth="1"/>
    <col min="11527" max="11528" width="11.453125" style="32" customWidth="1"/>
    <col min="11529" max="11530" width="13.26953125" style="32" customWidth="1"/>
    <col min="11531" max="11776" width="8.7265625" style="32"/>
    <col min="11777" max="11777" width="0" style="32" hidden="1" customWidth="1"/>
    <col min="11778" max="11778" width="25.54296875" style="32" customWidth="1"/>
    <col min="11779" max="11781" width="11.453125" style="32" customWidth="1"/>
    <col min="11782" max="11782" width="13" style="32" customWidth="1"/>
    <col min="11783" max="11784" width="11.453125" style="32" customWidth="1"/>
    <col min="11785" max="11786" width="13.26953125" style="32" customWidth="1"/>
    <col min="11787" max="12032" width="8.7265625" style="32"/>
    <col min="12033" max="12033" width="0" style="32" hidden="1" customWidth="1"/>
    <col min="12034" max="12034" width="25.54296875" style="32" customWidth="1"/>
    <col min="12035" max="12037" width="11.453125" style="32" customWidth="1"/>
    <col min="12038" max="12038" width="13" style="32" customWidth="1"/>
    <col min="12039" max="12040" width="11.453125" style="32" customWidth="1"/>
    <col min="12041" max="12042" width="13.26953125" style="32" customWidth="1"/>
    <col min="12043" max="12288" width="8.7265625" style="32"/>
    <col min="12289" max="12289" width="0" style="32" hidden="1" customWidth="1"/>
    <col min="12290" max="12290" width="25.54296875" style="32" customWidth="1"/>
    <col min="12291" max="12293" width="11.453125" style="32" customWidth="1"/>
    <col min="12294" max="12294" width="13" style="32" customWidth="1"/>
    <col min="12295" max="12296" width="11.453125" style="32" customWidth="1"/>
    <col min="12297" max="12298" width="13.26953125" style="32" customWidth="1"/>
    <col min="12299" max="12544" width="8.7265625" style="32"/>
    <col min="12545" max="12545" width="0" style="32" hidden="1" customWidth="1"/>
    <col min="12546" max="12546" width="25.54296875" style="32" customWidth="1"/>
    <col min="12547" max="12549" width="11.453125" style="32" customWidth="1"/>
    <col min="12550" max="12550" width="13" style="32" customWidth="1"/>
    <col min="12551" max="12552" width="11.453125" style="32" customWidth="1"/>
    <col min="12553" max="12554" width="13.26953125" style="32" customWidth="1"/>
    <col min="12555" max="12800" width="8.7265625" style="32"/>
    <col min="12801" max="12801" width="0" style="32" hidden="1" customWidth="1"/>
    <col min="12802" max="12802" width="25.54296875" style="32" customWidth="1"/>
    <col min="12803" max="12805" width="11.453125" style="32" customWidth="1"/>
    <col min="12806" max="12806" width="13" style="32" customWidth="1"/>
    <col min="12807" max="12808" width="11.453125" style="32" customWidth="1"/>
    <col min="12809" max="12810" width="13.26953125" style="32" customWidth="1"/>
    <col min="12811" max="13056" width="8.7265625" style="32"/>
    <col min="13057" max="13057" width="0" style="32" hidden="1" customWidth="1"/>
    <col min="13058" max="13058" width="25.54296875" style="32" customWidth="1"/>
    <col min="13059" max="13061" width="11.453125" style="32" customWidth="1"/>
    <col min="13062" max="13062" width="13" style="32" customWidth="1"/>
    <col min="13063" max="13064" width="11.453125" style="32" customWidth="1"/>
    <col min="13065" max="13066" width="13.26953125" style="32" customWidth="1"/>
    <col min="13067" max="13312" width="8.7265625" style="32"/>
    <col min="13313" max="13313" width="0" style="32" hidden="1" customWidth="1"/>
    <col min="13314" max="13314" width="25.54296875" style="32" customWidth="1"/>
    <col min="13315" max="13317" width="11.453125" style="32" customWidth="1"/>
    <col min="13318" max="13318" width="13" style="32" customWidth="1"/>
    <col min="13319" max="13320" width="11.453125" style="32" customWidth="1"/>
    <col min="13321" max="13322" width="13.26953125" style="32" customWidth="1"/>
    <col min="13323" max="13568" width="8.7265625" style="32"/>
    <col min="13569" max="13569" width="0" style="32" hidden="1" customWidth="1"/>
    <col min="13570" max="13570" width="25.54296875" style="32" customWidth="1"/>
    <col min="13571" max="13573" width="11.453125" style="32" customWidth="1"/>
    <col min="13574" max="13574" width="13" style="32" customWidth="1"/>
    <col min="13575" max="13576" width="11.453125" style="32" customWidth="1"/>
    <col min="13577" max="13578" width="13.26953125" style="32" customWidth="1"/>
    <col min="13579" max="13824" width="8.7265625" style="32"/>
    <col min="13825" max="13825" width="0" style="32" hidden="1" customWidth="1"/>
    <col min="13826" max="13826" width="25.54296875" style="32" customWidth="1"/>
    <col min="13827" max="13829" width="11.453125" style="32" customWidth="1"/>
    <col min="13830" max="13830" width="13" style="32" customWidth="1"/>
    <col min="13831" max="13832" width="11.453125" style="32" customWidth="1"/>
    <col min="13833" max="13834" width="13.26953125" style="32" customWidth="1"/>
    <col min="13835" max="14080" width="8.7265625" style="32"/>
    <col min="14081" max="14081" width="0" style="32" hidden="1" customWidth="1"/>
    <col min="14082" max="14082" width="25.54296875" style="32" customWidth="1"/>
    <col min="14083" max="14085" width="11.453125" style="32" customWidth="1"/>
    <col min="14086" max="14086" width="13" style="32" customWidth="1"/>
    <col min="14087" max="14088" width="11.453125" style="32" customWidth="1"/>
    <col min="14089" max="14090" width="13.26953125" style="32" customWidth="1"/>
    <col min="14091" max="14336" width="8.7265625" style="32"/>
    <col min="14337" max="14337" width="0" style="32" hidden="1" customWidth="1"/>
    <col min="14338" max="14338" width="25.54296875" style="32" customWidth="1"/>
    <col min="14339" max="14341" width="11.453125" style="32" customWidth="1"/>
    <col min="14342" max="14342" width="13" style="32" customWidth="1"/>
    <col min="14343" max="14344" width="11.453125" style="32" customWidth="1"/>
    <col min="14345" max="14346" width="13.26953125" style="32" customWidth="1"/>
    <col min="14347" max="14592" width="8.7265625" style="32"/>
    <col min="14593" max="14593" width="0" style="32" hidden="1" customWidth="1"/>
    <col min="14594" max="14594" width="25.54296875" style="32" customWidth="1"/>
    <col min="14595" max="14597" width="11.453125" style="32" customWidth="1"/>
    <col min="14598" max="14598" width="13" style="32" customWidth="1"/>
    <col min="14599" max="14600" width="11.453125" style="32" customWidth="1"/>
    <col min="14601" max="14602" width="13.26953125" style="32" customWidth="1"/>
    <col min="14603" max="14848" width="8.7265625" style="32"/>
    <col min="14849" max="14849" width="0" style="32" hidden="1" customWidth="1"/>
    <col min="14850" max="14850" width="25.54296875" style="32" customWidth="1"/>
    <col min="14851" max="14853" width="11.453125" style="32" customWidth="1"/>
    <col min="14854" max="14854" width="13" style="32" customWidth="1"/>
    <col min="14855" max="14856" width="11.453125" style="32" customWidth="1"/>
    <col min="14857" max="14858" width="13.26953125" style="32" customWidth="1"/>
    <col min="14859" max="15104" width="8.7265625" style="32"/>
    <col min="15105" max="15105" width="0" style="32" hidden="1" customWidth="1"/>
    <col min="15106" max="15106" width="25.54296875" style="32" customWidth="1"/>
    <col min="15107" max="15109" width="11.453125" style="32" customWidth="1"/>
    <col min="15110" max="15110" width="13" style="32" customWidth="1"/>
    <col min="15111" max="15112" width="11.453125" style="32" customWidth="1"/>
    <col min="15113" max="15114" width="13.26953125" style="32" customWidth="1"/>
    <col min="15115" max="15360" width="8.7265625" style="32"/>
    <col min="15361" max="15361" width="0" style="32" hidden="1" customWidth="1"/>
    <col min="15362" max="15362" width="25.54296875" style="32" customWidth="1"/>
    <col min="15363" max="15365" width="11.453125" style="32" customWidth="1"/>
    <col min="15366" max="15366" width="13" style="32" customWidth="1"/>
    <col min="15367" max="15368" width="11.453125" style="32" customWidth="1"/>
    <col min="15369" max="15370" width="13.26953125" style="32" customWidth="1"/>
    <col min="15371" max="15616" width="8.7265625" style="32"/>
    <col min="15617" max="15617" width="0" style="32" hidden="1" customWidth="1"/>
    <col min="15618" max="15618" width="25.54296875" style="32" customWidth="1"/>
    <col min="15619" max="15621" width="11.453125" style="32" customWidth="1"/>
    <col min="15622" max="15622" width="13" style="32" customWidth="1"/>
    <col min="15623" max="15624" width="11.453125" style="32" customWidth="1"/>
    <col min="15625" max="15626" width="13.26953125" style="32" customWidth="1"/>
    <col min="15627" max="15872" width="8.7265625" style="32"/>
    <col min="15873" max="15873" width="0" style="32" hidden="1" customWidth="1"/>
    <col min="15874" max="15874" width="25.54296875" style="32" customWidth="1"/>
    <col min="15875" max="15877" width="11.453125" style="32" customWidth="1"/>
    <col min="15878" max="15878" width="13" style="32" customWidth="1"/>
    <col min="15879" max="15880" width="11.453125" style="32" customWidth="1"/>
    <col min="15881" max="15882" width="13.26953125" style="32" customWidth="1"/>
    <col min="15883" max="16128" width="8.7265625" style="32"/>
    <col min="16129" max="16129" width="0" style="32" hidden="1" customWidth="1"/>
    <col min="16130" max="16130" width="25.54296875" style="32" customWidth="1"/>
    <col min="16131" max="16133" width="11.453125" style="32" customWidth="1"/>
    <col min="16134" max="16134" width="13" style="32" customWidth="1"/>
    <col min="16135" max="16136" width="11.453125" style="32" customWidth="1"/>
    <col min="16137" max="16138" width="13.26953125" style="32" customWidth="1"/>
    <col min="16139" max="16384" width="8.7265625" style="32"/>
  </cols>
  <sheetData>
    <row r="1" spans="1:20" ht="40.5" customHeight="1" x14ac:dyDescent="0.3">
      <c r="B1" s="128" t="s">
        <v>125</v>
      </c>
      <c r="C1" s="129"/>
      <c r="D1" s="129"/>
      <c r="E1" s="129"/>
      <c r="F1" s="129"/>
      <c r="G1" s="129"/>
      <c r="H1" s="129"/>
      <c r="I1" s="129"/>
      <c r="J1" s="130"/>
    </row>
    <row r="2" spans="1:20" s="33" customFormat="1" ht="60.75" customHeight="1" x14ac:dyDescent="0.3">
      <c r="B2" s="120"/>
      <c r="C2" s="122" t="s">
        <v>67</v>
      </c>
      <c r="D2" s="131"/>
      <c r="E2" s="132" t="s">
        <v>68</v>
      </c>
      <c r="F2" s="132"/>
      <c r="G2" s="132" t="s">
        <v>69</v>
      </c>
      <c r="H2" s="132"/>
      <c r="I2" s="122" t="s">
        <v>70</v>
      </c>
      <c r="J2" s="131"/>
      <c r="K2" s="32"/>
    </row>
    <row r="3" spans="1:20" s="33" customFormat="1" ht="24" customHeight="1" x14ac:dyDescent="0.35">
      <c r="B3" s="121"/>
      <c r="C3" s="34" t="s">
        <v>71</v>
      </c>
      <c r="D3" s="35" t="s">
        <v>72</v>
      </c>
      <c r="E3" s="34" t="s">
        <v>71</v>
      </c>
      <c r="F3" s="35" t="s">
        <v>72</v>
      </c>
      <c r="G3" s="34" t="s">
        <v>71</v>
      </c>
      <c r="H3" s="35" t="s">
        <v>72</v>
      </c>
      <c r="I3" s="34" t="s">
        <v>71</v>
      </c>
      <c r="J3" s="35" t="s">
        <v>72</v>
      </c>
    </row>
    <row r="4" spans="1:20" s="33" customFormat="1" ht="24" hidden="1" customHeight="1" x14ac:dyDescent="0.35">
      <c r="C4" s="36" t="s">
        <v>73</v>
      </c>
      <c r="D4" s="36" t="s">
        <v>73</v>
      </c>
      <c r="E4" s="37" t="s">
        <v>74</v>
      </c>
      <c r="F4" s="37" t="s">
        <v>74</v>
      </c>
      <c r="G4" s="37" t="s">
        <v>75</v>
      </c>
      <c r="H4" s="37" t="s">
        <v>75</v>
      </c>
      <c r="I4" s="36" t="s">
        <v>76</v>
      </c>
      <c r="J4" s="36" t="s">
        <v>76</v>
      </c>
    </row>
    <row r="5" spans="1:20" s="33" customFormat="1" ht="24" hidden="1" customHeight="1" x14ac:dyDescent="0.35">
      <c r="C5" s="36" t="s">
        <v>71</v>
      </c>
      <c r="D5" s="37" t="s">
        <v>72</v>
      </c>
      <c r="E5" s="36" t="s">
        <v>71</v>
      </c>
      <c r="F5" s="37" t="s">
        <v>72</v>
      </c>
      <c r="G5" s="36" t="s">
        <v>71</v>
      </c>
      <c r="H5" s="37" t="s">
        <v>72</v>
      </c>
      <c r="I5" s="36" t="s">
        <v>71</v>
      </c>
      <c r="J5" s="37" t="s">
        <v>72</v>
      </c>
    </row>
    <row r="6" spans="1:20" s="33" customFormat="1" ht="25.5" customHeight="1" x14ac:dyDescent="0.35">
      <c r="B6" s="38" t="s">
        <v>0</v>
      </c>
      <c r="C6" s="39">
        <f>C7+C48</f>
        <v>576040</v>
      </c>
      <c r="D6" s="39">
        <f t="shared" ref="D6:J6" si="0">D7+D48</f>
        <v>994228.81722457125</v>
      </c>
      <c r="E6" s="39">
        <f t="shared" si="0"/>
        <v>311588</v>
      </c>
      <c r="F6" s="39">
        <f t="shared" si="0"/>
        <v>499376.53</v>
      </c>
      <c r="G6" s="39">
        <f t="shared" si="0"/>
        <v>142043</v>
      </c>
      <c r="H6" s="39">
        <f t="shared" si="0"/>
        <v>302001.96999999997</v>
      </c>
      <c r="I6" s="39">
        <f t="shared" si="0"/>
        <v>24284</v>
      </c>
      <c r="J6" s="39">
        <f t="shared" si="0"/>
        <v>23887.84</v>
      </c>
      <c r="L6" s="40"/>
      <c r="M6" s="40"/>
      <c r="N6" s="41"/>
      <c r="O6" s="41"/>
      <c r="P6" s="41"/>
      <c r="Q6" s="41"/>
      <c r="R6" s="41"/>
      <c r="S6" s="41"/>
      <c r="T6" s="41"/>
    </row>
    <row r="7" spans="1:20" s="38" customFormat="1" ht="26.25" customHeight="1" x14ac:dyDescent="0.35">
      <c r="A7" s="28"/>
      <c r="B7" s="38" t="s">
        <v>52</v>
      </c>
      <c r="C7" s="42">
        <f>SUM(C8:C47)</f>
        <v>309962</v>
      </c>
      <c r="D7" s="115">
        <f>SUM(D8:D47)+'2017-18_working'!D71</f>
        <v>468589.31722457119</v>
      </c>
      <c r="E7" s="42">
        <f t="shared" ref="E7:J7" si="1">SUM(E8:E47)</f>
        <v>192078</v>
      </c>
      <c r="F7" s="42">
        <f t="shared" si="1"/>
        <v>256672.53000000003</v>
      </c>
      <c r="G7" s="42">
        <f t="shared" si="1"/>
        <v>63484</v>
      </c>
      <c r="H7" s="42">
        <f t="shared" si="1"/>
        <v>107296.97</v>
      </c>
      <c r="I7" s="42">
        <f t="shared" si="1"/>
        <v>17350</v>
      </c>
      <c r="J7" s="42">
        <f t="shared" si="1"/>
        <v>22551.84</v>
      </c>
      <c r="L7" s="41"/>
      <c r="M7" s="41"/>
      <c r="N7" s="41"/>
      <c r="O7" s="41"/>
      <c r="P7" s="41"/>
      <c r="Q7" s="41"/>
      <c r="R7" s="41"/>
      <c r="S7" s="41"/>
    </row>
    <row r="8" spans="1:20" s="33" customFormat="1" ht="12.5" x14ac:dyDescent="0.35">
      <c r="A8" s="29">
        <v>51</v>
      </c>
      <c r="B8" s="33" t="s">
        <v>5</v>
      </c>
      <c r="C8" s="43">
        <v>8402</v>
      </c>
      <c r="D8" s="43">
        <v>9140</v>
      </c>
      <c r="E8" s="43">
        <v>5426</v>
      </c>
      <c r="F8" s="43">
        <v>6078</v>
      </c>
      <c r="G8" s="43">
        <v>3299</v>
      </c>
      <c r="H8" s="43">
        <v>3604</v>
      </c>
      <c r="I8" s="43">
        <v>1094</v>
      </c>
      <c r="J8" s="43">
        <v>549</v>
      </c>
      <c r="L8" s="41"/>
      <c r="M8" s="41"/>
      <c r="N8" s="41"/>
      <c r="O8" s="41"/>
      <c r="P8" s="41"/>
      <c r="Q8" s="41"/>
      <c r="R8" s="41"/>
      <c r="S8" s="41"/>
    </row>
    <row r="9" spans="1:20" s="33" customFormat="1" ht="12.5" x14ac:dyDescent="0.35">
      <c r="A9" s="29">
        <v>52</v>
      </c>
      <c r="B9" s="33" t="s">
        <v>6</v>
      </c>
      <c r="C9" s="43">
        <v>2101</v>
      </c>
      <c r="D9" s="43">
        <v>3089</v>
      </c>
      <c r="E9" s="43">
        <v>938</v>
      </c>
      <c r="F9" s="43">
        <v>1668</v>
      </c>
      <c r="G9" s="43" t="s">
        <v>77</v>
      </c>
      <c r="H9" s="43" t="s">
        <v>77</v>
      </c>
      <c r="I9" s="43">
        <v>738</v>
      </c>
      <c r="J9" s="114" t="s">
        <v>77</v>
      </c>
      <c r="L9" s="41"/>
      <c r="M9" s="41"/>
      <c r="N9" s="41"/>
      <c r="O9" s="41"/>
      <c r="P9" s="41"/>
      <c r="Q9" s="41"/>
      <c r="R9" s="41"/>
      <c r="S9" s="41"/>
    </row>
    <row r="10" spans="1:20" s="33" customFormat="1" ht="13.5" customHeight="1" x14ac:dyDescent="0.35">
      <c r="A10" s="29">
        <v>86</v>
      </c>
      <c r="B10" s="33" t="s">
        <v>7</v>
      </c>
      <c r="C10" s="43">
        <v>9203</v>
      </c>
      <c r="D10" s="43">
        <v>10580</v>
      </c>
      <c r="E10" s="43">
        <v>6556</v>
      </c>
      <c r="F10" s="43">
        <v>7512</v>
      </c>
      <c r="G10" s="43">
        <v>2117</v>
      </c>
      <c r="H10" s="43">
        <v>2433</v>
      </c>
      <c r="I10" s="43">
        <v>0</v>
      </c>
      <c r="J10" s="43">
        <v>0</v>
      </c>
      <c r="L10" s="41"/>
      <c r="M10" s="41"/>
      <c r="N10" s="41"/>
      <c r="O10" s="41"/>
      <c r="P10" s="41"/>
      <c r="Q10" s="41"/>
      <c r="R10" s="41"/>
      <c r="S10" s="41"/>
    </row>
    <row r="11" spans="1:20" s="33" customFormat="1" ht="12.5" x14ac:dyDescent="0.35">
      <c r="A11" s="29">
        <v>53</v>
      </c>
      <c r="B11" s="33" t="s">
        <v>8</v>
      </c>
      <c r="C11" s="43">
        <v>3171</v>
      </c>
      <c r="D11" s="43">
        <v>1754</v>
      </c>
      <c r="E11" s="43">
        <v>1104</v>
      </c>
      <c r="F11" s="43">
        <v>1010</v>
      </c>
      <c r="G11" s="43">
        <v>399</v>
      </c>
      <c r="H11" s="43">
        <v>234</v>
      </c>
      <c r="I11" s="43">
        <v>0</v>
      </c>
      <c r="J11" s="43">
        <v>0</v>
      </c>
      <c r="L11" s="41"/>
      <c r="M11" s="41"/>
      <c r="N11" s="41"/>
      <c r="O11" s="41"/>
      <c r="P11" s="41"/>
      <c r="Q11" s="41"/>
      <c r="R11" s="41"/>
      <c r="S11" s="41"/>
    </row>
    <row r="12" spans="1:20" s="33" customFormat="1" ht="12.5" x14ac:dyDescent="0.35">
      <c r="A12" s="29">
        <v>54</v>
      </c>
      <c r="B12" s="33" t="s">
        <v>9</v>
      </c>
      <c r="C12" s="43">
        <v>4318</v>
      </c>
      <c r="D12" s="43">
        <v>4581.3</v>
      </c>
      <c r="E12" s="43">
        <v>3399</v>
      </c>
      <c r="F12" s="43">
        <v>3697</v>
      </c>
      <c r="G12" s="43">
        <v>2104</v>
      </c>
      <c r="H12" s="43">
        <v>2490</v>
      </c>
      <c r="I12" s="43">
        <v>952</v>
      </c>
      <c r="J12" s="43">
        <v>682</v>
      </c>
      <c r="L12" s="41"/>
      <c r="M12" s="41"/>
      <c r="N12" s="41"/>
      <c r="O12" s="41"/>
      <c r="P12" s="41"/>
      <c r="Q12" s="41"/>
      <c r="R12" s="41"/>
      <c r="S12" s="41"/>
    </row>
    <row r="13" spans="1:20" s="33" customFormat="1" ht="12.5" x14ac:dyDescent="0.35">
      <c r="A13" s="29">
        <v>55</v>
      </c>
      <c r="B13" s="33" t="s">
        <v>10</v>
      </c>
      <c r="C13" s="43">
        <v>42395</v>
      </c>
      <c r="D13" s="43">
        <v>21197.5</v>
      </c>
      <c r="E13" s="43">
        <v>36379</v>
      </c>
      <c r="F13" s="43">
        <v>18189.5</v>
      </c>
      <c r="G13" s="43">
        <v>1465</v>
      </c>
      <c r="H13" s="43">
        <v>732.5</v>
      </c>
      <c r="I13" s="43">
        <v>0</v>
      </c>
      <c r="J13" s="43">
        <v>0</v>
      </c>
      <c r="L13" s="41"/>
      <c r="M13" s="41"/>
      <c r="N13" s="41"/>
      <c r="O13" s="41"/>
      <c r="P13" s="41"/>
      <c r="Q13" s="41"/>
      <c r="R13" s="41"/>
      <c r="S13" s="41"/>
    </row>
    <row r="14" spans="1:20" s="33" customFormat="1" ht="12.5" x14ac:dyDescent="0.35">
      <c r="A14" s="29">
        <v>56</v>
      </c>
      <c r="B14" s="33" t="s">
        <v>11</v>
      </c>
      <c r="C14" s="43">
        <v>18315</v>
      </c>
      <c r="D14" s="43">
        <v>76000</v>
      </c>
      <c r="E14" s="43">
        <v>10760</v>
      </c>
      <c r="F14" s="43">
        <v>40328</v>
      </c>
      <c r="G14" s="43">
        <v>3378</v>
      </c>
      <c r="H14" s="43">
        <v>6777</v>
      </c>
      <c r="I14" s="43">
        <v>3935</v>
      </c>
      <c r="J14" s="43">
        <v>7870</v>
      </c>
      <c r="L14" s="41"/>
      <c r="M14" s="41"/>
      <c r="N14" s="41"/>
      <c r="O14" s="41"/>
      <c r="P14" s="41"/>
      <c r="Q14" s="41"/>
      <c r="R14" s="41"/>
      <c r="S14" s="41"/>
    </row>
    <row r="15" spans="1:20" s="33" customFormat="1" ht="12.5" x14ac:dyDescent="0.35">
      <c r="A15" s="29">
        <v>57</v>
      </c>
      <c r="B15" s="33" t="s">
        <v>12</v>
      </c>
      <c r="C15" s="43">
        <v>5373</v>
      </c>
      <c r="D15" s="43">
        <v>4622.25</v>
      </c>
      <c r="E15" s="43">
        <v>1279</v>
      </c>
      <c r="F15" s="43">
        <v>1083.2</v>
      </c>
      <c r="G15" s="43">
        <v>3135</v>
      </c>
      <c r="H15" s="43">
        <v>2213.33</v>
      </c>
      <c r="I15" s="43">
        <v>792</v>
      </c>
      <c r="J15" s="43">
        <v>178.6</v>
      </c>
      <c r="L15" s="41"/>
      <c r="M15" s="41"/>
      <c r="N15" s="41"/>
      <c r="O15" s="41"/>
      <c r="P15" s="41"/>
      <c r="Q15" s="41"/>
      <c r="R15" s="41"/>
      <c r="S15" s="41"/>
    </row>
    <row r="16" spans="1:20" s="33" customFormat="1" ht="12.5" x14ac:dyDescent="0.35">
      <c r="A16" s="29">
        <v>59</v>
      </c>
      <c r="B16" s="33" t="s">
        <v>13</v>
      </c>
      <c r="C16" s="43">
        <v>10070</v>
      </c>
      <c r="D16" s="43">
        <v>20140</v>
      </c>
      <c r="E16" s="43">
        <v>5244</v>
      </c>
      <c r="F16" s="43">
        <v>10488</v>
      </c>
      <c r="G16" s="43">
        <v>3754</v>
      </c>
      <c r="H16" s="43">
        <v>7508</v>
      </c>
      <c r="I16" s="43">
        <v>10</v>
      </c>
      <c r="J16" s="43">
        <v>20</v>
      </c>
      <c r="L16" s="41"/>
      <c r="M16" s="41"/>
      <c r="N16" s="41"/>
      <c r="O16" s="41"/>
      <c r="P16" s="41"/>
      <c r="Q16" s="41"/>
      <c r="R16" s="41"/>
      <c r="S16" s="41"/>
    </row>
    <row r="17" spans="1:19" s="33" customFormat="1" ht="12.5" x14ac:dyDescent="0.35">
      <c r="A17" s="29">
        <v>60</v>
      </c>
      <c r="B17" s="33" t="s">
        <v>14</v>
      </c>
      <c r="C17" s="43">
        <v>9531</v>
      </c>
      <c r="D17" s="43">
        <v>15371.75</v>
      </c>
      <c r="E17" s="43">
        <v>7384</v>
      </c>
      <c r="F17" s="43">
        <v>11609.63</v>
      </c>
      <c r="G17" s="43">
        <v>3352</v>
      </c>
      <c r="H17" s="43">
        <v>5872.89</v>
      </c>
      <c r="I17" s="43">
        <v>3881</v>
      </c>
      <c r="J17" s="43">
        <v>4836.99</v>
      </c>
      <c r="L17" s="41"/>
      <c r="M17" s="41"/>
      <c r="N17" s="41"/>
      <c r="O17" s="41"/>
      <c r="P17" s="41"/>
      <c r="Q17" s="41"/>
      <c r="R17" s="41"/>
      <c r="S17" s="41"/>
    </row>
    <row r="18" spans="1:19" s="33" customFormat="1" ht="12.5" x14ac:dyDescent="0.35">
      <c r="A18" s="29">
        <v>61</v>
      </c>
      <c r="B18" s="44" t="s">
        <v>53</v>
      </c>
      <c r="C18" s="43">
        <v>10864</v>
      </c>
      <c r="D18" s="43">
        <v>13164</v>
      </c>
      <c r="E18" s="43">
        <v>7103</v>
      </c>
      <c r="F18" s="43">
        <v>9024</v>
      </c>
      <c r="G18" s="43">
        <v>2217</v>
      </c>
      <c r="H18" s="43">
        <v>2806</v>
      </c>
      <c r="I18" s="43">
        <v>0</v>
      </c>
      <c r="J18" s="43">
        <v>0</v>
      </c>
      <c r="L18" s="41"/>
      <c r="M18" s="41"/>
      <c r="N18" s="41"/>
      <c r="O18" s="41"/>
      <c r="P18" s="41"/>
      <c r="Q18" s="41"/>
      <c r="R18" s="41"/>
      <c r="S18" s="41"/>
    </row>
    <row r="19" spans="1:19" s="33" customFormat="1" ht="12.5" x14ac:dyDescent="0.35">
      <c r="A19" s="29">
        <v>62</v>
      </c>
      <c r="B19" s="44" t="s">
        <v>126</v>
      </c>
      <c r="C19" s="43">
        <v>11783</v>
      </c>
      <c r="D19" s="43">
        <v>15441</v>
      </c>
      <c r="E19" s="43">
        <v>7779</v>
      </c>
      <c r="F19" s="43">
        <v>10455</v>
      </c>
      <c r="G19" s="43" t="s">
        <v>77</v>
      </c>
      <c r="H19" s="43" t="s">
        <v>77</v>
      </c>
      <c r="I19" s="43">
        <v>366</v>
      </c>
      <c r="J19" s="43">
        <v>183</v>
      </c>
      <c r="L19" s="41"/>
      <c r="M19" s="41"/>
      <c r="N19" s="41"/>
      <c r="O19" s="41"/>
      <c r="P19" s="41"/>
      <c r="Q19" s="41"/>
      <c r="R19" s="41"/>
      <c r="S19" s="41"/>
    </row>
    <row r="20" spans="1:19" s="33" customFormat="1" ht="12.5" x14ac:dyDescent="0.35">
      <c r="A20" s="29">
        <v>58</v>
      </c>
      <c r="B20" s="33" t="s">
        <v>16</v>
      </c>
      <c r="C20" s="43" t="s">
        <v>127</v>
      </c>
      <c r="D20" s="43" t="s">
        <v>127</v>
      </c>
      <c r="E20" s="43" t="s">
        <v>127</v>
      </c>
      <c r="F20" s="43" t="s">
        <v>127</v>
      </c>
      <c r="G20" s="43" t="s">
        <v>127</v>
      </c>
      <c r="H20" s="43" t="s">
        <v>127</v>
      </c>
      <c r="I20" s="43" t="s">
        <v>127</v>
      </c>
      <c r="J20" s="43" t="s">
        <v>127</v>
      </c>
      <c r="L20" s="41"/>
      <c r="M20" s="41"/>
      <c r="N20" s="41"/>
      <c r="O20" s="41"/>
      <c r="P20" s="41"/>
      <c r="Q20" s="41"/>
      <c r="R20" s="41"/>
      <c r="S20" s="41"/>
    </row>
    <row r="21" spans="1:19" s="33" customFormat="1" ht="12.5" x14ac:dyDescent="0.35">
      <c r="A21" s="29">
        <v>63</v>
      </c>
      <c r="B21" s="33" t="s">
        <v>17</v>
      </c>
      <c r="C21" s="43">
        <v>19545</v>
      </c>
      <c r="D21" s="43">
        <v>14614</v>
      </c>
      <c r="E21" s="43">
        <v>7072</v>
      </c>
      <c r="F21" s="43">
        <v>5621</v>
      </c>
      <c r="G21" s="43">
        <v>1196</v>
      </c>
      <c r="H21" s="43">
        <v>1288</v>
      </c>
      <c r="I21" s="43">
        <v>0</v>
      </c>
      <c r="J21" s="43">
        <v>0</v>
      </c>
      <c r="L21" s="41"/>
      <c r="M21" s="41"/>
      <c r="N21" s="41"/>
      <c r="O21" s="41"/>
      <c r="P21" s="41"/>
      <c r="Q21" s="41"/>
      <c r="R21" s="41"/>
      <c r="S21" s="41"/>
    </row>
    <row r="22" spans="1:19" s="33" customFormat="1" ht="12.5" x14ac:dyDescent="0.35">
      <c r="A22" s="29">
        <v>64</v>
      </c>
      <c r="B22" s="33" t="s">
        <v>18</v>
      </c>
      <c r="C22" s="43">
        <v>10982</v>
      </c>
      <c r="D22" s="43">
        <v>18709.25</v>
      </c>
      <c r="E22" s="43">
        <v>2365</v>
      </c>
      <c r="F22" s="43">
        <v>4025.25</v>
      </c>
      <c r="G22" s="43">
        <v>1020</v>
      </c>
      <c r="H22" s="43">
        <v>1742.75</v>
      </c>
      <c r="I22" s="43">
        <v>0</v>
      </c>
      <c r="J22" s="43">
        <v>0</v>
      </c>
      <c r="L22" s="41"/>
      <c r="M22" s="41"/>
      <c r="N22" s="41"/>
      <c r="O22" s="41"/>
      <c r="P22" s="41"/>
      <c r="Q22" s="41"/>
      <c r="R22" s="41"/>
      <c r="S22" s="41"/>
    </row>
    <row r="23" spans="1:19" s="33" customFormat="1" ht="12.5" x14ac:dyDescent="0.35">
      <c r="A23" s="29">
        <v>65</v>
      </c>
      <c r="B23" s="33" t="s">
        <v>19</v>
      </c>
      <c r="C23" s="43">
        <v>8513</v>
      </c>
      <c r="D23" s="43">
        <v>27589</v>
      </c>
      <c r="E23" s="43">
        <v>5003</v>
      </c>
      <c r="F23" s="43">
        <v>16277</v>
      </c>
      <c r="G23" s="43">
        <v>2435</v>
      </c>
      <c r="H23" s="43">
        <v>7725</v>
      </c>
      <c r="I23" s="43">
        <v>0</v>
      </c>
      <c r="J23" s="43">
        <v>0</v>
      </c>
      <c r="L23" s="41"/>
      <c r="M23" s="41"/>
      <c r="N23" s="41"/>
      <c r="O23" s="41"/>
      <c r="P23" s="41"/>
      <c r="Q23" s="41"/>
      <c r="R23" s="41"/>
      <c r="S23" s="41"/>
    </row>
    <row r="24" spans="1:19" s="33" customFormat="1" ht="12.5" x14ac:dyDescent="0.35">
      <c r="A24" s="29">
        <v>67</v>
      </c>
      <c r="B24" s="33" t="s">
        <v>20</v>
      </c>
      <c r="C24" s="43">
        <v>7649</v>
      </c>
      <c r="D24" s="43">
        <v>13692</v>
      </c>
      <c r="E24" s="43">
        <v>4151</v>
      </c>
      <c r="F24" s="43">
        <v>7430</v>
      </c>
      <c r="G24" s="43">
        <v>2860</v>
      </c>
      <c r="H24" s="43">
        <v>5119</v>
      </c>
      <c r="I24" s="43">
        <v>0</v>
      </c>
      <c r="J24" s="43">
        <v>0</v>
      </c>
      <c r="L24" s="41"/>
      <c r="M24" s="41"/>
      <c r="N24" s="41"/>
      <c r="O24" s="41"/>
      <c r="P24" s="41"/>
      <c r="Q24" s="41"/>
      <c r="R24" s="41"/>
      <c r="S24" s="41"/>
    </row>
    <row r="25" spans="1:19" s="33" customFormat="1" ht="12.5" x14ac:dyDescent="0.35">
      <c r="A25" s="29">
        <v>68</v>
      </c>
      <c r="B25" s="33" t="s">
        <v>23</v>
      </c>
      <c r="C25" s="43">
        <v>5030</v>
      </c>
      <c r="D25" s="43">
        <v>8593</v>
      </c>
      <c r="E25" s="43">
        <v>3305</v>
      </c>
      <c r="F25" s="43">
        <v>6917</v>
      </c>
      <c r="G25" s="43">
        <v>17</v>
      </c>
      <c r="H25" s="43">
        <v>60</v>
      </c>
      <c r="I25" s="43">
        <v>133</v>
      </c>
      <c r="J25" s="43">
        <v>68</v>
      </c>
      <c r="L25" s="41"/>
      <c r="M25" s="41"/>
      <c r="N25" s="41"/>
      <c r="O25" s="41"/>
      <c r="P25" s="41"/>
      <c r="Q25" s="41"/>
      <c r="R25" s="41"/>
      <c r="S25" s="41"/>
    </row>
    <row r="26" spans="1:19" s="33" customFormat="1" ht="12.5" x14ac:dyDescent="0.35">
      <c r="A26" s="29">
        <v>69</v>
      </c>
      <c r="B26" s="33" t="s">
        <v>54</v>
      </c>
      <c r="C26" s="43">
        <v>4113</v>
      </c>
      <c r="D26" s="43">
        <v>4485</v>
      </c>
      <c r="E26" s="43">
        <v>2546</v>
      </c>
      <c r="F26" s="43">
        <v>2885</v>
      </c>
      <c r="G26" s="43">
        <v>1260</v>
      </c>
      <c r="H26" s="43">
        <v>1537</v>
      </c>
      <c r="I26" s="43">
        <v>0</v>
      </c>
      <c r="J26" s="43">
        <v>0</v>
      </c>
      <c r="L26" s="41"/>
      <c r="M26" s="41"/>
      <c r="N26" s="41"/>
      <c r="O26" s="41"/>
      <c r="P26" s="41"/>
      <c r="Q26" s="41"/>
      <c r="R26" s="41"/>
      <c r="S26" s="41"/>
    </row>
    <row r="27" spans="1:19" s="33" customFormat="1" ht="12.5" x14ac:dyDescent="0.35">
      <c r="A27" s="29">
        <v>70</v>
      </c>
      <c r="B27" s="33" t="s">
        <v>25</v>
      </c>
      <c r="C27" s="43">
        <v>3512</v>
      </c>
      <c r="D27" s="43">
        <v>2613</v>
      </c>
      <c r="E27" s="43">
        <v>1831</v>
      </c>
      <c r="F27" s="43">
        <v>1430</v>
      </c>
      <c r="G27" s="43">
        <v>444</v>
      </c>
      <c r="H27" s="43">
        <v>384</v>
      </c>
      <c r="I27" s="43">
        <v>2320</v>
      </c>
      <c r="J27" s="43">
        <v>2589</v>
      </c>
      <c r="L27" s="41"/>
      <c r="M27" s="41"/>
      <c r="N27" s="41"/>
      <c r="O27" s="41"/>
      <c r="P27" s="41"/>
      <c r="Q27" s="41"/>
      <c r="R27" s="41"/>
      <c r="S27" s="41"/>
    </row>
    <row r="28" spans="1:19" s="33" customFormat="1" ht="12.5" x14ac:dyDescent="0.35">
      <c r="A28" s="29">
        <v>71</v>
      </c>
      <c r="B28" s="33" t="s">
        <v>26</v>
      </c>
      <c r="C28" s="43">
        <v>5376</v>
      </c>
      <c r="D28" s="43">
        <v>3982</v>
      </c>
      <c r="E28" s="43">
        <v>2457</v>
      </c>
      <c r="F28" s="43">
        <v>1744</v>
      </c>
      <c r="G28" s="43">
        <v>1035</v>
      </c>
      <c r="H28" s="43">
        <v>817</v>
      </c>
      <c r="I28" s="43">
        <v>0</v>
      </c>
      <c r="J28" s="43">
        <v>0</v>
      </c>
      <c r="L28" s="41"/>
      <c r="M28" s="41"/>
      <c r="N28" s="41"/>
      <c r="O28" s="41"/>
      <c r="P28" s="41"/>
      <c r="Q28" s="41"/>
      <c r="R28" s="41"/>
      <c r="S28" s="41"/>
    </row>
    <row r="29" spans="1:19" s="33" customFormat="1" ht="12.5" x14ac:dyDescent="0.35">
      <c r="A29" s="29">
        <v>73</v>
      </c>
      <c r="B29" s="33" t="s">
        <v>55</v>
      </c>
      <c r="C29" s="43">
        <v>647</v>
      </c>
      <c r="D29" s="43">
        <v>467</v>
      </c>
      <c r="E29" s="43">
        <v>480</v>
      </c>
      <c r="F29" s="43">
        <v>356</v>
      </c>
      <c r="G29" s="43" t="s">
        <v>77</v>
      </c>
      <c r="H29" s="43" t="s">
        <v>77</v>
      </c>
      <c r="I29" s="43">
        <v>230</v>
      </c>
      <c r="J29" s="43">
        <v>163</v>
      </c>
      <c r="L29" s="41"/>
      <c r="M29" s="41"/>
      <c r="N29" s="41"/>
      <c r="O29" s="41"/>
      <c r="P29" s="41"/>
      <c r="Q29" s="41"/>
      <c r="R29" s="41"/>
      <c r="S29" s="41"/>
    </row>
    <row r="30" spans="1:19" s="33" customFormat="1" ht="12.5" x14ac:dyDescent="0.35">
      <c r="A30" s="29">
        <v>74</v>
      </c>
      <c r="B30" s="33" t="s">
        <v>29</v>
      </c>
      <c r="C30" s="43">
        <v>15933</v>
      </c>
      <c r="D30" s="43">
        <v>23899.5</v>
      </c>
      <c r="E30" s="43">
        <v>10050</v>
      </c>
      <c r="F30" s="43">
        <v>15075</v>
      </c>
      <c r="G30" s="43">
        <v>6510</v>
      </c>
      <c r="H30" s="43">
        <v>9765</v>
      </c>
      <c r="I30" s="43">
        <v>0</v>
      </c>
      <c r="J30" s="43">
        <v>0</v>
      </c>
      <c r="L30" s="41"/>
      <c r="M30" s="41"/>
      <c r="N30" s="41"/>
      <c r="O30" s="41"/>
      <c r="P30" s="41"/>
      <c r="Q30" s="41"/>
      <c r="R30" s="41"/>
      <c r="S30" s="41"/>
    </row>
    <row r="31" spans="1:19" s="33" customFormat="1" ht="12.5" x14ac:dyDescent="0.35">
      <c r="A31" s="29">
        <v>75</v>
      </c>
      <c r="B31" s="33" t="s">
        <v>30</v>
      </c>
      <c r="C31" s="43">
        <v>11954</v>
      </c>
      <c r="D31" s="43">
        <v>21959</v>
      </c>
      <c r="E31" s="43">
        <v>8507</v>
      </c>
      <c r="F31" s="43">
        <v>14462</v>
      </c>
      <c r="G31" s="43">
        <v>8131</v>
      </c>
      <c r="H31" s="43">
        <v>13823</v>
      </c>
      <c r="I31" s="43">
        <v>0</v>
      </c>
      <c r="J31" s="43">
        <v>0</v>
      </c>
      <c r="L31" s="41"/>
      <c r="M31" s="41"/>
      <c r="N31" s="41"/>
      <c r="O31" s="41"/>
      <c r="P31" s="41"/>
      <c r="Q31" s="41"/>
      <c r="R31" s="41"/>
      <c r="S31" s="41"/>
    </row>
    <row r="32" spans="1:19" s="33" customFormat="1" ht="12.5" x14ac:dyDescent="0.35">
      <c r="A32" s="29">
        <v>76</v>
      </c>
      <c r="B32" s="33" t="s">
        <v>31</v>
      </c>
      <c r="C32" s="43">
        <v>7926</v>
      </c>
      <c r="D32" s="43">
        <v>13871</v>
      </c>
      <c r="E32" s="43">
        <v>4743</v>
      </c>
      <c r="F32" s="43">
        <v>8300</v>
      </c>
      <c r="G32" s="43">
        <v>2299</v>
      </c>
      <c r="H32" s="43">
        <v>4023</v>
      </c>
      <c r="I32" s="43">
        <v>480</v>
      </c>
      <c r="J32" s="43">
        <v>840</v>
      </c>
      <c r="L32" s="41"/>
      <c r="M32" s="41"/>
      <c r="N32" s="41"/>
      <c r="O32" s="41"/>
      <c r="P32" s="41"/>
      <c r="Q32" s="41"/>
      <c r="R32" s="41"/>
      <c r="S32" s="41"/>
    </row>
    <row r="33" spans="1:19" s="33" customFormat="1" ht="12.5" x14ac:dyDescent="0.35">
      <c r="A33" s="29">
        <v>79</v>
      </c>
      <c r="B33" s="33" t="s">
        <v>32</v>
      </c>
      <c r="C33" s="43">
        <v>5274</v>
      </c>
      <c r="D33" s="43">
        <v>4490</v>
      </c>
      <c r="E33" s="43">
        <v>2044</v>
      </c>
      <c r="F33" s="43">
        <v>2594</v>
      </c>
      <c r="G33" s="43">
        <v>2031</v>
      </c>
      <c r="H33" s="43">
        <v>2803</v>
      </c>
      <c r="I33" s="43">
        <v>15</v>
      </c>
      <c r="J33" s="43">
        <v>23</v>
      </c>
      <c r="L33" s="41"/>
      <c r="M33" s="41"/>
      <c r="N33" s="41"/>
      <c r="O33" s="41"/>
      <c r="P33" s="41"/>
      <c r="Q33" s="41"/>
      <c r="R33" s="41"/>
      <c r="S33" s="41"/>
    </row>
    <row r="34" spans="1:19" s="33" customFormat="1" ht="12.5" x14ac:dyDescent="0.35">
      <c r="A34" s="29">
        <v>80</v>
      </c>
      <c r="B34" s="33" t="s">
        <v>34</v>
      </c>
      <c r="C34" s="43">
        <v>3751</v>
      </c>
      <c r="D34" s="43">
        <v>3620.25</v>
      </c>
      <c r="E34" s="43">
        <v>2047</v>
      </c>
      <c r="F34" s="43">
        <v>1965</v>
      </c>
      <c r="G34" s="43" t="s">
        <v>77</v>
      </c>
      <c r="H34" s="43" t="s">
        <v>77</v>
      </c>
      <c r="I34" s="43">
        <v>13</v>
      </c>
      <c r="J34" s="43">
        <v>7.25</v>
      </c>
      <c r="L34" s="41"/>
      <c r="M34" s="41"/>
      <c r="N34" s="41"/>
      <c r="O34" s="41"/>
      <c r="P34" s="41"/>
      <c r="Q34" s="41"/>
      <c r="R34" s="41"/>
      <c r="S34" s="41"/>
    </row>
    <row r="35" spans="1:19" s="33" customFormat="1" ht="12.5" x14ac:dyDescent="0.35">
      <c r="A35" s="29">
        <v>81</v>
      </c>
      <c r="B35" s="33" t="s">
        <v>35</v>
      </c>
      <c r="C35" s="43">
        <v>2956</v>
      </c>
      <c r="D35" s="43">
        <v>4482</v>
      </c>
      <c r="E35" s="43">
        <v>1905</v>
      </c>
      <c r="F35" s="43">
        <v>2868</v>
      </c>
      <c r="G35" s="43">
        <v>0</v>
      </c>
      <c r="H35" s="43">
        <v>0</v>
      </c>
      <c r="I35" s="43">
        <v>8</v>
      </c>
      <c r="J35" s="43">
        <v>4</v>
      </c>
      <c r="L35" s="41"/>
      <c r="M35" s="41"/>
      <c r="N35" s="41"/>
      <c r="O35" s="41"/>
      <c r="P35" s="41"/>
      <c r="Q35" s="41"/>
      <c r="R35" s="41"/>
      <c r="S35" s="41"/>
    </row>
    <row r="36" spans="1:19" s="33" customFormat="1" ht="12.5" x14ac:dyDescent="0.35">
      <c r="A36" s="29">
        <v>83</v>
      </c>
      <c r="B36" s="33" t="s">
        <v>36</v>
      </c>
      <c r="C36" s="43">
        <v>2445</v>
      </c>
      <c r="D36" s="43">
        <v>1698</v>
      </c>
      <c r="E36" s="43">
        <v>1390</v>
      </c>
      <c r="F36" s="43">
        <v>926</v>
      </c>
      <c r="G36" s="43">
        <v>412</v>
      </c>
      <c r="H36" s="43">
        <v>274</v>
      </c>
      <c r="I36" s="43">
        <v>44</v>
      </c>
      <c r="J36" s="43">
        <v>44</v>
      </c>
      <c r="L36" s="41"/>
      <c r="M36" s="41"/>
      <c r="N36" s="41"/>
      <c r="O36" s="41"/>
      <c r="P36" s="41"/>
      <c r="Q36" s="41"/>
      <c r="R36" s="41"/>
      <c r="S36" s="41"/>
    </row>
    <row r="37" spans="1:19" s="33" customFormat="1" ht="12.5" x14ac:dyDescent="0.35">
      <c r="A37" s="29">
        <v>84</v>
      </c>
      <c r="B37" s="33" t="s">
        <v>37</v>
      </c>
      <c r="C37" s="43">
        <v>7839</v>
      </c>
      <c r="D37" s="43">
        <v>7646.5</v>
      </c>
      <c r="E37" s="43">
        <v>4991</v>
      </c>
      <c r="F37" s="43">
        <v>4878</v>
      </c>
      <c r="G37" s="43">
        <v>1030</v>
      </c>
      <c r="H37" s="43">
        <v>1319.25</v>
      </c>
      <c r="I37" s="43">
        <v>4</v>
      </c>
      <c r="J37" s="43">
        <v>2</v>
      </c>
      <c r="L37" s="41"/>
      <c r="M37" s="41"/>
      <c r="N37" s="41"/>
      <c r="O37" s="41"/>
      <c r="P37" s="41"/>
      <c r="Q37" s="41"/>
      <c r="R37" s="41"/>
      <c r="S37" s="41"/>
    </row>
    <row r="38" spans="1:19" s="33" customFormat="1" ht="12.5" x14ac:dyDescent="0.35">
      <c r="A38" s="29">
        <v>85</v>
      </c>
      <c r="B38" s="33" t="s">
        <v>38</v>
      </c>
      <c r="C38" s="43">
        <v>3757</v>
      </c>
      <c r="D38" s="43">
        <v>11344</v>
      </c>
      <c r="E38" s="43">
        <v>1879</v>
      </c>
      <c r="F38" s="43">
        <v>5715</v>
      </c>
      <c r="G38" s="43">
        <v>1692</v>
      </c>
      <c r="H38" s="43">
        <v>5696</v>
      </c>
      <c r="I38" s="43">
        <v>571</v>
      </c>
      <c r="J38" s="43">
        <v>879</v>
      </c>
      <c r="L38" s="41"/>
      <c r="M38" s="41"/>
      <c r="N38" s="41"/>
      <c r="O38" s="41"/>
      <c r="P38" s="41"/>
      <c r="Q38" s="41"/>
      <c r="R38" s="41"/>
      <c r="S38" s="41"/>
    </row>
    <row r="39" spans="1:19" s="33" customFormat="1" ht="12.5" x14ac:dyDescent="0.35">
      <c r="A39" s="29">
        <v>87</v>
      </c>
      <c r="B39" s="33" t="s">
        <v>39</v>
      </c>
      <c r="C39" s="43">
        <v>2252</v>
      </c>
      <c r="D39" s="43">
        <v>5593.5</v>
      </c>
      <c r="E39" s="43">
        <v>1916</v>
      </c>
      <c r="F39" s="43">
        <v>3723</v>
      </c>
      <c r="G39" s="43">
        <v>6</v>
      </c>
      <c r="H39" s="43">
        <v>12.75</v>
      </c>
      <c r="I39" s="43">
        <v>13</v>
      </c>
      <c r="J39" s="43">
        <v>13</v>
      </c>
      <c r="L39" s="41"/>
      <c r="M39" s="41"/>
      <c r="N39" s="41"/>
      <c r="O39" s="41"/>
      <c r="P39" s="41"/>
      <c r="Q39" s="41"/>
      <c r="R39" s="41"/>
      <c r="S39" s="41"/>
    </row>
    <row r="40" spans="1:19" s="33" customFormat="1" ht="12.5" x14ac:dyDescent="0.35">
      <c r="A40" s="29">
        <v>90</v>
      </c>
      <c r="B40" s="33" t="s">
        <v>40</v>
      </c>
      <c r="C40" s="43">
        <v>4205</v>
      </c>
      <c r="D40" s="43">
        <v>3889</v>
      </c>
      <c r="E40" s="43">
        <v>3504</v>
      </c>
      <c r="F40" s="43">
        <v>3419.95</v>
      </c>
      <c r="G40" s="43" t="s">
        <v>77</v>
      </c>
      <c r="H40" s="43" t="s">
        <v>77</v>
      </c>
      <c r="I40" s="43">
        <v>546</v>
      </c>
      <c r="J40" s="114" t="s">
        <v>77</v>
      </c>
      <c r="L40" s="41"/>
      <c r="M40" s="41"/>
      <c r="N40" s="41"/>
      <c r="O40" s="41"/>
      <c r="P40" s="41"/>
      <c r="Q40" s="41"/>
      <c r="R40" s="41"/>
      <c r="S40" s="41"/>
    </row>
    <row r="41" spans="1:19" s="33" customFormat="1" ht="12.5" x14ac:dyDescent="0.35">
      <c r="A41" s="29">
        <v>91</v>
      </c>
      <c r="B41" s="33" t="s">
        <v>42</v>
      </c>
      <c r="C41" s="43">
        <v>25206</v>
      </c>
      <c r="D41" s="43" t="s">
        <v>77</v>
      </c>
      <c r="E41" s="43">
        <v>15199</v>
      </c>
      <c r="F41" s="43" t="s">
        <v>77</v>
      </c>
      <c r="G41" s="43">
        <v>2099</v>
      </c>
      <c r="H41" s="43" t="s">
        <v>77</v>
      </c>
      <c r="I41" s="43">
        <v>318</v>
      </c>
      <c r="J41" s="43" t="s">
        <v>77</v>
      </c>
      <c r="L41" s="41"/>
      <c r="M41" s="41"/>
      <c r="N41" s="41"/>
      <c r="O41" s="41"/>
      <c r="P41" s="41"/>
      <c r="Q41" s="41"/>
      <c r="R41" s="41"/>
      <c r="S41" s="41"/>
    </row>
    <row r="42" spans="1:19" s="33" customFormat="1" ht="12.5" x14ac:dyDescent="0.35">
      <c r="A42" s="29">
        <v>92</v>
      </c>
      <c r="B42" s="33" t="s">
        <v>43</v>
      </c>
      <c r="C42" s="43">
        <v>1310</v>
      </c>
      <c r="D42" s="43">
        <v>2691</v>
      </c>
      <c r="E42" s="43">
        <v>809</v>
      </c>
      <c r="F42" s="43">
        <v>1879</v>
      </c>
      <c r="G42" s="43">
        <v>159</v>
      </c>
      <c r="H42" s="43">
        <v>410</v>
      </c>
      <c r="I42" s="43">
        <v>0</v>
      </c>
      <c r="J42" s="43">
        <v>0</v>
      </c>
      <c r="L42" s="41"/>
      <c r="M42" s="41"/>
      <c r="N42" s="41"/>
      <c r="O42" s="41"/>
      <c r="P42" s="41"/>
      <c r="Q42" s="41"/>
      <c r="R42" s="41"/>
      <c r="S42" s="41"/>
    </row>
    <row r="43" spans="1:19" s="33" customFormat="1" ht="12.5" x14ac:dyDescent="0.35">
      <c r="A43" s="29">
        <v>94</v>
      </c>
      <c r="B43" s="33" t="s">
        <v>44</v>
      </c>
      <c r="C43" s="43">
        <v>3521</v>
      </c>
      <c r="D43" s="43">
        <v>17848</v>
      </c>
      <c r="E43" s="43">
        <v>2475</v>
      </c>
      <c r="F43" s="43">
        <v>10182</v>
      </c>
      <c r="G43" s="43">
        <v>1373</v>
      </c>
      <c r="H43" s="43">
        <v>11843</v>
      </c>
      <c r="I43" s="43">
        <v>887</v>
      </c>
      <c r="J43" s="43">
        <v>3600</v>
      </c>
      <c r="L43" s="41"/>
      <c r="M43" s="41"/>
      <c r="N43" s="41"/>
      <c r="O43" s="41"/>
      <c r="P43" s="41"/>
      <c r="Q43" s="41"/>
      <c r="R43" s="41"/>
      <c r="S43" s="41"/>
    </row>
    <row r="44" spans="1:19" s="33" customFormat="1" ht="12.5" x14ac:dyDescent="0.35">
      <c r="A44" s="29">
        <v>96</v>
      </c>
      <c r="B44" s="33" t="s">
        <v>46</v>
      </c>
      <c r="C44" s="43">
        <v>4039</v>
      </c>
      <c r="D44" s="43">
        <v>8078</v>
      </c>
      <c r="E44" s="43">
        <v>2964</v>
      </c>
      <c r="F44" s="43">
        <v>5928</v>
      </c>
      <c r="G44" s="43">
        <v>686</v>
      </c>
      <c r="H44" s="43">
        <v>1372</v>
      </c>
      <c r="I44" s="43">
        <v>0</v>
      </c>
      <c r="J44" s="43">
        <v>0</v>
      </c>
      <c r="L44" s="41"/>
      <c r="M44" s="41"/>
      <c r="N44" s="41"/>
      <c r="O44" s="41"/>
      <c r="P44" s="41"/>
      <c r="Q44" s="41"/>
      <c r="R44" s="41"/>
      <c r="S44" s="41"/>
    </row>
    <row r="45" spans="1:19" s="33" customFormat="1" ht="12.5" x14ac:dyDescent="0.35">
      <c r="A45" s="29">
        <v>98</v>
      </c>
      <c r="B45" s="33" t="s">
        <v>48</v>
      </c>
      <c r="C45" s="43">
        <v>6647</v>
      </c>
      <c r="D45" s="43">
        <v>9534</v>
      </c>
      <c r="E45" s="43">
        <v>5073</v>
      </c>
      <c r="F45" s="43">
        <v>6922</v>
      </c>
      <c r="G45" s="43">
        <v>1568</v>
      </c>
      <c r="H45" s="43">
        <v>2612</v>
      </c>
      <c r="I45" s="43">
        <v>0</v>
      </c>
      <c r="J45" s="43">
        <v>0</v>
      </c>
      <c r="L45" s="41"/>
      <c r="M45" s="41"/>
      <c r="N45" s="41"/>
      <c r="O45" s="41"/>
      <c r="P45" s="41"/>
      <c r="Q45" s="41"/>
      <c r="R45" s="41"/>
      <c r="S45" s="41"/>
    </row>
    <row r="46" spans="1:19" s="33" customFormat="1" ht="12.5" x14ac:dyDescent="0.35">
      <c r="A46" s="29">
        <v>72</v>
      </c>
      <c r="B46" s="33" t="s">
        <v>50</v>
      </c>
      <c r="C46" s="43" t="s">
        <v>127</v>
      </c>
      <c r="D46" s="43" t="s">
        <v>127</v>
      </c>
      <c r="E46" s="43" t="s">
        <v>127</v>
      </c>
      <c r="F46" s="43" t="s">
        <v>127</v>
      </c>
      <c r="G46" s="43" t="s">
        <v>127</v>
      </c>
      <c r="H46" s="43" t="s">
        <v>127</v>
      </c>
      <c r="I46" s="43" t="s">
        <v>127</v>
      </c>
      <c r="J46" s="43" t="s">
        <v>127</v>
      </c>
      <c r="L46" s="41"/>
      <c r="M46" s="41"/>
      <c r="N46" s="41"/>
      <c r="O46" s="41"/>
      <c r="P46" s="41"/>
      <c r="Q46" s="41"/>
      <c r="R46" s="41"/>
      <c r="S46" s="41"/>
    </row>
    <row r="47" spans="1:19" s="38" customFormat="1" ht="14" x14ac:dyDescent="0.35">
      <c r="B47" s="33" t="s">
        <v>28</v>
      </c>
      <c r="C47" s="43">
        <v>54</v>
      </c>
      <c r="D47" s="43">
        <v>15</v>
      </c>
      <c r="E47" s="43">
        <v>21</v>
      </c>
      <c r="F47" s="43">
        <v>8</v>
      </c>
      <c r="G47" s="43">
        <v>1</v>
      </c>
      <c r="H47" s="43">
        <v>0.5</v>
      </c>
      <c r="I47" s="43">
        <v>0</v>
      </c>
      <c r="J47" s="43">
        <v>0</v>
      </c>
      <c r="L47" s="41"/>
      <c r="M47" s="41"/>
      <c r="N47" s="41"/>
      <c r="O47" s="41"/>
      <c r="P47" s="41"/>
      <c r="Q47" s="41"/>
      <c r="R47" s="41"/>
      <c r="S47" s="41"/>
    </row>
    <row r="48" spans="1:19" s="33" customFormat="1" ht="14" x14ac:dyDescent="0.35">
      <c r="A48" s="29">
        <v>66</v>
      </c>
      <c r="B48" s="38" t="s">
        <v>56</v>
      </c>
      <c r="C48" s="42">
        <f>SUM(C49:C55)</f>
        <v>266078</v>
      </c>
      <c r="D48" s="42">
        <f t="shared" ref="D48:J48" si="2">SUM(D49:D55)</f>
        <v>525639.5</v>
      </c>
      <c r="E48" s="42">
        <f t="shared" si="2"/>
        <v>119510</v>
      </c>
      <c r="F48" s="42">
        <f t="shared" si="2"/>
        <v>242704</v>
      </c>
      <c r="G48" s="42">
        <f t="shared" si="2"/>
        <v>78559</v>
      </c>
      <c r="H48" s="42">
        <f t="shared" si="2"/>
        <v>194705</v>
      </c>
      <c r="I48" s="42">
        <f t="shared" si="2"/>
        <v>6934</v>
      </c>
      <c r="J48" s="42">
        <f t="shared" si="2"/>
        <v>1336</v>
      </c>
      <c r="L48" s="41"/>
      <c r="M48" s="41"/>
      <c r="N48" s="41"/>
      <c r="O48" s="41"/>
      <c r="P48" s="41"/>
      <c r="Q48" s="41"/>
      <c r="R48" s="41"/>
      <c r="S48" s="41"/>
    </row>
    <row r="49" spans="1:19" s="33" customFormat="1" ht="14.25" customHeight="1" x14ac:dyDescent="0.35">
      <c r="A49" s="29">
        <v>78</v>
      </c>
      <c r="B49" s="33" t="s">
        <v>22</v>
      </c>
      <c r="C49" s="43">
        <v>33418</v>
      </c>
      <c r="D49" s="43">
        <v>39659.5</v>
      </c>
      <c r="E49" s="43">
        <v>11782</v>
      </c>
      <c r="F49" s="43">
        <v>15058</v>
      </c>
      <c r="G49" s="43">
        <v>2660</v>
      </c>
      <c r="H49" s="43">
        <v>7833</v>
      </c>
      <c r="I49" s="43">
        <v>0</v>
      </c>
      <c r="J49" s="43">
        <v>0</v>
      </c>
      <c r="L49" s="41"/>
      <c r="M49" s="41"/>
      <c r="N49" s="41"/>
      <c r="O49" s="41"/>
      <c r="P49" s="41"/>
      <c r="Q49" s="41"/>
      <c r="R49" s="41"/>
      <c r="S49" s="41"/>
    </row>
    <row r="50" spans="1:19" s="33" customFormat="1" ht="15.75" customHeight="1" x14ac:dyDescent="0.35">
      <c r="A50" s="29">
        <v>89</v>
      </c>
      <c r="B50" s="33" t="s">
        <v>33</v>
      </c>
      <c r="C50" s="43">
        <v>52564</v>
      </c>
      <c r="D50" s="43">
        <v>83577</v>
      </c>
      <c r="E50" s="43">
        <v>30932</v>
      </c>
      <c r="F50" s="43">
        <v>49182</v>
      </c>
      <c r="G50" s="43">
        <v>8745</v>
      </c>
      <c r="H50" s="43">
        <v>13905</v>
      </c>
      <c r="I50" s="43">
        <v>0</v>
      </c>
      <c r="J50" s="43">
        <v>0</v>
      </c>
      <c r="L50" s="41"/>
      <c r="M50" s="41"/>
      <c r="N50" s="41"/>
      <c r="O50" s="41"/>
      <c r="P50" s="41"/>
      <c r="Q50" s="41"/>
      <c r="R50" s="41"/>
      <c r="S50" s="41"/>
    </row>
    <row r="51" spans="1:19" s="33" customFormat="1" ht="12.5" x14ac:dyDescent="0.35">
      <c r="A51" s="29">
        <v>93</v>
      </c>
      <c r="B51" s="33" t="s">
        <v>41</v>
      </c>
      <c r="C51" s="43">
        <v>20578</v>
      </c>
      <c r="D51" s="43">
        <v>27368</v>
      </c>
      <c r="E51" s="43">
        <v>7036</v>
      </c>
      <c r="F51" s="43">
        <v>9358</v>
      </c>
      <c r="G51" s="43">
        <v>4019</v>
      </c>
      <c r="H51" s="43">
        <v>5345</v>
      </c>
      <c r="I51" s="43">
        <v>478</v>
      </c>
      <c r="J51" s="43">
        <v>315</v>
      </c>
      <c r="L51" s="41"/>
      <c r="M51" s="41"/>
      <c r="N51" s="41"/>
      <c r="O51" s="41"/>
      <c r="P51" s="41"/>
      <c r="Q51" s="41"/>
      <c r="R51" s="41"/>
      <c r="S51" s="41"/>
    </row>
    <row r="52" spans="1:19" s="33" customFormat="1" ht="12.5" x14ac:dyDescent="0.35">
      <c r="A52" s="29">
        <v>95</v>
      </c>
      <c r="B52" s="33" t="s">
        <v>57</v>
      </c>
      <c r="C52" s="43">
        <v>26134</v>
      </c>
      <c r="D52" s="43">
        <v>14501</v>
      </c>
      <c r="E52" s="43">
        <v>12996</v>
      </c>
      <c r="F52" s="43">
        <v>7697</v>
      </c>
      <c r="G52" s="43">
        <v>4962</v>
      </c>
      <c r="H52" s="43">
        <v>3425</v>
      </c>
      <c r="I52" s="43">
        <v>4958</v>
      </c>
      <c r="J52" s="43">
        <v>982</v>
      </c>
      <c r="L52" s="41"/>
      <c r="M52" s="41"/>
      <c r="N52" s="41"/>
      <c r="O52" s="41"/>
      <c r="P52" s="41"/>
      <c r="Q52" s="41"/>
      <c r="R52" s="41"/>
      <c r="S52" s="41"/>
    </row>
    <row r="53" spans="1:19" s="33" customFormat="1" ht="12.5" x14ac:dyDescent="0.35">
      <c r="A53" s="29">
        <v>97</v>
      </c>
      <c r="B53" s="33" t="s">
        <v>47</v>
      </c>
      <c r="C53" s="43">
        <v>31576</v>
      </c>
      <c r="D53" s="43">
        <v>119207</v>
      </c>
      <c r="E53" s="43">
        <v>17539</v>
      </c>
      <c r="F53" s="43">
        <v>66214</v>
      </c>
      <c r="G53" s="43">
        <v>19761</v>
      </c>
      <c r="H53" s="43">
        <v>74602</v>
      </c>
      <c r="I53" s="43">
        <v>0</v>
      </c>
      <c r="J53" s="43">
        <v>0</v>
      </c>
      <c r="L53" s="41"/>
      <c r="M53" s="41"/>
      <c r="N53" s="41"/>
      <c r="O53" s="41"/>
      <c r="P53" s="41"/>
      <c r="Q53" s="41"/>
      <c r="R53" s="41"/>
      <c r="S53" s="41"/>
    </row>
    <row r="54" spans="1:19" s="33" customFormat="1" ht="12.5" x14ac:dyDescent="0.35">
      <c r="A54" s="45">
        <v>77</v>
      </c>
      <c r="B54" s="33" t="s">
        <v>49</v>
      </c>
      <c r="C54" s="43">
        <v>18477</v>
      </c>
      <c r="D54" s="43">
        <v>88283</v>
      </c>
      <c r="E54" s="43">
        <v>9494</v>
      </c>
      <c r="F54" s="43">
        <v>38171</v>
      </c>
      <c r="G54" s="43">
        <v>7740</v>
      </c>
      <c r="H54" s="43">
        <v>28728</v>
      </c>
      <c r="I54" s="43">
        <v>27</v>
      </c>
      <c r="J54" s="43">
        <v>39</v>
      </c>
      <c r="L54" s="41"/>
      <c r="M54" s="41"/>
      <c r="N54" s="41"/>
      <c r="O54" s="41"/>
      <c r="P54" s="41"/>
      <c r="Q54" s="41"/>
      <c r="R54" s="41"/>
      <c r="S54" s="41"/>
    </row>
    <row r="55" spans="1:19" s="33" customFormat="1" ht="12.5" x14ac:dyDescent="0.35">
      <c r="B55" s="110" t="s">
        <v>21</v>
      </c>
      <c r="C55" s="43">
        <v>83331</v>
      </c>
      <c r="D55" s="43">
        <v>153044</v>
      </c>
      <c r="E55" s="43">
        <v>29731</v>
      </c>
      <c r="F55" s="43">
        <v>57024</v>
      </c>
      <c r="G55" s="43">
        <v>30672</v>
      </c>
      <c r="H55" s="43">
        <v>60867</v>
      </c>
      <c r="I55" s="43">
        <v>1471</v>
      </c>
      <c r="J55" s="114" t="s">
        <v>77</v>
      </c>
    </row>
    <row r="56" spans="1:19" s="33" customFormat="1" x14ac:dyDescent="0.35">
      <c r="B56" s="47"/>
      <c r="J56" s="48"/>
    </row>
    <row r="57" spans="1:19" s="33" customFormat="1" ht="12.5" x14ac:dyDescent="0.35">
      <c r="B57" s="33" t="s">
        <v>78</v>
      </c>
      <c r="J57" s="48"/>
    </row>
    <row r="58" spans="1:19" s="33" customFormat="1" ht="12.5" x14ac:dyDescent="0.35">
      <c r="J58" s="48"/>
    </row>
    <row r="59" spans="1:19" x14ac:dyDescent="0.3">
      <c r="B59" s="49" t="s">
        <v>79</v>
      </c>
      <c r="C59" s="33"/>
      <c r="D59" s="33"/>
      <c r="E59" s="33"/>
      <c r="F59" s="33"/>
      <c r="G59" s="33"/>
      <c r="H59" s="33"/>
      <c r="I59" s="33"/>
      <c r="J59" s="50"/>
    </row>
    <row r="61" spans="1:19" ht="9.75" customHeight="1" x14ac:dyDescent="0.3">
      <c r="B61" s="51" t="s">
        <v>80</v>
      </c>
    </row>
  </sheetData>
  <mergeCells count="6">
    <mergeCell ref="B1:J1"/>
    <mergeCell ref="B2:B3"/>
    <mergeCell ref="C2:D2"/>
    <mergeCell ref="E2:F2"/>
    <mergeCell ref="G2:H2"/>
    <mergeCell ref="I2:J2"/>
  </mergeCells>
  <pageMargins left="0.48" right="0.31" top="1" bottom="1" header="0.5" footer="0.5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D70"/>
  <sheetViews>
    <sheetView topLeftCell="A28" zoomScaleNormal="100" workbookViewId="0">
      <selection activeCell="G9" sqref="G9"/>
    </sheetView>
  </sheetViews>
  <sheetFormatPr defaultColWidth="9.26953125" defaultRowHeight="14.5" x14ac:dyDescent="0.35"/>
  <cols>
    <col min="1" max="1" width="50.7265625" style="4" customWidth="1"/>
    <col min="2" max="9" width="14.7265625" style="4" customWidth="1"/>
    <col min="10" max="10" width="10" style="4" bestFit="1" customWidth="1"/>
    <col min="11" max="11" width="11.7265625" style="4" customWidth="1"/>
    <col min="12" max="16" width="9.26953125" style="4"/>
    <col min="17" max="17" width="11" style="4" customWidth="1"/>
    <col min="18" max="16384" width="9.26953125" style="4"/>
  </cols>
  <sheetData>
    <row r="1" spans="1:30" s="3" customFormat="1" ht="23.25" customHeight="1" x14ac:dyDescent="0.5">
      <c r="A1" s="137"/>
      <c r="B1" s="137"/>
      <c r="C1" s="137"/>
      <c r="D1" s="137"/>
      <c r="E1" s="137"/>
      <c r="F1" s="137"/>
      <c r="G1" s="137"/>
      <c r="H1" s="137"/>
      <c r="I1" s="137"/>
    </row>
    <row r="2" spans="1:30" s="5" customFormat="1" ht="15" customHeight="1" x14ac:dyDescent="0.35">
      <c r="A2" s="4"/>
      <c r="B2" s="4"/>
      <c r="C2" s="4"/>
      <c r="D2" s="4"/>
      <c r="E2" s="4"/>
      <c r="F2" s="4"/>
      <c r="G2" s="4"/>
      <c r="H2" s="4"/>
      <c r="I2" s="4"/>
    </row>
    <row r="3" spans="1:30" s="5" customFormat="1" ht="15" customHeight="1" x14ac:dyDescent="0.35">
      <c r="A3" s="23"/>
      <c r="B3" s="24"/>
      <c r="C3" s="24"/>
      <c r="D3" s="24"/>
      <c r="E3" s="24"/>
      <c r="F3" s="4"/>
      <c r="G3" s="4"/>
      <c r="H3" s="4"/>
      <c r="I3" s="4"/>
    </row>
    <row r="4" spans="1:30" s="5" customFormat="1" ht="15" customHeight="1" x14ac:dyDescent="0.35">
      <c r="A4" s="135" t="str">
        <f>VLOOKUP(FIRE1201!A4,'FIRE1201 raw'!L12:M19,2,FALSE)</f>
        <v>2017-18</v>
      </c>
      <c r="B4" s="135"/>
      <c r="C4" s="135"/>
      <c r="D4" s="135"/>
      <c r="E4" s="135"/>
      <c r="F4" s="4"/>
      <c r="G4" s="4"/>
      <c r="H4" s="4"/>
      <c r="I4" s="4"/>
      <c r="J4" s="4"/>
    </row>
    <row r="5" spans="1:30" s="5" customFormat="1" ht="15" thickBot="1" x14ac:dyDescent="0.4">
      <c r="A5" s="4"/>
      <c r="B5" s="136"/>
      <c r="C5" s="136"/>
      <c r="D5" s="136"/>
      <c r="E5" s="136"/>
      <c r="F5" s="31"/>
      <c r="G5" s="31"/>
      <c r="H5" s="31"/>
      <c r="I5" s="31"/>
      <c r="K5" s="6"/>
      <c r="L5" s="6"/>
      <c r="N5" s="6"/>
      <c r="O5" s="6"/>
      <c r="P5" s="6"/>
      <c r="Q5" s="6"/>
      <c r="R5" s="6"/>
      <c r="U5" s="7"/>
    </row>
    <row r="6" spans="1:30" s="3" customFormat="1" ht="31.5" customHeight="1" thickBot="1" x14ac:dyDescent="0.4">
      <c r="A6" s="2"/>
      <c r="B6" s="138" t="s">
        <v>67</v>
      </c>
      <c r="C6" s="138"/>
      <c r="D6" s="138" t="s">
        <v>81</v>
      </c>
      <c r="E6" s="138"/>
      <c r="F6" s="138" t="s">
        <v>82</v>
      </c>
      <c r="G6" s="138"/>
      <c r="H6" s="138" t="s">
        <v>70</v>
      </c>
      <c r="I6" s="138"/>
      <c r="K6" s="53"/>
      <c r="L6" s="53"/>
      <c r="N6" s="53"/>
      <c r="O6" s="53"/>
      <c r="P6" s="53"/>
      <c r="Q6" s="53"/>
      <c r="R6" s="53"/>
    </row>
    <row r="7" spans="1:30" s="10" customFormat="1" ht="15" thickBot="1" x14ac:dyDescent="0.4">
      <c r="A7" s="8" t="s">
        <v>58</v>
      </c>
      <c r="B7" s="9" t="s">
        <v>71</v>
      </c>
      <c r="C7" s="9" t="s">
        <v>72</v>
      </c>
      <c r="D7" s="9" t="s">
        <v>71</v>
      </c>
      <c r="E7" s="9" t="s">
        <v>72</v>
      </c>
      <c r="F7" s="9" t="s">
        <v>71</v>
      </c>
      <c r="G7" s="9" t="s">
        <v>72</v>
      </c>
      <c r="H7" s="9" t="s">
        <v>71</v>
      </c>
      <c r="I7" s="9" t="s">
        <v>72</v>
      </c>
      <c r="J7" s="4"/>
    </row>
    <row r="8" spans="1:30" s="5" customFormat="1" ht="15" customHeight="1" x14ac:dyDescent="0.35">
      <c r="A8" s="26" t="s">
        <v>0</v>
      </c>
      <c r="B8" s="15">
        <f ca="1">INDIRECT("'("&amp;$A$4&amp;")'!C6")</f>
        <v>576040</v>
      </c>
      <c r="C8" s="15">
        <f ca="1">INDIRECT("'("&amp;$A$4&amp;")'!d6")</f>
        <v>994228.81722457125</v>
      </c>
      <c r="D8" s="15">
        <f ca="1">INDIRECT("'("&amp;$A$4&amp;")'!e6")</f>
        <v>311588</v>
      </c>
      <c r="E8" s="15">
        <f ca="1">INDIRECT("'("&amp;$A$4&amp;")'!f6")</f>
        <v>499376.53</v>
      </c>
      <c r="F8" s="15">
        <f ca="1">INDIRECT("'("&amp;$A$4&amp;")'!g6")</f>
        <v>142043</v>
      </c>
      <c r="G8" s="15">
        <f ca="1">INDIRECT("'("&amp;$A$4&amp;")'!h6")</f>
        <v>302001.96999999997</v>
      </c>
      <c r="H8" s="15">
        <f ca="1">INDIRECT("'("&amp;$A$4&amp;")'!i6")</f>
        <v>24284</v>
      </c>
      <c r="I8" s="15">
        <f ca="1">INDIRECT("'("&amp;$A$4&amp;")'!j6")</f>
        <v>23887.84</v>
      </c>
      <c r="K8" s="11"/>
      <c r="L8" s="11"/>
      <c r="N8" s="13"/>
      <c r="O8" s="13"/>
      <c r="P8" s="13"/>
      <c r="Q8" s="13"/>
      <c r="R8" s="13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s="5" customFormat="1" ht="15" customHeight="1" x14ac:dyDescent="0.35">
      <c r="A9" s="27" t="s">
        <v>4</v>
      </c>
      <c r="B9" s="15">
        <f ca="1">INDIRECT("'("&amp;$A$4&amp;")'!C7")</f>
        <v>309962</v>
      </c>
      <c r="C9" s="15">
        <f ca="1">INDIRECT("'("&amp;$A$4&amp;")'!d7")</f>
        <v>468589.31722457119</v>
      </c>
      <c r="D9" s="15">
        <f ca="1">INDIRECT("'("&amp;$A$4&amp;")'!e7")</f>
        <v>192078</v>
      </c>
      <c r="E9" s="15">
        <f ca="1">INDIRECT("'("&amp;$A$4&amp;")'!f7")</f>
        <v>256672.53000000003</v>
      </c>
      <c r="F9" s="15">
        <f ca="1">INDIRECT("'("&amp;$A$4&amp;")'!g7")</f>
        <v>63484</v>
      </c>
      <c r="G9" s="15">
        <f ca="1">INDIRECT("'("&amp;$A$4&amp;")'!h7")</f>
        <v>107296.97</v>
      </c>
      <c r="H9" s="15">
        <f ca="1">INDIRECT("'("&amp;$A$4&amp;")'!i7")</f>
        <v>17350</v>
      </c>
      <c r="I9" s="15">
        <f ca="1">INDIRECT("'("&amp;$A$4&amp;")'!j7")</f>
        <v>22551.84</v>
      </c>
      <c r="K9" s="11"/>
      <c r="L9" s="98"/>
      <c r="N9" s="13"/>
      <c r="O9" s="13"/>
      <c r="P9" s="13"/>
      <c r="Q9" s="13"/>
      <c r="R9" s="13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s="5" customFormat="1" ht="15" customHeight="1" x14ac:dyDescent="0.35">
      <c r="A10" s="4" t="s">
        <v>5</v>
      </c>
      <c r="B10" s="14">
        <f ca="1">INDIRECT("'("&amp;$A$4&amp;")'!C8")</f>
        <v>8402</v>
      </c>
      <c r="C10" s="14">
        <f ca="1">INDIRECT("'("&amp;$A$4&amp;")'!d8")</f>
        <v>9140</v>
      </c>
      <c r="D10" s="14">
        <f ca="1">INDIRECT("'("&amp;$A$4&amp;")'!e8")</f>
        <v>5426</v>
      </c>
      <c r="E10" s="14">
        <f ca="1">INDIRECT("'("&amp;$A$4&amp;")'!f8")</f>
        <v>6078</v>
      </c>
      <c r="F10" s="14">
        <f ca="1">INDIRECT("'("&amp;$A$4&amp;")'!g8")</f>
        <v>3299</v>
      </c>
      <c r="G10" s="14">
        <f ca="1">INDIRECT("'("&amp;$A$4&amp;")'!h8")</f>
        <v>3604</v>
      </c>
      <c r="H10" s="14">
        <f ca="1">INDIRECT("'("&amp;$A$4&amp;")'!i8")</f>
        <v>1094</v>
      </c>
      <c r="I10" s="14">
        <f ca="1">INDIRECT("'("&amp;$A$4&amp;")'!j8")</f>
        <v>549</v>
      </c>
      <c r="K10" s="11"/>
      <c r="L10" s="98"/>
      <c r="N10" s="13"/>
      <c r="O10" s="13"/>
      <c r="P10" s="13"/>
      <c r="Q10" s="13"/>
      <c r="R10" s="13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s="5" customFormat="1" ht="15" customHeight="1" x14ac:dyDescent="0.35">
      <c r="A11" s="4" t="s">
        <v>6</v>
      </c>
      <c r="B11" s="14">
        <f ca="1">INDIRECT("'("&amp;$A$4&amp;")'!C9")</f>
        <v>2101</v>
      </c>
      <c r="C11" s="14">
        <f ca="1">INDIRECT("'("&amp;$A$4&amp;")'!d9")</f>
        <v>3089</v>
      </c>
      <c r="D11" s="14">
        <f ca="1">INDIRECT("'("&amp;$A$4&amp;")'!e9")</f>
        <v>938</v>
      </c>
      <c r="E11" s="14">
        <f ca="1">INDIRECT("'("&amp;$A$4&amp;")'!f9")</f>
        <v>1668</v>
      </c>
      <c r="F11" s="14" t="str">
        <f ca="1">INDIRECT("'("&amp;$A$4&amp;")'!g9")</f>
        <v>N/A</v>
      </c>
      <c r="G11" s="14" t="str">
        <f ca="1">INDIRECT("'("&amp;$A$4&amp;")'!h9")</f>
        <v>N/A</v>
      </c>
      <c r="H11" s="14">
        <f ca="1">INDIRECT("'("&amp;$A$4&amp;")'!i9")</f>
        <v>738</v>
      </c>
      <c r="I11" s="14" t="str">
        <f ca="1">INDIRECT("'("&amp;$A$4&amp;")'!j9")</f>
        <v>N/A</v>
      </c>
      <c r="K11" s="11"/>
      <c r="L11" s="98"/>
      <c r="N11" s="13"/>
      <c r="O11" s="13"/>
      <c r="P11" s="13"/>
      <c r="Q11" s="13"/>
      <c r="R11" s="13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s="5" customFormat="1" ht="15" customHeight="1" x14ac:dyDescent="0.35">
      <c r="A12" s="4" t="s">
        <v>7</v>
      </c>
      <c r="B12" s="14">
        <f ca="1">INDIRECT("'("&amp;$A$4&amp;")'!C10")</f>
        <v>9203</v>
      </c>
      <c r="C12" s="14">
        <f ca="1">INDIRECT("'("&amp;$A$4&amp;")'!d10")</f>
        <v>10580</v>
      </c>
      <c r="D12" s="14">
        <f ca="1">INDIRECT("'("&amp;$A$4&amp;")'!e10")</f>
        <v>6556</v>
      </c>
      <c r="E12" s="14">
        <f ca="1">INDIRECT("'("&amp;$A$4&amp;")'!f10")</f>
        <v>7512</v>
      </c>
      <c r="F12" s="14">
        <f ca="1">INDIRECT("'("&amp;$A$4&amp;")'!g10")</f>
        <v>2117</v>
      </c>
      <c r="G12" s="14">
        <f ca="1">INDIRECT("'("&amp;$A$4&amp;")'!h10")</f>
        <v>2433</v>
      </c>
      <c r="H12" s="14">
        <f ca="1">INDIRECT("'("&amp;$A$4&amp;")'!i10")</f>
        <v>0</v>
      </c>
      <c r="I12" s="14">
        <f ca="1">INDIRECT("'("&amp;$A$4&amp;")'!j10")</f>
        <v>0</v>
      </c>
      <c r="K12" s="11"/>
      <c r="L12" s="98" t="s">
        <v>122</v>
      </c>
      <c r="M12" s="98" t="s">
        <v>61</v>
      </c>
      <c r="N12" s="13"/>
      <c r="O12" s="13"/>
      <c r="P12" s="13"/>
      <c r="Q12" s="13"/>
      <c r="R12" s="13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5" customFormat="1" ht="15" customHeight="1" x14ac:dyDescent="0.35">
      <c r="A13" s="4" t="s">
        <v>8</v>
      </c>
      <c r="B13" s="14">
        <f ca="1">INDIRECT("'("&amp;$A$4&amp;")'!C11")</f>
        <v>3171</v>
      </c>
      <c r="C13" s="14">
        <f ca="1">INDIRECT("'("&amp;$A$4&amp;")'!d11")</f>
        <v>1754</v>
      </c>
      <c r="D13" s="14">
        <f ca="1">INDIRECT("'("&amp;$A$4&amp;")'!e11")</f>
        <v>1104</v>
      </c>
      <c r="E13" s="14">
        <f ca="1">INDIRECT("'("&amp;$A$4&amp;")'!f11")</f>
        <v>1010</v>
      </c>
      <c r="F13" s="14">
        <f ca="1">INDIRECT("'("&amp;$A$4&amp;")'!g11")</f>
        <v>399</v>
      </c>
      <c r="G13" s="14">
        <f ca="1">INDIRECT("'("&amp;$A$4&amp;")'!h11")</f>
        <v>234</v>
      </c>
      <c r="H13" s="14">
        <f ca="1">INDIRECT("'("&amp;$A$4&amp;")'!i11")</f>
        <v>0</v>
      </c>
      <c r="I13" s="14">
        <f ca="1">INDIRECT("'("&amp;$A$4&amp;")'!j11")</f>
        <v>0</v>
      </c>
      <c r="K13" s="11"/>
      <c r="L13" s="98" t="s">
        <v>121</v>
      </c>
      <c r="M13" s="98" t="s">
        <v>62</v>
      </c>
      <c r="N13" s="13"/>
      <c r="O13" s="13"/>
      <c r="P13" s="13"/>
      <c r="Q13" s="13"/>
      <c r="R13" s="13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s="5" customFormat="1" ht="15" customHeight="1" x14ac:dyDescent="0.35">
      <c r="A14" s="4" t="s">
        <v>9</v>
      </c>
      <c r="B14" s="14">
        <f ca="1">INDIRECT("'("&amp;$A$4&amp;")'!C12")</f>
        <v>4318</v>
      </c>
      <c r="C14" s="14">
        <f ca="1">INDIRECT("'("&amp;$A$4&amp;")'!d12")</f>
        <v>4581.3</v>
      </c>
      <c r="D14" s="14">
        <f ca="1">INDIRECT("'("&amp;$A$4&amp;")'!e12")</f>
        <v>3399</v>
      </c>
      <c r="E14" s="14">
        <f ca="1">INDIRECT("'("&amp;$A$4&amp;")'!f12")</f>
        <v>3697</v>
      </c>
      <c r="F14" s="14">
        <f ca="1">INDIRECT("'("&amp;$A$4&amp;")'!g12")</f>
        <v>2104</v>
      </c>
      <c r="G14" s="14">
        <f ca="1">INDIRECT("'("&amp;$A$4&amp;")'!h12")</f>
        <v>2490</v>
      </c>
      <c r="H14" s="14">
        <f ca="1">INDIRECT("'("&amp;$A$4&amp;")'!i12")</f>
        <v>952</v>
      </c>
      <c r="I14" s="14">
        <f ca="1">INDIRECT("'("&amp;$A$4&amp;")'!j12")</f>
        <v>682</v>
      </c>
      <c r="K14" s="11"/>
      <c r="L14" s="98" t="s">
        <v>120</v>
      </c>
      <c r="M14" s="98" t="s">
        <v>63</v>
      </c>
      <c r="N14" s="13"/>
      <c r="O14" s="13"/>
      <c r="P14" s="13"/>
      <c r="Q14" s="13"/>
      <c r="R14" s="13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s="5" customFormat="1" ht="15" customHeight="1" x14ac:dyDescent="0.35">
      <c r="A15" s="4" t="s">
        <v>10</v>
      </c>
      <c r="B15" s="14">
        <f ca="1">INDIRECT("'("&amp;$A$4&amp;")'!C13")</f>
        <v>42395</v>
      </c>
      <c r="C15" s="14">
        <f ca="1">INDIRECT("'("&amp;$A$4&amp;")'!d13")</f>
        <v>21197.5</v>
      </c>
      <c r="D15" s="14">
        <f ca="1">INDIRECT("'("&amp;$A$4&amp;")'!e13")</f>
        <v>36379</v>
      </c>
      <c r="E15" s="14">
        <f ca="1">INDIRECT("'("&amp;$A$4&amp;")'!f13")</f>
        <v>18189.5</v>
      </c>
      <c r="F15" s="14">
        <f ca="1">INDIRECT("'("&amp;$A$4&amp;")'!g13")</f>
        <v>1465</v>
      </c>
      <c r="G15" s="14">
        <f ca="1">INDIRECT("'("&amp;$A$4&amp;")'!h13")</f>
        <v>732.5</v>
      </c>
      <c r="H15" s="14">
        <f ca="1">INDIRECT("'("&amp;$A$4&amp;")'!i13")</f>
        <v>0</v>
      </c>
      <c r="I15" s="14">
        <f ca="1">INDIRECT("'("&amp;$A$4&amp;")'!j13")</f>
        <v>0</v>
      </c>
      <c r="K15" s="11"/>
      <c r="L15" s="98" t="s">
        <v>119</v>
      </c>
      <c r="M15" s="98" t="s">
        <v>64</v>
      </c>
      <c r="N15" s="13"/>
      <c r="O15" s="13"/>
      <c r="P15" s="13"/>
      <c r="Q15" s="13"/>
      <c r="R15" s="13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s="5" customFormat="1" ht="15" customHeight="1" x14ac:dyDescent="0.35">
      <c r="A16" s="4" t="s">
        <v>11</v>
      </c>
      <c r="B16" s="14">
        <f ca="1">INDIRECT("'("&amp;$A$4&amp;")'!C14")</f>
        <v>18315</v>
      </c>
      <c r="C16" s="14">
        <f ca="1">INDIRECT("'("&amp;$A$4&amp;")'!d14")</f>
        <v>76000</v>
      </c>
      <c r="D16" s="14">
        <f ca="1">INDIRECT("'("&amp;$A$4&amp;")'!e14")</f>
        <v>10760</v>
      </c>
      <c r="E16" s="14">
        <f ca="1">INDIRECT("'("&amp;$A$4&amp;")'!f14")</f>
        <v>40328</v>
      </c>
      <c r="F16" s="14">
        <f ca="1">INDIRECT("'("&amp;$A$4&amp;")'!g14")</f>
        <v>3378</v>
      </c>
      <c r="G16" s="14">
        <f ca="1">INDIRECT("'("&amp;$A$4&amp;")'!h14")</f>
        <v>6777</v>
      </c>
      <c r="H16" s="14">
        <f ca="1">INDIRECT("'("&amp;$A$4&amp;")'!i14")</f>
        <v>3935</v>
      </c>
      <c r="I16" s="14">
        <f ca="1">INDIRECT("'("&amp;$A$4&amp;")'!j14")</f>
        <v>7870</v>
      </c>
      <c r="K16" s="11"/>
      <c r="L16" s="98" t="s">
        <v>118</v>
      </c>
      <c r="M16" s="98" t="s">
        <v>60</v>
      </c>
      <c r="N16" s="13"/>
      <c r="O16" s="13"/>
      <c r="P16" s="13"/>
      <c r="Q16" s="13"/>
      <c r="R16" s="13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s="5" customFormat="1" ht="15" customHeight="1" x14ac:dyDescent="0.35">
      <c r="A17" s="4" t="s">
        <v>12</v>
      </c>
      <c r="B17" s="14">
        <f ca="1">INDIRECT("'("&amp;$A$4&amp;")'!C15")</f>
        <v>5373</v>
      </c>
      <c r="C17" s="14">
        <f ca="1">INDIRECT("'("&amp;$A$4&amp;")'!d15")</f>
        <v>4622.25</v>
      </c>
      <c r="D17" s="14">
        <f ca="1">INDIRECT("'("&amp;$A$4&amp;")'!e15")</f>
        <v>1279</v>
      </c>
      <c r="E17" s="14">
        <f ca="1">INDIRECT("'("&amp;$A$4&amp;")'!f15")</f>
        <v>1083.2</v>
      </c>
      <c r="F17" s="14">
        <f ca="1">INDIRECT("'("&amp;$A$4&amp;")'!g15")</f>
        <v>3135</v>
      </c>
      <c r="G17" s="14">
        <f ca="1">INDIRECT("'("&amp;$A$4&amp;")'!h15")</f>
        <v>2213.33</v>
      </c>
      <c r="H17" s="14">
        <f ca="1">INDIRECT("'("&amp;$A$4&amp;")'!i15")</f>
        <v>792</v>
      </c>
      <c r="I17" s="14">
        <f ca="1">INDIRECT("'("&amp;$A$4&amp;")'!j15")</f>
        <v>178.6</v>
      </c>
      <c r="K17" s="11"/>
      <c r="L17" s="98" t="s">
        <v>117</v>
      </c>
      <c r="M17" s="98" t="s">
        <v>51</v>
      </c>
      <c r="N17" s="13"/>
      <c r="O17" s="13"/>
      <c r="P17" s="13"/>
      <c r="Q17" s="13"/>
      <c r="R17" s="13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s="5" customFormat="1" ht="15" customHeight="1" x14ac:dyDescent="0.35">
      <c r="A18" s="4" t="s">
        <v>13</v>
      </c>
      <c r="B18" s="14">
        <f ca="1">INDIRECT("'("&amp;$A$4&amp;")'!C16")</f>
        <v>10070</v>
      </c>
      <c r="C18" s="14">
        <f ca="1">INDIRECT("'("&amp;$A$4&amp;")'!d16")</f>
        <v>20140</v>
      </c>
      <c r="D18" s="14">
        <f ca="1">INDIRECT("'("&amp;$A$4&amp;")'!e16")</f>
        <v>5244</v>
      </c>
      <c r="E18" s="14">
        <f ca="1">INDIRECT("'("&amp;$A$4&amp;")'!f16")</f>
        <v>10488</v>
      </c>
      <c r="F18" s="14">
        <f ca="1">INDIRECT("'("&amp;$A$4&amp;")'!g16")</f>
        <v>3754</v>
      </c>
      <c r="G18" s="14">
        <f ca="1">INDIRECT("'("&amp;$A$4&amp;")'!h16")</f>
        <v>7508</v>
      </c>
      <c r="H18" s="14">
        <f ca="1">INDIRECT("'("&amp;$A$4&amp;")'!i16")</f>
        <v>10</v>
      </c>
      <c r="I18" s="14">
        <f ca="1">INDIRECT("'("&amp;$A$4&amp;")'!j16")</f>
        <v>20</v>
      </c>
      <c r="K18" s="11"/>
      <c r="L18" s="98" t="s">
        <v>129</v>
      </c>
      <c r="M18" s="101" t="s">
        <v>130</v>
      </c>
      <c r="N18" s="13"/>
      <c r="O18" s="13"/>
      <c r="P18" s="13"/>
      <c r="Q18" s="13"/>
      <c r="R18" s="13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5" customFormat="1" ht="15" customHeight="1" x14ac:dyDescent="0.35">
      <c r="A19" s="21" t="s">
        <v>14</v>
      </c>
      <c r="B19" s="14">
        <f ca="1">INDIRECT("'("&amp;$A$4&amp;")'!C17")</f>
        <v>9531</v>
      </c>
      <c r="C19" s="14">
        <f ca="1">INDIRECT("'("&amp;$A$4&amp;")'!d17")</f>
        <v>15371.75</v>
      </c>
      <c r="D19" s="14">
        <f ca="1">INDIRECT("'("&amp;$A$4&amp;")'!e17")</f>
        <v>7384</v>
      </c>
      <c r="E19" s="14">
        <f ca="1">INDIRECT("'("&amp;$A$4&amp;")'!f17")</f>
        <v>11609.63</v>
      </c>
      <c r="F19" s="14">
        <f ca="1">INDIRECT("'("&amp;$A$4&amp;")'!g17")</f>
        <v>3352</v>
      </c>
      <c r="G19" s="14">
        <f ca="1">INDIRECT("'("&amp;$A$4&amp;")'!h17")</f>
        <v>5872.89</v>
      </c>
      <c r="H19" s="14">
        <f ca="1">INDIRECT("'("&amp;$A$4&amp;")'!i17")</f>
        <v>3881</v>
      </c>
      <c r="I19" s="14">
        <f ca="1">INDIRECT("'("&amp;$A$4&amp;")'!j17")</f>
        <v>4836.99</v>
      </c>
      <c r="K19" s="11"/>
      <c r="L19" s="98" t="s">
        <v>147</v>
      </c>
      <c r="M19" s="101" t="s">
        <v>148</v>
      </c>
      <c r="N19" s="13"/>
      <c r="O19" s="13"/>
      <c r="P19" s="13"/>
      <c r="Q19" s="13"/>
      <c r="R19" s="13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5" customFormat="1" ht="15" customHeight="1" x14ac:dyDescent="0.35">
      <c r="A20" s="21" t="s">
        <v>15</v>
      </c>
      <c r="B20" s="14">
        <f ca="1">INDIRECT("'("&amp;$A$4&amp;")'!C18")</f>
        <v>10864</v>
      </c>
      <c r="C20" s="14">
        <f ca="1">INDIRECT("'("&amp;$A$4&amp;")'!d18")</f>
        <v>13164</v>
      </c>
      <c r="D20" s="14">
        <f ca="1">INDIRECT("'("&amp;$A$4&amp;")'!e18")</f>
        <v>7103</v>
      </c>
      <c r="E20" s="14">
        <f ca="1">INDIRECT("'("&amp;$A$4&amp;")'!f18")</f>
        <v>9024</v>
      </c>
      <c r="F20" s="14">
        <f ca="1">INDIRECT("'("&amp;$A$4&amp;")'!g18")</f>
        <v>2217</v>
      </c>
      <c r="G20" s="14">
        <f ca="1">INDIRECT("'("&amp;$A$4&amp;")'!h18")</f>
        <v>2806</v>
      </c>
      <c r="H20" s="14">
        <f ca="1">INDIRECT("'("&amp;$A$4&amp;")'!i18")</f>
        <v>0</v>
      </c>
      <c r="I20" s="14">
        <f ca="1">INDIRECT("'("&amp;$A$4&amp;")'!j18")</f>
        <v>0</v>
      </c>
      <c r="K20" s="11"/>
      <c r="L20" s="11"/>
      <c r="N20" s="13"/>
      <c r="O20" s="13"/>
      <c r="P20" s="13"/>
      <c r="Q20" s="13"/>
      <c r="R20" s="13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s="5" customFormat="1" ht="15" customHeight="1" x14ac:dyDescent="0.35">
      <c r="A21" s="21" t="s">
        <v>128</v>
      </c>
      <c r="B21" s="14">
        <f ca="1">INDIRECT("'("&amp;$A$4&amp;")'!C19")</f>
        <v>11783</v>
      </c>
      <c r="C21" s="14">
        <f ca="1">INDIRECT("'("&amp;$A$4&amp;")'!d19")</f>
        <v>15441</v>
      </c>
      <c r="D21" s="14">
        <f ca="1">INDIRECT("'("&amp;$A$4&amp;")'!e19")</f>
        <v>7779</v>
      </c>
      <c r="E21" s="14">
        <f ca="1">INDIRECT("'("&amp;$A$4&amp;")'!f19")</f>
        <v>10455</v>
      </c>
      <c r="F21" s="14" t="str">
        <f ca="1">INDIRECT("'("&amp;$A$4&amp;")'!g19")</f>
        <v>N/A</v>
      </c>
      <c r="G21" s="14" t="str">
        <f ca="1">INDIRECT("'("&amp;$A$4&amp;")'!h19")</f>
        <v>N/A</v>
      </c>
      <c r="H21" s="14">
        <f ca="1">INDIRECT("'("&amp;$A$4&amp;")'!i19")</f>
        <v>366</v>
      </c>
      <c r="I21" s="14">
        <f ca="1">INDIRECT("'("&amp;$A$4&amp;")'!j19")</f>
        <v>183</v>
      </c>
      <c r="K21" s="11"/>
      <c r="L21" s="11"/>
      <c r="N21" s="13"/>
      <c r="O21" s="13"/>
      <c r="P21" s="13"/>
      <c r="Q21" s="13"/>
      <c r="R21" s="13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s="5" customFormat="1" ht="15" customHeight="1" x14ac:dyDescent="0.35">
      <c r="A22" s="4" t="s">
        <v>16</v>
      </c>
      <c r="B22" s="14" t="str">
        <f ca="1">INDIRECT("'("&amp;$A$4&amp;")'!C20")</f>
        <v>..</v>
      </c>
      <c r="C22" s="14" t="str">
        <f ca="1">INDIRECT("'("&amp;$A$4&amp;")'!d20")</f>
        <v>..</v>
      </c>
      <c r="D22" s="14" t="str">
        <f ca="1">INDIRECT("'("&amp;$A$4&amp;")'!e20")</f>
        <v>..</v>
      </c>
      <c r="E22" s="14" t="str">
        <f ca="1">INDIRECT("'("&amp;$A$4&amp;")'!f20")</f>
        <v>..</v>
      </c>
      <c r="F22" s="14" t="str">
        <f ca="1">INDIRECT("'("&amp;$A$4&amp;")'!g20")</f>
        <v>..</v>
      </c>
      <c r="G22" s="14" t="str">
        <f ca="1">INDIRECT("'("&amp;$A$4&amp;")'!h20")</f>
        <v>..</v>
      </c>
      <c r="H22" s="14" t="str">
        <f ca="1">INDIRECT("'("&amp;$A$4&amp;")'!i20")</f>
        <v>..</v>
      </c>
      <c r="I22" s="14" t="str">
        <f ca="1">INDIRECT("'("&amp;$A$4&amp;")'!j20")</f>
        <v>..</v>
      </c>
      <c r="K22" s="11"/>
      <c r="L22" s="11"/>
      <c r="N22" s="13"/>
      <c r="O22" s="13"/>
      <c r="P22" s="13"/>
      <c r="Q22" s="13"/>
      <c r="R22" s="13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5" customFormat="1" ht="15" customHeight="1" x14ac:dyDescent="0.35">
      <c r="A23" s="4" t="s">
        <v>17</v>
      </c>
      <c r="B23" s="14">
        <f ca="1">INDIRECT("'("&amp;$A$4&amp;")'!C21")</f>
        <v>19545</v>
      </c>
      <c r="C23" s="14">
        <f ca="1">INDIRECT("'("&amp;$A$4&amp;")'!d21")</f>
        <v>14614</v>
      </c>
      <c r="D23" s="14">
        <f ca="1">INDIRECT("'("&amp;$A$4&amp;")'!e21")</f>
        <v>7072</v>
      </c>
      <c r="E23" s="14">
        <f ca="1">INDIRECT("'("&amp;$A$4&amp;")'!f21")</f>
        <v>5621</v>
      </c>
      <c r="F23" s="14">
        <f ca="1">INDIRECT("'("&amp;$A$4&amp;")'!g21")</f>
        <v>1196</v>
      </c>
      <c r="G23" s="14">
        <f ca="1">INDIRECT("'("&amp;$A$4&amp;")'!h21")</f>
        <v>1288</v>
      </c>
      <c r="H23" s="14">
        <f ca="1">INDIRECT("'("&amp;$A$4&amp;")'!i21")</f>
        <v>0</v>
      </c>
      <c r="I23" s="14">
        <f ca="1">INDIRECT("'("&amp;$A$4&amp;")'!j21")</f>
        <v>0</v>
      </c>
      <c r="K23" s="11"/>
      <c r="L23" s="11"/>
      <c r="N23" s="13"/>
      <c r="O23" s="13"/>
      <c r="P23" s="13"/>
      <c r="Q23" s="13"/>
      <c r="R23" s="13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5" customFormat="1" ht="15" customHeight="1" x14ac:dyDescent="0.35">
      <c r="A24" s="4" t="s">
        <v>18</v>
      </c>
      <c r="B24" s="14">
        <f ca="1">INDIRECT("'("&amp;$A$4&amp;")'!C22")</f>
        <v>10982</v>
      </c>
      <c r="C24" s="14">
        <f ca="1">INDIRECT("'("&amp;$A$4&amp;")'!d22")</f>
        <v>18709.25</v>
      </c>
      <c r="D24" s="14">
        <f ca="1">INDIRECT("'("&amp;$A$4&amp;")'!e22")</f>
        <v>2365</v>
      </c>
      <c r="E24" s="14">
        <f ca="1">INDIRECT("'("&amp;$A$4&amp;")'!f22")</f>
        <v>4025.25</v>
      </c>
      <c r="F24" s="14">
        <f ca="1">INDIRECT("'("&amp;$A$4&amp;")'!g22")</f>
        <v>1020</v>
      </c>
      <c r="G24" s="14">
        <f ca="1">INDIRECT("'("&amp;$A$4&amp;")'!h22")</f>
        <v>1742.75</v>
      </c>
      <c r="H24" s="14">
        <f ca="1">INDIRECT("'("&amp;$A$4&amp;")'!i22")</f>
        <v>0</v>
      </c>
      <c r="I24" s="14">
        <f ca="1">INDIRECT("'("&amp;$A$4&amp;")'!j22")</f>
        <v>0</v>
      </c>
      <c r="K24" s="11"/>
      <c r="L24" s="11"/>
      <c r="N24" s="13"/>
      <c r="O24" s="13"/>
      <c r="P24" s="13"/>
      <c r="Q24" s="13"/>
      <c r="R24" s="13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5" customFormat="1" ht="15" customHeight="1" x14ac:dyDescent="0.35">
      <c r="A25" s="4" t="s">
        <v>19</v>
      </c>
      <c r="B25" s="14">
        <f ca="1">INDIRECT("'("&amp;$A$4&amp;")'!C23")</f>
        <v>8513</v>
      </c>
      <c r="C25" s="14">
        <f ca="1">INDIRECT("'("&amp;$A$4&amp;")'!d23")</f>
        <v>27589</v>
      </c>
      <c r="D25" s="14">
        <f ca="1">INDIRECT("'("&amp;$A$4&amp;")'!e23")</f>
        <v>5003</v>
      </c>
      <c r="E25" s="14">
        <f ca="1">INDIRECT("'("&amp;$A$4&amp;")'!f23")</f>
        <v>16277</v>
      </c>
      <c r="F25" s="14">
        <f ca="1">INDIRECT("'("&amp;$A$4&amp;")'!g23")</f>
        <v>2435</v>
      </c>
      <c r="G25" s="14">
        <f ca="1">INDIRECT("'("&amp;$A$4&amp;")'!h23")</f>
        <v>7725</v>
      </c>
      <c r="H25" s="14">
        <f ca="1">INDIRECT("'("&amp;$A$4&amp;")'!i23")</f>
        <v>0</v>
      </c>
      <c r="I25" s="14">
        <f ca="1">INDIRECT("'("&amp;$A$4&amp;")'!j23")</f>
        <v>0</v>
      </c>
      <c r="K25" s="11"/>
      <c r="L25" s="11"/>
      <c r="N25" s="13"/>
      <c r="O25" s="13"/>
      <c r="P25" s="13"/>
      <c r="Q25" s="13"/>
      <c r="R25" s="13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s="5" customFormat="1" ht="15" customHeight="1" x14ac:dyDescent="0.35">
      <c r="A26" s="4" t="s">
        <v>20</v>
      </c>
      <c r="B26" s="14">
        <f ca="1">INDIRECT("'("&amp;$A$4&amp;")'!C24")</f>
        <v>7649</v>
      </c>
      <c r="C26" s="14">
        <f ca="1">INDIRECT("'("&amp;$A$4&amp;")'!d24")</f>
        <v>13692</v>
      </c>
      <c r="D26" s="14">
        <f ca="1">INDIRECT("'("&amp;$A$4&amp;")'!e24")</f>
        <v>4151</v>
      </c>
      <c r="E26" s="14">
        <f ca="1">INDIRECT("'("&amp;$A$4&amp;")'!f24")</f>
        <v>7430</v>
      </c>
      <c r="F26" s="14">
        <f ca="1">INDIRECT("'("&amp;$A$4&amp;")'!g24")</f>
        <v>2860</v>
      </c>
      <c r="G26" s="14">
        <f ca="1">INDIRECT("'("&amp;$A$4&amp;")'!h24")</f>
        <v>5119</v>
      </c>
      <c r="H26" s="14">
        <f ca="1">INDIRECT("'("&amp;$A$4&amp;")'!i24")</f>
        <v>0</v>
      </c>
      <c r="I26" s="14">
        <f ca="1">INDIRECT("'("&amp;$A$4&amp;")'!j24")</f>
        <v>0</v>
      </c>
      <c r="K26" s="11"/>
      <c r="L26" s="11"/>
      <c r="N26" s="13"/>
      <c r="O26" s="13"/>
      <c r="P26" s="13"/>
      <c r="Q26" s="13"/>
      <c r="R26" s="13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s="5" customFormat="1" ht="15" customHeight="1" x14ac:dyDescent="0.35">
      <c r="A27" s="4" t="s">
        <v>23</v>
      </c>
      <c r="B27" s="14">
        <f ca="1">INDIRECT("'("&amp;$A$4&amp;")'!C25")</f>
        <v>5030</v>
      </c>
      <c r="C27" s="14">
        <f ca="1">INDIRECT("'("&amp;$A$4&amp;")'!d25")</f>
        <v>8593</v>
      </c>
      <c r="D27" s="14">
        <f ca="1">INDIRECT("'("&amp;$A$4&amp;")'!e25")</f>
        <v>3305</v>
      </c>
      <c r="E27" s="14">
        <f ca="1">INDIRECT("'("&amp;$A$4&amp;")'!f25")</f>
        <v>6917</v>
      </c>
      <c r="F27" s="14">
        <f ca="1">INDIRECT("'("&amp;$A$4&amp;")'!g25")</f>
        <v>17</v>
      </c>
      <c r="G27" s="14">
        <f ca="1">INDIRECT("'("&amp;$A$4&amp;")'!h25")</f>
        <v>60</v>
      </c>
      <c r="H27" s="14">
        <f ca="1">INDIRECT("'("&amp;$A$4&amp;")'!i25")</f>
        <v>133</v>
      </c>
      <c r="I27" s="14">
        <f ca="1">INDIRECT("'("&amp;$A$4&amp;")'!j25")</f>
        <v>68</v>
      </c>
      <c r="K27" s="11"/>
      <c r="L27" s="11"/>
      <c r="N27" s="13"/>
      <c r="O27" s="13"/>
      <c r="P27" s="13"/>
      <c r="Q27" s="13"/>
      <c r="R27" s="13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5" customFormat="1" ht="15" customHeight="1" x14ac:dyDescent="0.35">
      <c r="A28" s="4" t="s">
        <v>24</v>
      </c>
      <c r="B28" s="14">
        <f ca="1">INDIRECT("'("&amp;$A$4&amp;")'!C26")</f>
        <v>4113</v>
      </c>
      <c r="C28" s="14">
        <f ca="1">INDIRECT("'("&amp;$A$4&amp;")'!d26")</f>
        <v>4485</v>
      </c>
      <c r="D28" s="14">
        <f ca="1">INDIRECT("'("&amp;$A$4&amp;")'!e26")</f>
        <v>2546</v>
      </c>
      <c r="E28" s="14">
        <f ca="1">INDIRECT("'("&amp;$A$4&amp;")'!f26")</f>
        <v>2885</v>
      </c>
      <c r="F28" s="14">
        <f ca="1">INDIRECT("'("&amp;$A$4&amp;")'!g26")</f>
        <v>1260</v>
      </c>
      <c r="G28" s="14">
        <f ca="1">INDIRECT("'("&amp;$A$4&amp;")'!h26")</f>
        <v>1537</v>
      </c>
      <c r="H28" s="14">
        <f ca="1">INDIRECT("'("&amp;$A$4&amp;")'!i26")</f>
        <v>0</v>
      </c>
      <c r="I28" s="14">
        <f ca="1">INDIRECT("'("&amp;$A$4&amp;")'!j26")</f>
        <v>0</v>
      </c>
      <c r="K28" s="11"/>
      <c r="L28" s="11"/>
      <c r="N28" s="13"/>
      <c r="O28" s="13"/>
      <c r="P28" s="13"/>
      <c r="Q28" s="13"/>
      <c r="R28" s="13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s="5" customFormat="1" ht="15" customHeight="1" x14ac:dyDescent="0.35">
      <c r="A29" s="4" t="s">
        <v>25</v>
      </c>
      <c r="B29" s="14">
        <f ca="1">INDIRECT("'("&amp;$A$4&amp;")'!C27")</f>
        <v>3512</v>
      </c>
      <c r="C29" s="14">
        <f ca="1">INDIRECT("'("&amp;$A$4&amp;")'!d27")</f>
        <v>2613</v>
      </c>
      <c r="D29" s="14">
        <f ca="1">INDIRECT("'("&amp;$A$4&amp;")'!e27")</f>
        <v>1831</v>
      </c>
      <c r="E29" s="14">
        <f ca="1">INDIRECT("'("&amp;$A$4&amp;")'!f27")</f>
        <v>1430</v>
      </c>
      <c r="F29" s="14">
        <f ca="1">INDIRECT("'("&amp;$A$4&amp;")'!g27")</f>
        <v>444</v>
      </c>
      <c r="G29" s="14">
        <f ca="1">INDIRECT("'("&amp;$A$4&amp;")'!h27")</f>
        <v>384</v>
      </c>
      <c r="H29" s="14">
        <f ca="1">INDIRECT("'("&amp;$A$4&amp;")'!i27")</f>
        <v>2320</v>
      </c>
      <c r="I29" s="14">
        <f ca="1">INDIRECT("'("&amp;$A$4&amp;")'!j27")</f>
        <v>2589</v>
      </c>
      <c r="K29" s="11"/>
      <c r="L29" s="11"/>
      <c r="N29" s="13"/>
      <c r="O29" s="13"/>
      <c r="P29" s="13"/>
      <c r="Q29" s="13"/>
      <c r="R29" s="13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5" customFormat="1" ht="15" customHeight="1" x14ac:dyDescent="0.35">
      <c r="A30" s="4" t="s">
        <v>26</v>
      </c>
      <c r="B30" s="14">
        <f ca="1">INDIRECT("'("&amp;$A$4&amp;")'!C28")</f>
        <v>5376</v>
      </c>
      <c r="C30" s="14">
        <f ca="1">INDIRECT("'("&amp;$A$4&amp;")'!d28")</f>
        <v>3982</v>
      </c>
      <c r="D30" s="14">
        <f ca="1">INDIRECT("'("&amp;$A$4&amp;")'!e28")</f>
        <v>2457</v>
      </c>
      <c r="E30" s="14">
        <f ca="1">INDIRECT("'("&amp;$A$4&amp;")'!f28")</f>
        <v>1744</v>
      </c>
      <c r="F30" s="14">
        <f ca="1">INDIRECT("'("&amp;$A$4&amp;")'!g28")</f>
        <v>1035</v>
      </c>
      <c r="G30" s="14">
        <f ca="1">INDIRECT("'("&amp;$A$4&amp;")'!h28")</f>
        <v>817</v>
      </c>
      <c r="H30" s="14">
        <f ca="1">INDIRECT("'("&amp;$A$4&amp;")'!i28")</f>
        <v>0</v>
      </c>
      <c r="I30" s="14">
        <f ca="1">INDIRECT("'("&amp;$A$4&amp;")'!j28")</f>
        <v>0</v>
      </c>
      <c r="K30" s="11"/>
      <c r="L30" s="11"/>
      <c r="N30" s="13"/>
      <c r="O30" s="13"/>
      <c r="P30" s="13"/>
      <c r="Q30" s="13"/>
      <c r="R30" s="13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5" customFormat="1" ht="15" customHeight="1" x14ac:dyDescent="0.35">
      <c r="A31" s="4" t="s">
        <v>27</v>
      </c>
      <c r="B31" s="14">
        <f ca="1">INDIRECT("'("&amp;$A$4&amp;")'!C29")</f>
        <v>647</v>
      </c>
      <c r="C31" s="14">
        <f ca="1">INDIRECT("'("&amp;$A$4&amp;")'!d29")</f>
        <v>467</v>
      </c>
      <c r="D31" s="14">
        <f ca="1">INDIRECT("'("&amp;$A$4&amp;")'!e29")</f>
        <v>480</v>
      </c>
      <c r="E31" s="14">
        <f ca="1">INDIRECT("'("&amp;$A$4&amp;")'!f29")</f>
        <v>356</v>
      </c>
      <c r="F31" s="14" t="str">
        <f ca="1">INDIRECT("'("&amp;$A$4&amp;")'!g29")</f>
        <v>N/A</v>
      </c>
      <c r="G31" s="14" t="str">
        <f ca="1">INDIRECT("'("&amp;$A$4&amp;")'!h29")</f>
        <v>N/A</v>
      </c>
      <c r="H31" s="14">
        <f ca="1">INDIRECT("'("&amp;$A$4&amp;")'!i29")</f>
        <v>230</v>
      </c>
      <c r="I31" s="14">
        <f ca="1">INDIRECT("'("&amp;$A$4&amp;")'!j29")</f>
        <v>163</v>
      </c>
      <c r="K31" s="11"/>
      <c r="L31" s="11"/>
      <c r="N31" s="13"/>
      <c r="O31" s="13"/>
      <c r="P31" s="13"/>
      <c r="Q31" s="13"/>
      <c r="R31" s="13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s="5" customFormat="1" ht="15" customHeight="1" x14ac:dyDescent="0.35">
      <c r="A32" s="5" t="s">
        <v>29</v>
      </c>
      <c r="B32" s="14">
        <f ca="1">INDIRECT("'("&amp;$A$4&amp;")'!C30")</f>
        <v>15933</v>
      </c>
      <c r="C32" s="14">
        <f ca="1">INDIRECT("'("&amp;$A$4&amp;")'!d30")</f>
        <v>23899.5</v>
      </c>
      <c r="D32" s="14">
        <f ca="1">INDIRECT("'("&amp;$A$4&amp;")'!e30")</f>
        <v>10050</v>
      </c>
      <c r="E32" s="14">
        <f ca="1">INDIRECT("'("&amp;$A$4&amp;")'!f30")</f>
        <v>15075</v>
      </c>
      <c r="F32" s="14">
        <f ca="1">INDIRECT("'("&amp;$A$4&amp;")'!g30")</f>
        <v>6510</v>
      </c>
      <c r="G32" s="14">
        <f ca="1">INDIRECT("'("&amp;$A$4&amp;")'!h30")</f>
        <v>9765</v>
      </c>
      <c r="H32" s="14">
        <f ca="1">INDIRECT("'("&amp;$A$4&amp;")'!i30")</f>
        <v>0</v>
      </c>
      <c r="I32" s="14">
        <f ca="1">INDIRECT("'("&amp;$A$4&amp;")'!j30")</f>
        <v>0</v>
      </c>
      <c r="K32" s="11"/>
      <c r="L32" s="11"/>
      <c r="N32" s="13"/>
      <c r="O32" s="13"/>
      <c r="P32" s="13"/>
      <c r="Q32" s="13"/>
      <c r="R32" s="13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5" customFormat="1" ht="15" customHeight="1" x14ac:dyDescent="0.35">
      <c r="A33" s="5" t="s">
        <v>30</v>
      </c>
      <c r="B33" s="14">
        <f ca="1">INDIRECT("'("&amp;$A$4&amp;")'!C31")</f>
        <v>11954</v>
      </c>
      <c r="C33" s="14">
        <f ca="1">INDIRECT("'("&amp;$A$4&amp;")'!d31")</f>
        <v>21959</v>
      </c>
      <c r="D33" s="14">
        <f ca="1">INDIRECT("'("&amp;$A$4&amp;")'!e31")</f>
        <v>8507</v>
      </c>
      <c r="E33" s="14">
        <f ca="1">INDIRECT("'("&amp;$A$4&amp;")'!f31")</f>
        <v>14462</v>
      </c>
      <c r="F33" s="14">
        <f ca="1">INDIRECT("'("&amp;$A$4&amp;")'!g31")</f>
        <v>8131</v>
      </c>
      <c r="G33" s="14">
        <f ca="1">INDIRECT("'("&amp;$A$4&amp;")'!h31")</f>
        <v>13823</v>
      </c>
      <c r="H33" s="14">
        <f ca="1">INDIRECT("'("&amp;$A$4&amp;")'!i31")</f>
        <v>0</v>
      </c>
      <c r="I33" s="14">
        <f ca="1">INDIRECT("'("&amp;$A$4&amp;")'!j31")</f>
        <v>0</v>
      </c>
      <c r="K33" s="11"/>
      <c r="L33" s="11"/>
      <c r="N33" s="13"/>
      <c r="O33" s="13"/>
      <c r="P33" s="13"/>
      <c r="Q33" s="13"/>
      <c r="R33" s="13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s="5" customFormat="1" ht="15" customHeight="1" x14ac:dyDescent="0.35">
      <c r="A34" s="4" t="s">
        <v>31</v>
      </c>
      <c r="B34" s="14">
        <f ca="1">INDIRECT("'("&amp;$A$4&amp;")'!C32")</f>
        <v>7926</v>
      </c>
      <c r="C34" s="14">
        <f ca="1">INDIRECT("'("&amp;$A$4&amp;")'!d32")</f>
        <v>13871</v>
      </c>
      <c r="D34" s="14">
        <f ca="1">INDIRECT("'("&amp;$A$4&amp;")'!e32")</f>
        <v>4743</v>
      </c>
      <c r="E34" s="14">
        <f ca="1">INDIRECT("'("&amp;$A$4&amp;")'!f32")</f>
        <v>8300</v>
      </c>
      <c r="F34" s="14">
        <f ca="1">INDIRECT("'("&amp;$A$4&amp;")'!g32")</f>
        <v>2299</v>
      </c>
      <c r="G34" s="14">
        <f ca="1">INDIRECT("'("&amp;$A$4&amp;")'!h32")</f>
        <v>4023</v>
      </c>
      <c r="H34" s="14">
        <f ca="1">INDIRECT("'("&amp;$A$4&amp;")'!i32")</f>
        <v>480</v>
      </c>
      <c r="I34" s="14">
        <f ca="1">INDIRECT("'("&amp;$A$4&amp;")'!j32")</f>
        <v>840</v>
      </c>
      <c r="K34" s="11"/>
      <c r="L34" s="11"/>
      <c r="N34" s="13"/>
      <c r="O34" s="13"/>
      <c r="P34" s="13"/>
      <c r="Q34" s="13"/>
      <c r="R34" s="13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5" customFormat="1" ht="15" customHeight="1" x14ac:dyDescent="0.35">
      <c r="A35" s="5" t="s">
        <v>32</v>
      </c>
      <c r="B35" s="14">
        <f ca="1">INDIRECT("'("&amp;$A$4&amp;")'!C33")</f>
        <v>5274</v>
      </c>
      <c r="C35" s="14">
        <f ca="1">INDIRECT("'("&amp;$A$4&amp;")'!d33")</f>
        <v>4490</v>
      </c>
      <c r="D35" s="14">
        <f ca="1">INDIRECT("'("&amp;$A$4&amp;")'!e33")</f>
        <v>2044</v>
      </c>
      <c r="E35" s="14">
        <f ca="1">INDIRECT("'("&amp;$A$4&amp;")'!f33")</f>
        <v>2594</v>
      </c>
      <c r="F35" s="14">
        <f ca="1">INDIRECT("'("&amp;$A$4&amp;")'!g33")</f>
        <v>2031</v>
      </c>
      <c r="G35" s="14">
        <f ca="1">INDIRECT("'("&amp;$A$4&amp;")'!h33")</f>
        <v>2803</v>
      </c>
      <c r="H35" s="14">
        <f ca="1">INDIRECT("'("&amp;$A$4&amp;")'!i33")</f>
        <v>15</v>
      </c>
      <c r="I35" s="14">
        <f ca="1">INDIRECT("'("&amp;$A$4&amp;")'!j33")</f>
        <v>23</v>
      </c>
      <c r="K35" s="11"/>
      <c r="L35" s="11"/>
      <c r="N35" s="13"/>
      <c r="O35" s="13"/>
      <c r="P35" s="13"/>
      <c r="Q35" s="13"/>
      <c r="R35" s="13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5" customFormat="1" ht="15" customHeight="1" x14ac:dyDescent="0.35">
      <c r="A36" s="5" t="s">
        <v>34</v>
      </c>
      <c r="B36" s="14">
        <f ca="1">INDIRECT("'("&amp;$A$4&amp;")'!C34")</f>
        <v>3751</v>
      </c>
      <c r="C36" s="14">
        <f ca="1">INDIRECT("'("&amp;$A$4&amp;")'!d34")</f>
        <v>3620.25</v>
      </c>
      <c r="D36" s="14">
        <f ca="1">INDIRECT("'("&amp;$A$4&amp;")'!e34")</f>
        <v>2047</v>
      </c>
      <c r="E36" s="14">
        <f ca="1">INDIRECT("'("&amp;$A$4&amp;")'!f34")</f>
        <v>1965</v>
      </c>
      <c r="F36" s="14" t="str">
        <f ca="1">INDIRECT("'("&amp;$A$4&amp;")'!g34")</f>
        <v>N/A</v>
      </c>
      <c r="G36" s="14" t="str">
        <f ca="1">INDIRECT("'("&amp;$A$4&amp;")'!h34")</f>
        <v>N/A</v>
      </c>
      <c r="H36" s="14">
        <f ca="1">INDIRECT("'("&amp;$A$4&amp;")'!i34")</f>
        <v>13</v>
      </c>
      <c r="I36" s="14">
        <f ca="1">INDIRECT("'("&amp;$A$4&amp;")'!j34")</f>
        <v>7.25</v>
      </c>
      <c r="K36" s="11"/>
      <c r="L36" s="11"/>
      <c r="N36" s="13"/>
      <c r="O36" s="13"/>
      <c r="P36" s="13"/>
      <c r="Q36" s="13"/>
      <c r="R36" s="13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5" customFormat="1" ht="15" customHeight="1" x14ac:dyDescent="0.35">
      <c r="A37" s="5" t="s">
        <v>35</v>
      </c>
      <c r="B37" s="14">
        <f ca="1">INDIRECT("'("&amp;$A$4&amp;")'!C35")</f>
        <v>2956</v>
      </c>
      <c r="C37" s="14">
        <f ca="1">INDIRECT("'("&amp;$A$4&amp;")'!d35")</f>
        <v>4482</v>
      </c>
      <c r="D37" s="14">
        <f ca="1">INDIRECT("'("&amp;$A$4&amp;")'!e35")</f>
        <v>1905</v>
      </c>
      <c r="E37" s="14">
        <f ca="1">INDIRECT("'("&amp;$A$4&amp;")'!f35")</f>
        <v>2868</v>
      </c>
      <c r="F37" s="14">
        <f ca="1">INDIRECT("'("&amp;$A$4&amp;")'!g35")</f>
        <v>0</v>
      </c>
      <c r="G37" s="14">
        <f ca="1">INDIRECT("'("&amp;$A$4&amp;")'!h35")</f>
        <v>0</v>
      </c>
      <c r="H37" s="14">
        <f ca="1">INDIRECT("'("&amp;$A$4&amp;")'!i35")</f>
        <v>8</v>
      </c>
      <c r="I37" s="14">
        <f ca="1">INDIRECT("'("&amp;$A$4&amp;")'!j35")</f>
        <v>4</v>
      </c>
      <c r="K37" s="11"/>
      <c r="L37" s="11"/>
      <c r="N37" s="13"/>
      <c r="O37" s="13"/>
      <c r="P37" s="13"/>
      <c r="Q37" s="13"/>
      <c r="R37" s="13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5" customFormat="1" ht="15" customHeight="1" x14ac:dyDescent="0.35">
      <c r="A38" s="5" t="s">
        <v>36</v>
      </c>
      <c r="B38" s="14">
        <f ca="1">INDIRECT("'("&amp;$A$4&amp;")'!C36")</f>
        <v>2445</v>
      </c>
      <c r="C38" s="14">
        <f ca="1">INDIRECT("'("&amp;$A$4&amp;")'!d36")</f>
        <v>1698</v>
      </c>
      <c r="D38" s="14">
        <f ca="1">INDIRECT("'("&amp;$A$4&amp;")'!e36")</f>
        <v>1390</v>
      </c>
      <c r="E38" s="14">
        <f ca="1">INDIRECT("'("&amp;$A$4&amp;")'!f36")</f>
        <v>926</v>
      </c>
      <c r="F38" s="14">
        <f ca="1">INDIRECT("'("&amp;$A$4&amp;")'!g36")</f>
        <v>412</v>
      </c>
      <c r="G38" s="14">
        <f ca="1">INDIRECT("'("&amp;$A$4&amp;")'!h36")</f>
        <v>274</v>
      </c>
      <c r="H38" s="14">
        <f ca="1">INDIRECT("'("&amp;$A$4&amp;")'!i36")</f>
        <v>44</v>
      </c>
      <c r="I38" s="14">
        <f ca="1">INDIRECT("'("&amp;$A$4&amp;")'!j36")</f>
        <v>44</v>
      </c>
      <c r="K38" s="11"/>
      <c r="L38" s="11"/>
      <c r="N38" s="13"/>
      <c r="O38" s="13"/>
      <c r="P38" s="13"/>
      <c r="Q38" s="13"/>
      <c r="R38" s="13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5" customFormat="1" ht="15" customHeight="1" x14ac:dyDescent="0.35">
      <c r="A39" s="5" t="s">
        <v>37</v>
      </c>
      <c r="B39" s="14">
        <f ca="1">INDIRECT("'("&amp;$A$4&amp;")'!C37")</f>
        <v>7839</v>
      </c>
      <c r="C39" s="14">
        <f ca="1">INDIRECT("'("&amp;$A$4&amp;")'!d37")</f>
        <v>7646.5</v>
      </c>
      <c r="D39" s="14">
        <f ca="1">INDIRECT("'("&amp;$A$4&amp;")'!e37")</f>
        <v>4991</v>
      </c>
      <c r="E39" s="14">
        <f ca="1">INDIRECT("'("&amp;$A$4&amp;")'!f37")</f>
        <v>4878</v>
      </c>
      <c r="F39" s="14">
        <f ca="1">INDIRECT("'("&amp;$A$4&amp;")'!g37")</f>
        <v>1030</v>
      </c>
      <c r="G39" s="14">
        <f ca="1">INDIRECT("'("&amp;$A$4&amp;")'!h37")</f>
        <v>1319.25</v>
      </c>
      <c r="H39" s="14">
        <f ca="1">INDIRECT("'("&amp;$A$4&amp;")'!i37")</f>
        <v>4</v>
      </c>
      <c r="I39" s="14">
        <f ca="1">INDIRECT("'("&amp;$A$4&amp;")'!j37")</f>
        <v>2</v>
      </c>
      <c r="K39" s="11"/>
      <c r="L39" s="11"/>
      <c r="N39" s="13"/>
      <c r="O39" s="13"/>
      <c r="P39" s="13"/>
      <c r="Q39" s="13"/>
      <c r="R39" s="13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s="5" customFormat="1" ht="15" customHeight="1" x14ac:dyDescent="0.35">
      <c r="A40" s="4" t="s">
        <v>38</v>
      </c>
      <c r="B40" s="14">
        <f ca="1">INDIRECT("'("&amp;$A$4&amp;")'!C38")</f>
        <v>3757</v>
      </c>
      <c r="C40" s="14">
        <f ca="1">INDIRECT("'("&amp;$A$4&amp;")'!d38")</f>
        <v>11344</v>
      </c>
      <c r="D40" s="14">
        <f ca="1">INDIRECT("'("&amp;$A$4&amp;")'!e38")</f>
        <v>1879</v>
      </c>
      <c r="E40" s="14">
        <f ca="1">INDIRECT("'("&amp;$A$4&amp;")'!f38")</f>
        <v>5715</v>
      </c>
      <c r="F40" s="14">
        <f ca="1">INDIRECT("'("&amp;$A$4&amp;")'!g38")</f>
        <v>1692</v>
      </c>
      <c r="G40" s="14">
        <f ca="1">INDIRECT("'("&amp;$A$4&amp;")'!h38")</f>
        <v>5696</v>
      </c>
      <c r="H40" s="14">
        <f ca="1">INDIRECT("'("&amp;$A$4&amp;")'!i38")</f>
        <v>571</v>
      </c>
      <c r="I40" s="14">
        <f ca="1">INDIRECT("'("&amp;$A$4&amp;")'!j38")</f>
        <v>879</v>
      </c>
      <c r="K40" s="11"/>
      <c r="L40" s="11"/>
      <c r="N40" s="13"/>
      <c r="O40" s="13"/>
      <c r="P40" s="13"/>
      <c r="Q40" s="13"/>
      <c r="R40" s="13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s="5" customFormat="1" ht="15" customHeight="1" x14ac:dyDescent="0.35">
      <c r="A41" s="4" t="s">
        <v>39</v>
      </c>
      <c r="B41" s="14">
        <f ca="1">INDIRECT("'("&amp;$A$4&amp;")'!C39")</f>
        <v>2252</v>
      </c>
      <c r="C41" s="14">
        <f ca="1">INDIRECT("'("&amp;$A$4&amp;")'!d39")</f>
        <v>5593.5</v>
      </c>
      <c r="D41" s="14">
        <f ca="1">INDIRECT("'("&amp;$A$4&amp;")'!e39")</f>
        <v>1916</v>
      </c>
      <c r="E41" s="14">
        <f ca="1">INDIRECT("'("&amp;$A$4&amp;")'!f39")</f>
        <v>3723</v>
      </c>
      <c r="F41" s="14">
        <f ca="1">INDIRECT("'("&amp;$A$4&amp;")'!g39")</f>
        <v>6</v>
      </c>
      <c r="G41" s="14">
        <f ca="1">INDIRECT("'("&amp;$A$4&amp;")'!h39")</f>
        <v>12.75</v>
      </c>
      <c r="H41" s="14">
        <f ca="1">INDIRECT("'("&amp;$A$4&amp;")'!i39")</f>
        <v>13</v>
      </c>
      <c r="I41" s="14">
        <f ca="1">INDIRECT("'("&amp;$A$4&amp;")'!j39")</f>
        <v>13</v>
      </c>
      <c r="K41" s="11"/>
      <c r="L41" s="11"/>
      <c r="N41" s="13"/>
      <c r="O41" s="13"/>
      <c r="P41" s="13"/>
      <c r="Q41" s="13"/>
      <c r="R41" s="13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s="5" customFormat="1" ht="15" customHeight="1" x14ac:dyDescent="0.35">
      <c r="A42" s="4" t="s">
        <v>40</v>
      </c>
      <c r="B42" s="14">
        <f ca="1">INDIRECT("'("&amp;$A$4&amp;")'!C40")</f>
        <v>4205</v>
      </c>
      <c r="C42" s="14">
        <f ca="1">INDIRECT("'("&amp;$A$4&amp;")'!d40")</f>
        <v>3889</v>
      </c>
      <c r="D42" s="14">
        <f ca="1">INDIRECT("'("&amp;$A$4&amp;")'!e40")</f>
        <v>3504</v>
      </c>
      <c r="E42" s="14">
        <f ca="1">INDIRECT("'("&amp;$A$4&amp;")'!f40")</f>
        <v>3419.95</v>
      </c>
      <c r="F42" s="14" t="str">
        <f ca="1">INDIRECT("'("&amp;$A$4&amp;")'!g40")</f>
        <v>N/A</v>
      </c>
      <c r="G42" s="14" t="str">
        <f ca="1">INDIRECT("'("&amp;$A$4&amp;")'!h40")</f>
        <v>N/A</v>
      </c>
      <c r="H42" s="14">
        <f ca="1">INDIRECT("'("&amp;$A$4&amp;")'!i40")</f>
        <v>546</v>
      </c>
      <c r="I42" s="14" t="str">
        <f ca="1">INDIRECT("'("&amp;$A$4&amp;")'!j40")</f>
        <v>N/A</v>
      </c>
      <c r="K42" s="11"/>
      <c r="L42" s="11"/>
      <c r="N42" s="13"/>
      <c r="O42" s="13"/>
      <c r="P42" s="13"/>
      <c r="Q42" s="13"/>
      <c r="R42" s="13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s="5" customFormat="1" ht="15" customHeight="1" x14ac:dyDescent="0.35">
      <c r="A43" s="4" t="s">
        <v>42</v>
      </c>
      <c r="B43" s="14">
        <f ca="1">INDIRECT("'("&amp;$A$4&amp;")'!C41")</f>
        <v>25206</v>
      </c>
      <c r="C43" s="14" t="str">
        <f ca="1">INDIRECT("'("&amp;$A$4&amp;")'!d41")</f>
        <v>N/A</v>
      </c>
      <c r="D43" s="14">
        <f ca="1">INDIRECT("'("&amp;$A$4&amp;")'!e41")</f>
        <v>15199</v>
      </c>
      <c r="E43" s="14" t="str">
        <f ca="1">INDIRECT("'("&amp;$A$4&amp;")'!f41")</f>
        <v>N/A</v>
      </c>
      <c r="F43" s="14">
        <f ca="1">INDIRECT("'("&amp;$A$4&amp;")'!g41")</f>
        <v>2099</v>
      </c>
      <c r="G43" s="14" t="str">
        <f ca="1">INDIRECT("'("&amp;$A$4&amp;")'!h41")</f>
        <v>N/A</v>
      </c>
      <c r="H43" s="14">
        <f ca="1">INDIRECT("'("&amp;$A$4&amp;")'!i41")</f>
        <v>318</v>
      </c>
      <c r="I43" s="14" t="str">
        <f ca="1">INDIRECT("'("&amp;$A$4&amp;")'!j41")</f>
        <v>N/A</v>
      </c>
      <c r="K43" s="11"/>
      <c r="L43" s="11"/>
      <c r="N43" s="13"/>
      <c r="O43" s="13"/>
      <c r="P43" s="13"/>
      <c r="Q43" s="13"/>
      <c r="R43" s="13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s="5" customFormat="1" ht="15" customHeight="1" x14ac:dyDescent="0.35">
      <c r="A44" s="4" t="s">
        <v>43</v>
      </c>
      <c r="B44" s="14">
        <f ca="1">INDIRECT("'("&amp;$A$4&amp;")'!C42")</f>
        <v>1310</v>
      </c>
      <c r="C44" s="14">
        <f ca="1">INDIRECT("'("&amp;$A$4&amp;")'!d42")</f>
        <v>2691</v>
      </c>
      <c r="D44" s="14">
        <f ca="1">INDIRECT("'("&amp;$A$4&amp;")'!e42")</f>
        <v>809</v>
      </c>
      <c r="E44" s="14">
        <f ca="1">INDIRECT("'("&amp;$A$4&amp;")'!f42")</f>
        <v>1879</v>
      </c>
      <c r="F44" s="14">
        <f ca="1">INDIRECT("'("&amp;$A$4&amp;")'!g42")</f>
        <v>159</v>
      </c>
      <c r="G44" s="14">
        <f ca="1">INDIRECT("'("&amp;$A$4&amp;")'!h42")</f>
        <v>410</v>
      </c>
      <c r="H44" s="14">
        <f ca="1">INDIRECT("'("&amp;$A$4&amp;")'!i42")</f>
        <v>0</v>
      </c>
      <c r="I44" s="14">
        <f ca="1">INDIRECT("'("&amp;$A$4&amp;")'!j42")</f>
        <v>0</v>
      </c>
      <c r="K44" s="11"/>
      <c r="L44" s="11"/>
      <c r="N44" s="13"/>
      <c r="O44" s="13"/>
      <c r="P44" s="13"/>
      <c r="Q44" s="13"/>
      <c r="R44" s="13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s="5" customFormat="1" ht="15" customHeight="1" x14ac:dyDescent="0.35">
      <c r="A45" s="4" t="s">
        <v>44</v>
      </c>
      <c r="B45" s="14">
        <f ca="1">INDIRECT("'("&amp;$A$4&amp;")'!C43")</f>
        <v>3521</v>
      </c>
      <c r="C45" s="14">
        <f ca="1">INDIRECT("'("&amp;$A$4&amp;")'!d43")</f>
        <v>17848</v>
      </c>
      <c r="D45" s="14">
        <f ca="1">INDIRECT("'("&amp;$A$4&amp;")'!e43")</f>
        <v>2475</v>
      </c>
      <c r="E45" s="14">
        <f ca="1">INDIRECT("'("&amp;$A$4&amp;")'!f43")</f>
        <v>10182</v>
      </c>
      <c r="F45" s="14">
        <f ca="1">INDIRECT("'("&amp;$A$4&amp;")'!g43")</f>
        <v>1373</v>
      </c>
      <c r="G45" s="14">
        <f ca="1">INDIRECT("'("&amp;$A$4&amp;")'!h43")</f>
        <v>11843</v>
      </c>
      <c r="H45" s="14">
        <f ca="1">INDIRECT("'("&amp;$A$4&amp;")'!i43")</f>
        <v>887</v>
      </c>
      <c r="I45" s="14">
        <f ca="1">INDIRECT("'("&amp;$A$4&amp;")'!j43")</f>
        <v>3600</v>
      </c>
      <c r="K45" s="11"/>
      <c r="L45" s="11"/>
      <c r="N45" s="13"/>
      <c r="O45" s="13"/>
      <c r="P45" s="13"/>
      <c r="Q45" s="13"/>
      <c r="R45" s="13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s="5" customFormat="1" ht="15" customHeight="1" x14ac:dyDescent="0.35">
      <c r="A46" s="4" t="s">
        <v>46</v>
      </c>
      <c r="B46" s="14">
        <f ca="1">INDIRECT("'("&amp;$A$4&amp;")'!C44")</f>
        <v>4039</v>
      </c>
      <c r="C46" s="14">
        <f ca="1">INDIRECT("'("&amp;$A$4&amp;")'!d44")</f>
        <v>8078</v>
      </c>
      <c r="D46" s="14">
        <f ca="1">INDIRECT("'("&amp;$A$4&amp;")'!e44")</f>
        <v>2964</v>
      </c>
      <c r="E46" s="14">
        <f ca="1">INDIRECT("'("&amp;$A$4&amp;")'!f44")</f>
        <v>5928</v>
      </c>
      <c r="F46" s="14">
        <f ca="1">INDIRECT("'("&amp;$A$4&amp;")'!g44")</f>
        <v>686</v>
      </c>
      <c r="G46" s="14">
        <f ca="1">INDIRECT("'("&amp;$A$4&amp;")'!h44")</f>
        <v>1372</v>
      </c>
      <c r="H46" s="14">
        <f ca="1">INDIRECT("'("&amp;$A$4&amp;")'!i44")</f>
        <v>0</v>
      </c>
      <c r="I46" s="14">
        <f ca="1">INDIRECT("'("&amp;$A$4&amp;")'!j44")</f>
        <v>0</v>
      </c>
      <c r="K46" s="11"/>
      <c r="L46" s="11"/>
      <c r="N46" s="13"/>
      <c r="O46" s="13"/>
      <c r="P46" s="13"/>
      <c r="Q46" s="13"/>
      <c r="R46" s="13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s="5" customFormat="1" ht="15" customHeight="1" x14ac:dyDescent="0.35">
      <c r="A47" s="4" t="s">
        <v>48</v>
      </c>
      <c r="B47" s="54">
        <f ca="1">INDIRECT("'("&amp;$A$4&amp;")'!C45")</f>
        <v>6647</v>
      </c>
      <c r="C47" s="54">
        <f ca="1">INDIRECT("'("&amp;$A$4&amp;")'!d45")</f>
        <v>9534</v>
      </c>
      <c r="D47" s="54">
        <f ca="1">INDIRECT("'("&amp;$A$4&amp;")'!e45")</f>
        <v>5073</v>
      </c>
      <c r="E47" s="54">
        <f ca="1">INDIRECT("'("&amp;$A$4&amp;")'!f45")</f>
        <v>6922</v>
      </c>
      <c r="F47" s="54">
        <f ca="1">INDIRECT("'("&amp;$A$4&amp;")'!g45")</f>
        <v>1568</v>
      </c>
      <c r="G47" s="54">
        <f ca="1">INDIRECT("'("&amp;$A$4&amp;")'!h45")</f>
        <v>2612</v>
      </c>
      <c r="H47" s="54">
        <f ca="1">INDIRECT("'("&amp;$A$4&amp;")'!i45")</f>
        <v>0</v>
      </c>
      <c r="I47" s="54">
        <f ca="1">INDIRECT("'("&amp;$A$4&amp;")'!j45")</f>
        <v>0</v>
      </c>
      <c r="K47" s="11"/>
      <c r="L47" s="11"/>
      <c r="N47" s="13"/>
      <c r="O47" s="13"/>
      <c r="P47" s="13"/>
      <c r="Q47" s="13"/>
      <c r="R47" s="13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s="5" customFormat="1" ht="15" customHeight="1" x14ac:dyDescent="0.35">
      <c r="A48" s="4" t="s">
        <v>50</v>
      </c>
      <c r="B48" s="14" t="str">
        <f ca="1">INDIRECT("'("&amp;$A$4&amp;")'!C46")</f>
        <v>..</v>
      </c>
      <c r="C48" s="14" t="str">
        <f ca="1">INDIRECT("'("&amp;$A$4&amp;")'!d46")</f>
        <v>..</v>
      </c>
      <c r="D48" s="14" t="str">
        <f ca="1">INDIRECT("'("&amp;$A$4&amp;")'!e46")</f>
        <v>..</v>
      </c>
      <c r="E48" s="14" t="str">
        <f ca="1">INDIRECT("'("&amp;$A$4&amp;")'!f46")</f>
        <v>..</v>
      </c>
      <c r="F48" s="14" t="str">
        <f ca="1">INDIRECT("'("&amp;$A$4&amp;")'!g46")</f>
        <v>..</v>
      </c>
      <c r="G48" s="14" t="str">
        <f ca="1">INDIRECT("'("&amp;$A$4&amp;")'!h46")</f>
        <v>..</v>
      </c>
      <c r="H48" s="14" t="str">
        <f ca="1">INDIRECT("'("&amp;$A$4&amp;")'!i46")</f>
        <v>..</v>
      </c>
      <c r="I48" s="14" t="str">
        <f ca="1">INDIRECT("'("&amp;$A$4&amp;")'!j46")</f>
        <v>..</v>
      </c>
      <c r="K48" s="11"/>
      <c r="L48" s="11"/>
      <c r="N48" s="13"/>
      <c r="O48" s="13"/>
      <c r="P48" s="13"/>
      <c r="Q48" s="13"/>
      <c r="R48" s="13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5" customFormat="1" ht="15" customHeight="1" x14ac:dyDescent="0.35">
      <c r="A49" s="4" t="s">
        <v>28</v>
      </c>
      <c r="B49" s="14">
        <f ca="1">INDIRECT("'("&amp;$A$4&amp;")'!C47")</f>
        <v>54</v>
      </c>
      <c r="C49" s="14">
        <f ca="1">INDIRECT("'("&amp;$A$4&amp;")'!d47")</f>
        <v>15</v>
      </c>
      <c r="D49" s="14">
        <f ca="1">INDIRECT("'("&amp;$A$4&amp;")'!e47")</f>
        <v>21</v>
      </c>
      <c r="E49" s="14">
        <f ca="1">INDIRECT("'("&amp;$A$4&amp;")'!f47")</f>
        <v>8</v>
      </c>
      <c r="F49" s="14">
        <f ca="1">INDIRECT("'("&amp;$A$4&amp;")'!g47")</f>
        <v>1</v>
      </c>
      <c r="G49" s="14">
        <f ca="1">INDIRECT("'("&amp;$A$4&amp;")'!h47")</f>
        <v>0.5</v>
      </c>
      <c r="H49" s="14">
        <f ca="1">INDIRECT("'("&amp;$A$4&amp;")'!i47")</f>
        <v>0</v>
      </c>
      <c r="I49" s="14">
        <f ca="1">INDIRECT("'("&amp;$A$4&amp;")'!j47")</f>
        <v>0</v>
      </c>
      <c r="K49" s="11"/>
      <c r="L49" s="11"/>
      <c r="N49" s="13"/>
      <c r="O49" s="13"/>
      <c r="P49" s="13"/>
      <c r="Q49" s="13"/>
      <c r="R49" s="13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s="5" customFormat="1" ht="15" customHeight="1" x14ac:dyDescent="0.35">
      <c r="A50" s="25" t="s">
        <v>3</v>
      </c>
      <c r="B50" s="15">
        <f ca="1">INDIRECT("'("&amp;$A$4&amp;")'!C48")</f>
        <v>266078</v>
      </c>
      <c r="C50" s="15">
        <f ca="1">INDIRECT("'("&amp;$A$4&amp;")'!d48")</f>
        <v>525639.5</v>
      </c>
      <c r="D50" s="15">
        <f ca="1">INDIRECT("'("&amp;$A$4&amp;")'!e48")</f>
        <v>119510</v>
      </c>
      <c r="E50" s="15">
        <f ca="1">INDIRECT("'("&amp;$A$4&amp;")'!f48")</f>
        <v>242704</v>
      </c>
      <c r="F50" s="15">
        <f ca="1">INDIRECT("'("&amp;$A$4&amp;")'!g48")</f>
        <v>78559</v>
      </c>
      <c r="G50" s="15">
        <f ca="1">INDIRECT("'("&amp;$A$4&amp;")'!h48")</f>
        <v>194705</v>
      </c>
      <c r="H50" s="15">
        <f ca="1">INDIRECT("'("&amp;$A$4&amp;")'!i48")</f>
        <v>6934</v>
      </c>
      <c r="I50" s="15">
        <f ca="1">INDIRECT("'("&amp;$A$4&amp;")'!j48")</f>
        <v>1336</v>
      </c>
      <c r="K50" s="11"/>
      <c r="L50" s="11"/>
      <c r="N50" s="13"/>
      <c r="O50" s="13"/>
      <c r="P50" s="13"/>
      <c r="Q50" s="13"/>
      <c r="R50" s="13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s="5" customFormat="1" ht="15" customHeight="1" x14ac:dyDescent="0.35">
      <c r="A51" s="4" t="s">
        <v>22</v>
      </c>
      <c r="B51" s="14">
        <f ca="1">INDIRECT("'("&amp;$A$4&amp;")'!C49")</f>
        <v>33418</v>
      </c>
      <c r="C51" s="14">
        <f ca="1">INDIRECT("'("&amp;$A$4&amp;")'!d49")</f>
        <v>39659.5</v>
      </c>
      <c r="D51" s="14">
        <f ca="1">INDIRECT("'("&amp;$A$4&amp;")'!e49")</f>
        <v>11782</v>
      </c>
      <c r="E51" s="14">
        <f ca="1">INDIRECT("'("&amp;$A$4&amp;")'!f49")</f>
        <v>15058</v>
      </c>
      <c r="F51" s="14">
        <f ca="1">INDIRECT("'("&amp;$A$4&amp;")'!g49")</f>
        <v>2660</v>
      </c>
      <c r="G51" s="14">
        <f ca="1">INDIRECT("'("&amp;$A$4&amp;")'!h49")</f>
        <v>7833</v>
      </c>
      <c r="H51" s="14">
        <f ca="1">INDIRECT("'("&amp;$A$4&amp;")'!i49")</f>
        <v>0</v>
      </c>
      <c r="I51" s="14">
        <f ca="1">INDIRECT("'("&amp;$A$4&amp;")'!j49")</f>
        <v>0</v>
      </c>
      <c r="K51" s="11"/>
      <c r="L51" s="11"/>
      <c r="N51" s="13"/>
      <c r="O51" s="13"/>
      <c r="P51" s="13"/>
      <c r="Q51" s="13"/>
      <c r="R51" s="13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s="5" customFormat="1" ht="15" customHeight="1" x14ac:dyDescent="0.35">
      <c r="A52" s="4" t="s">
        <v>33</v>
      </c>
      <c r="B52" s="14">
        <f ca="1">INDIRECT("'("&amp;$A$4&amp;")'!C50")</f>
        <v>52564</v>
      </c>
      <c r="C52" s="14">
        <f ca="1">INDIRECT("'("&amp;$A$4&amp;")'!d50")</f>
        <v>83577</v>
      </c>
      <c r="D52" s="14">
        <f ca="1">INDIRECT("'("&amp;$A$4&amp;")'!e50")</f>
        <v>30932</v>
      </c>
      <c r="E52" s="14">
        <f ca="1">INDIRECT("'("&amp;$A$4&amp;")'!f50")</f>
        <v>49182</v>
      </c>
      <c r="F52" s="14">
        <f ca="1">INDIRECT("'("&amp;$A$4&amp;")'!g50")</f>
        <v>8745</v>
      </c>
      <c r="G52" s="14">
        <f ca="1">INDIRECT("'("&amp;$A$4&amp;")'!h50")</f>
        <v>13905</v>
      </c>
      <c r="H52" s="14">
        <f ca="1">INDIRECT("'("&amp;$A$4&amp;")'!i50")</f>
        <v>0</v>
      </c>
      <c r="I52" s="14">
        <f ca="1">INDIRECT("'("&amp;$A$4&amp;")'!j50")</f>
        <v>0</v>
      </c>
      <c r="K52" s="11"/>
      <c r="L52" s="11"/>
      <c r="N52" s="13"/>
      <c r="O52" s="13"/>
      <c r="P52" s="13"/>
      <c r="Q52" s="13"/>
      <c r="R52" s="13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s="5" customFormat="1" ht="15" customHeight="1" x14ac:dyDescent="0.35">
      <c r="A53" s="4" t="s">
        <v>41</v>
      </c>
      <c r="B53" s="14">
        <f ca="1">INDIRECT("'("&amp;$A$4&amp;")'!C51")</f>
        <v>20578</v>
      </c>
      <c r="C53" s="14">
        <f ca="1">INDIRECT("'("&amp;$A$4&amp;")'!d51")</f>
        <v>27368</v>
      </c>
      <c r="D53" s="14">
        <f ca="1">INDIRECT("'("&amp;$A$4&amp;")'!e51")</f>
        <v>7036</v>
      </c>
      <c r="E53" s="14">
        <f ca="1">INDIRECT("'("&amp;$A$4&amp;")'!f51")</f>
        <v>9358</v>
      </c>
      <c r="F53" s="14">
        <f ca="1">INDIRECT("'("&amp;$A$4&amp;")'!g51")</f>
        <v>4019</v>
      </c>
      <c r="G53" s="14">
        <f ca="1">INDIRECT("'("&amp;$A$4&amp;")'!h51")</f>
        <v>5345</v>
      </c>
      <c r="H53" s="14">
        <f ca="1">INDIRECT("'("&amp;$A$4&amp;")'!i51")</f>
        <v>478</v>
      </c>
      <c r="I53" s="14">
        <f ca="1">INDIRECT("'("&amp;$A$4&amp;")'!j51")</f>
        <v>315</v>
      </c>
      <c r="K53" s="11"/>
      <c r="L53" s="11"/>
      <c r="N53" s="13"/>
      <c r="O53" s="13"/>
      <c r="P53" s="13"/>
      <c r="Q53" s="13"/>
      <c r="R53" s="13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s="5" customFormat="1" ht="15" customHeight="1" x14ac:dyDescent="0.35">
      <c r="A54" s="4" t="s">
        <v>45</v>
      </c>
      <c r="B54" s="14">
        <f ca="1">INDIRECT("'("&amp;$A$4&amp;")'!C52")</f>
        <v>26134</v>
      </c>
      <c r="C54" s="14">
        <f ca="1">INDIRECT("'("&amp;$A$4&amp;")'!d52")</f>
        <v>14501</v>
      </c>
      <c r="D54" s="14">
        <f ca="1">INDIRECT("'("&amp;$A$4&amp;")'!e52")</f>
        <v>12996</v>
      </c>
      <c r="E54" s="14">
        <f ca="1">INDIRECT("'("&amp;$A$4&amp;")'!f52")</f>
        <v>7697</v>
      </c>
      <c r="F54" s="14">
        <f ca="1">INDIRECT("'("&amp;$A$4&amp;")'!g52")</f>
        <v>4962</v>
      </c>
      <c r="G54" s="14">
        <f ca="1">INDIRECT("'("&amp;$A$4&amp;")'!h52")</f>
        <v>3425</v>
      </c>
      <c r="H54" s="14">
        <f ca="1">INDIRECT("'("&amp;$A$4&amp;")'!i52")</f>
        <v>4958</v>
      </c>
      <c r="I54" s="14">
        <f ca="1">INDIRECT("'("&amp;$A$4&amp;")'!j52")</f>
        <v>982</v>
      </c>
      <c r="K54" s="11"/>
      <c r="L54" s="11"/>
      <c r="N54" s="13"/>
      <c r="O54" s="13"/>
      <c r="P54" s="13"/>
      <c r="Q54" s="13"/>
      <c r="R54" s="13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s="5" customFormat="1" ht="15" customHeight="1" x14ac:dyDescent="0.35">
      <c r="A55" s="4" t="s">
        <v>47</v>
      </c>
      <c r="B55" s="14">
        <f ca="1">INDIRECT("'("&amp;$A$4&amp;")'!C53")</f>
        <v>31576</v>
      </c>
      <c r="C55" s="14">
        <f ca="1">INDIRECT("'("&amp;$A$4&amp;")'!d53")</f>
        <v>119207</v>
      </c>
      <c r="D55" s="14">
        <f ca="1">INDIRECT("'("&amp;$A$4&amp;")'!e53")</f>
        <v>17539</v>
      </c>
      <c r="E55" s="14">
        <f ca="1">INDIRECT("'("&amp;$A$4&amp;")'!f53")</f>
        <v>66214</v>
      </c>
      <c r="F55" s="14">
        <f ca="1">INDIRECT("'("&amp;$A$4&amp;")'!g53")</f>
        <v>19761</v>
      </c>
      <c r="G55" s="14">
        <f ca="1">INDIRECT("'("&amp;$A$4&amp;")'!h53")</f>
        <v>74602</v>
      </c>
      <c r="H55" s="14">
        <f ca="1">INDIRECT("'("&amp;$A$4&amp;")'!i53")</f>
        <v>0</v>
      </c>
      <c r="I55" s="14">
        <f ca="1">INDIRECT("'("&amp;$A$4&amp;")'!j53")</f>
        <v>0</v>
      </c>
      <c r="K55" s="11"/>
      <c r="L55" s="11"/>
      <c r="N55" s="13"/>
      <c r="O55" s="13"/>
      <c r="P55" s="13"/>
      <c r="Q55" s="13"/>
      <c r="R55" s="13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s="5" customFormat="1" ht="15" customHeight="1" x14ac:dyDescent="0.35">
      <c r="A56" s="4" t="s">
        <v>49</v>
      </c>
      <c r="B56" s="14">
        <f ca="1">INDIRECT("'("&amp;$A$4&amp;")'!C54")</f>
        <v>18477</v>
      </c>
      <c r="C56" s="14">
        <f ca="1">INDIRECT("'("&amp;$A$4&amp;")'!d54")</f>
        <v>88283</v>
      </c>
      <c r="D56" s="14">
        <f ca="1">INDIRECT("'("&amp;$A$4&amp;")'!e54")</f>
        <v>9494</v>
      </c>
      <c r="E56" s="14">
        <f ca="1">INDIRECT("'("&amp;$A$4&amp;")'!f54")</f>
        <v>38171</v>
      </c>
      <c r="F56" s="14">
        <f ca="1">INDIRECT("'("&amp;$A$4&amp;")'!g54")</f>
        <v>7740</v>
      </c>
      <c r="G56" s="14">
        <f ca="1">INDIRECT("'("&amp;$A$4&amp;")'!h54")</f>
        <v>28728</v>
      </c>
      <c r="H56" s="14">
        <f ca="1">INDIRECT("'("&amp;$A$4&amp;")'!i54")</f>
        <v>27</v>
      </c>
      <c r="I56" s="14">
        <f ca="1">INDIRECT("'("&amp;$A$4&amp;")'!j54")</f>
        <v>39</v>
      </c>
      <c r="J56" s="4"/>
      <c r="K56" s="11"/>
      <c r="L56" s="11"/>
      <c r="N56" s="13"/>
      <c r="O56" s="13"/>
      <c r="P56" s="13"/>
      <c r="Q56" s="13"/>
      <c r="R56" s="13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 s="5" customFormat="1" ht="15" customHeight="1" thickBot="1" x14ac:dyDescent="0.4">
      <c r="A57" s="56" t="s">
        <v>21</v>
      </c>
      <c r="B57" s="14">
        <f ca="1">INDIRECT("'("&amp;$A$4&amp;")'!C55")</f>
        <v>83331</v>
      </c>
      <c r="C57" s="14">
        <f ca="1">INDIRECT("'("&amp;$A$4&amp;")'!d55")</f>
        <v>153044</v>
      </c>
      <c r="D57" s="14">
        <f ca="1">INDIRECT("'("&amp;$A$4&amp;")'!e55")</f>
        <v>29731</v>
      </c>
      <c r="E57" s="14">
        <f ca="1">INDIRECT("'("&amp;$A$4&amp;")'!f55")</f>
        <v>57024</v>
      </c>
      <c r="F57" s="14">
        <f ca="1">INDIRECT("'("&amp;$A$4&amp;")'!g55")</f>
        <v>30672</v>
      </c>
      <c r="G57" s="14">
        <f ca="1">INDIRECT("'("&amp;$A$4&amp;")'!h55")</f>
        <v>60867</v>
      </c>
      <c r="H57" s="14">
        <f ca="1">INDIRECT("'("&amp;$A$4&amp;")'!i55")</f>
        <v>1471</v>
      </c>
      <c r="I57" s="14" t="str">
        <f ca="1">INDIRECT("'("&amp;$A$4&amp;")'!j55")</f>
        <v>N/A</v>
      </c>
      <c r="J57" s="4"/>
      <c r="K57" s="11"/>
      <c r="L57" s="11"/>
      <c r="N57" s="13"/>
      <c r="O57" s="13"/>
      <c r="P57" s="13"/>
      <c r="Q57" s="13"/>
      <c r="R57" s="13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 x14ac:dyDescent="0.35">
      <c r="A58" s="93"/>
      <c r="B58" s="93"/>
      <c r="C58" s="93"/>
      <c r="D58" s="93"/>
      <c r="E58" s="93"/>
      <c r="F58" s="93"/>
      <c r="G58" s="93"/>
      <c r="H58" s="93"/>
      <c r="I58" s="93"/>
      <c r="K58" s="11"/>
      <c r="L58" s="11"/>
      <c r="M58" s="11"/>
      <c r="N58" s="11"/>
      <c r="O58" s="11"/>
      <c r="P58" s="11"/>
      <c r="Q58" s="11"/>
      <c r="R58" s="11"/>
    </row>
    <row r="59" spans="1:30" s="5" customFormat="1" ht="15" customHeight="1" x14ac:dyDescent="0.35">
      <c r="A59" s="139"/>
      <c r="B59" s="139"/>
      <c r="C59" s="139"/>
      <c r="D59" s="139"/>
      <c r="E59" s="139"/>
      <c r="F59" s="139"/>
      <c r="G59" s="139"/>
      <c r="H59" s="139"/>
      <c r="I59" s="139"/>
      <c r="J59" s="4"/>
      <c r="K59" s="11"/>
      <c r="L59" s="11"/>
      <c r="M59" s="11"/>
      <c r="N59" s="11"/>
      <c r="O59" s="11"/>
      <c r="P59" s="11"/>
      <c r="Q59" s="11"/>
      <c r="R59" s="11"/>
    </row>
    <row r="60" spans="1:30" s="5" customFormat="1" ht="15" customHeight="1" x14ac:dyDescent="0.35">
      <c r="A60" s="140"/>
      <c r="B60" s="140"/>
      <c r="C60" s="140"/>
      <c r="D60" s="140"/>
      <c r="E60" s="140"/>
      <c r="F60" s="140"/>
      <c r="G60" s="140"/>
      <c r="H60" s="140"/>
      <c r="I60" s="140"/>
      <c r="J60" s="4"/>
      <c r="K60" s="11"/>
      <c r="L60" s="11"/>
      <c r="M60" s="11"/>
      <c r="N60" s="11"/>
      <c r="O60" s="11"/>
      <c r="P60" s="11"/>
      <c r="Q60" s="11"/>
      <c r="R60" s="11"/>
    </row>
    <row r="61" spans="1:30" s="5" customFormat="1" ht="15" customHeight="1" x14ac:dyDescent="0.35">
      <c r="A61" s="17"/>
      <c r="B61" s="4"/>
      <c r="C61" s="4"/>
      <c r="D61" s="4"/>
      <c r="E61" s="4"/>
      <c r="F61" s="4"/>
      <c r="G61" s="4"/>
      <c r="H61" s="4"/>
      <c r="I61" s="4"/>
      <c r="J61" s="4"/>
      <c r="K61" s="11"/>
      <c r="L61" s="11"/>
      <c r="M61" s="11"/>
      <c r="N61" s="11"/>
      <c r="O61" s="11"/>
      <c r="P61" s="11"/>
      <c r="Q61" s="11"/>
      <c r="R61" s="11"/>
    </row>
    <row r="62" spans="1:30" s="5" customFormat="1" ht="31.5" customHeight="1" x14ac:dyDescent="0.35">
      <c r="A62" s="134"/>
      <c r="B62" s="134"/>
      <c r="C62" s="134"/>
      <c r="D62" s="134"/>
      <c r="E62" s="134"/>
      <c r="F62" s="134"/>
      <c r="G62" s="134"/>
      <c r="H62" s="134"/>
      <c r="I62" s="134"/>
      <c r="J62" s="4"/>
      <c r="K62" s="11"/>
      <c r="L62" s="11"/>
      <c r="M62" s="11"/>
      <c r="N62" s="11"/>
      <c r="O62" s="11"/>
      <c r="P62" s="11"/>
      <c r="Q62" s="11"/>
      <c r="R62" s="11"/>
    </row>
    <row r="63" spans="1:30" s="5" customFormat="1" ht="15" customHeight="1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4"/>
      <c r="K63" s="11"/>
      <c r="L63" s="11"/>
      <c r="M63" s="11"/>
      <c r="N63" s="11"/>
      <c r="O63" s="11"/>
      <c r="P63" s="11"/>
      <c r="Q63" s="11"/>
      <c r="R63" s="11"/>
    </row>
    <row r="64" spans="1:30" s="5" customFormat="1" ht="15" customHeight="1" x14ac:dyDescent="0.35">
      <c r="A64" s="4"/>
      <c r="B64" s="2"/>
      <c r="C64" s="2"/>
      <c r="D64" s="2"/>
      <c r="E64" s="2"/>
      <c r="F64" s="2"/>
      <c r="G64" s="2"/>
      <c r="H64" s="2"/>
      <c r="I64" s="2"/>
      <c r="J64" s="4"/>
    </row>
    <row r="65" spans="1:10" s="5" customFormat="1" ht="15" customHeight="1" x14ac:dyDescent="0.35">
      <c r="A65" s="19"/>
      <c r="B65" s="2"/>
      <c r="C65" s="2"/>
      <c r="D65" s="2"/>
      <c r="E65" s="2"/>
      <c r="F65" s="2"/>
      <c r="G65" s="2"/>
      <c r="H65" s="2"/>
      <c r="I65" s="2"/>
      <c r="J65" s="4"/>
    </row>
    <row r="66" spans="1:10" s="5" customFormat="1" ht="15" customHeight="1" x14ac:dyDescent="0.35">
      <c r="A66" s="19"/>
      <c r="B66" s="2"/>
      <c r="C66" s="2"/>
      <c r="D66" s="2"/>
      <c r="E66" s="2"/>
      <c r="F66" s="2"/>
      <c r="G66" s="2"/>
      <c r="H66" s="2"/>
      <c r="I66" s="2"/>
      <c r="J66" s="4"/>
    </row>
    <row r="67" spans="1:10" s="5" customFormat="1" x14ac:dyDescent="0.35">
      <c r="A67" s="134"/>
      <c r="B67" s="134"/>
      <c r="C67" s="134"/>
      <c r="D67" s="134"/>
      <c r="E67" s="134"/>
      <c r="F67" s="134"/>
      <c r="G67" s="134"/>
      <c r="H67" s="134"/>
      <c r="I67" s="134"/>
      <c r="J67" s="4"/>
    </row>
    <row r="69" spans="1:10" s="5" customFormat="1" x14ac:dyDescent="0.35">
      <c r="A69" s="4"/>
      <c r="B69" s="4"/>
      <c r="C69" s="4"/>
      <c r="D69" s="4"/>
      <c r="E69" s="4"/>
      <c r="F69" s="20"/>
      <c r="G69" s="20"/>
      <c r="H69" s="20"/>
      <c r="I69" s="20"/>
      <c r="J69" s="4"/>
    </row>
    <row r="70" spans="1:10" s="5" customFormat="1" x14ac:dyDescent="0.35">
      <c r="A70" s="19"/>
      <c r="B70" s="4"/>
      <c r="C70" s="4"/>
      <c r="D70" s="4"/>
      <c r="E70" s="4"/>
      <c r="F70" s="20"/>
      <c r="G70" s="20"/>
      <c r="H70" s="20"/>
      <c r="I70" s="20"/>
      <c r="J70" s="4"/>
    </row>
  </sheetData>
  <mergeCells count="11">
    <mergeCell ref="A67:I67"/>
    <mergeCell ref="A4:E4"/>
    <mergeCell ref="B5:E5"/>
    <mergeCell ref="A1:I1"/>
    <mergeCell ref="B6:C6"/>
    <mergeCell ref="D6:E6"/>
    <mergeCell ref="F6:G6"/>
    <mergeCell ref="H6:I6"/>
    <mergeCell ref="A59:I59"/>
    <mergeCell ref="A60:I60"/>
    <mergeCell ref="A62:I6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L100"/>
  <sheetViews>
    <sheetView tabSelected="1" zoomScaleNormal="100" workbookViewId="0">
      <pane ySplit="8" topLeftCell="A9" activePane="bottomLeft" state="frozen"/>
      <selection pane="bottomLeft" sqref="A1:M1"/>
    </sheetView>
  </sheetViews>
  <sheetFormatPr defaultColWidth="9.26953125" defaultRowHeight="14.5" x14ac:dyDescent="0.35"/>
  <cols>
    <col min="1" max="1" width="50.7265625" style="4" customWidth="1"/>
    <col min="2" max="4" width="12.7265625" style="4" customWidth="1"/>
    <col min="5" max="5" width="3.7265625" style="4" customWidth="1"/>
    <col min="6" max="7" width="12.7265625" style="4" customWidth="1"/>
    <col min="8" max="8" width="3.7265625" style="4" customWidth="1"/>
    <col min="9" max="10" width="12.7265625" style="4" customWidth="1"/>
    <col min="11" max="11" width="3.7265625" style="4" customWidth="1"/>
    <col min="12" max="13" width="12.7265625" style="4" customWidth="1"/>
    <col min="14" max="15" width="9.26953125" style="4" customWidth="1"/>
    <col min="16" max="16" width="7.7265625" style="4" hidden="1" customWidth="1"/>
    <col min="17" max="17" width="9.26953125" style="4" customWidth="1"/>
    <col min="18" max="18" width="10" style="4" bestFit="1" customWidth="1"/>
    <col min="19" max="19" width="9.54296875" style="4" customWidth="1"/>
    <col min="20" max="24" width="9.26953125" style="4"/>
    <col min="25" max="25" width="9.7265625" style="4" customWidth="1"/>
    <col min="26" max="16384" width="9.26953125" style="4"/>
  </cols>
  <sheetData>
    <row r="1" spans="1:38" s="3" customFormat="1" ht="23.25" customHeight="1" x14ac:dyDescent="0.5">
      <c r="A1" s="144" t="s">
        <v>158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"/>
      <c r="O1" s="1"/>
      <c r="P1" s="2"/>
      <c r="Q1" s="2"/>
    </row>
    <row r="2" spans="1:38" s="5" customFormat="1" ht="15" customHeigh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38" s="5" customFormat="1" ht="15" customHeight="1" x14ac:dyDescent="0.35">
      <c r="A3" s="23" t="s">
        <v>59</v>
      </c>
      <c r="B3" s="24"/>
      <c r="C3" s="24"/>
      <c r="D3" s="24"/>
      <c r="E3" s="24"/>
      <c r="F3" s="24"/>
      <c r="G3" s="24"/>
      <c r="H3" s="24"/>
      <c r="I3" s="4"/>
      <c r="J3" s="4"/>
      <c r="K3" s="4"/>
      <c r="L3" s="4"/>
      <c r="M3" s="4"/>
      <c r="N3" s="4"/>
      <c r="O3" s="4"/>
      <c r="P3" s="4"/>
      <c r="Q3" s="4"/>
    </row>
    <row r="4" spans="1:38" s="5" customFormat="1" ht="15" customHeight="1" x14ac:dyDescent="0.35">
      <c r="A4" s="135" t="s">
        <v>147</v>
      </c>
      <c r="B4" s="135"/>
      <c r="C4" s="135"/>
      <c r="D4" s="135"/>
      <c r="E4" s="135"/>
      <c r="F4" s="135"/>
      <c r="G4" s="135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38" s="5" customFormat="1" ht="15" thickBot="1" x14ac:dyDescent="0.4">
      <c r="A5" s="4"/>
      <c r="B5" s="136"/>
      <c r="C5" s="136"/>
      <c r="D5" s="136"/>
      <c r="E5" s="136"/>
      <c r="F5" s="136"/>
      <c r="G5" s="136"/>
      <c r="H5" s="59"/>
      <c r="I5" s="31"/>
      <c r="J5" s="31"/>
      <c r="K5" s="59"/>
      <c r="L5" s="31"/>
      <c r="M5" s="22"/>
      <c r="N5" s="4"/>
      <c r="O5" s="4"/>
      <c r="P5" s="6"/>
      <c r="Q5" s="6"/>
      <c r="S5" s="6"/>
      <c r="T5" s="6"/>
      <c r="V5" s="6"/>
      <c r="W5" s="6"/>
      <c r="X5" s="6"/>
      <c r="Y5" s="6"/>
      <c r="Z5" s="6"/>
      <c r="AC5" s="7"/>
    </row>
    <row r="6" spans="1:38" s="3" customFormat="1" ht="31.5" customHeight="1" thickBot="1" x14ac:dyDescent="0.4">
      <c r="A6" s="2"/>
      <c r="B6" s="138" t="s">
        <v>157</v>
      </c>
      <c r="C6" s="138"/>
      <c r="D6" s="61"/>
      <c r="E6" s="61"/>
      <c r="F6" s="138" t="s">
        <v>81</v>
      </c>
      <c r="G6" s="138"/>
      <c r="H6" s="61"/>
      <c r="I6" s="138" t="s">
        <v>82</v>
      </c>
      <c r="J6" s="138"/>
      <c r="K6" s="61"/>
      <c r="L6" s="138" t="s">
        <v>159</v>
      </c>
      <c r="M6" s="138"/>
      <c r="N6" s="2"/>
      <c r="O6" s="2"/>
      <c r="P6" s="53"/>
      <c r="Q6" s="53"/>
      <c r="S6" s="53"/>
      <c r="T6" s="53"/>
      <c r="V6" s="53"/>
      <c r="W6" s="53"/>
      <c r="X6" s="53"/>
      <c r="Y6" s="53"/>
      <c r="Z6" s="53"/>
    </row>
    <row r="7" spans="1:38" s="10" customFormat="1" ht="15" thickBot="1" x14ac:dyDescent="0.4">
      <c r="A7" s="8" t="s">
        <v>58</v>
      </c>
      <c r="B7" s="9" t="s">
        <v>71</v>
      </c>
      <c r="C7" s="9" t="s">
        <v>72</v>
      </c>
      <c r="D7" s="9"/>
      <c r="E7" s="9"/>
      <c r="F7" s="9" t="s">
        <v>71</v>
      </c>
      <c r="G7" s="9" t="s">
        <v>72</v>
      </c>
      <c r="H7" s="9"/>
      <c r="I7" s="9" t="s">
        <v>71</v>
      </c>
      <c r="J7" s="9" t="s">
        <v>72</v>
      </c>
      <c r="K7" s="9"/>
      <c r="L7" s="9" t="s">
        <v>71</v>
      </c>
      <c r="M7" s="9" t="s">
        <v>72</v>
      </c>
      <c r="R7" s="4"/>
    </row>
    <row r="8" spans="1:38" s="5" customFormat="1" ht="15" customHeight="1" x14ac:dyDescent="0.35">
      <c r="A8" s="26" t="s">
        <v>0</v>
      </c>
      <c r="B8" s="15">
        <f ca="1">IF('FIRE1201 raw'!B8="N/A","N/A",IF('FIRE1201 raw'!B8="..","..",ROUND('FIRE1201 raw'!B8,0)))</f>
        <v>576040</v>
      </c>
      <c r="C8" s="15">
        <f ca="1">IF('FIRE1201 raw'!C8="N/A","N/A",IF('FIRE1201 raw'!C8="..","..",ROUND('FIRE1201 raw'!C8,0)))</f>
        <v>994229</v>
      </c>
      <c r="D8" s="15"/>
      <c r="E8" s="15"/>
      <c r="F8" s="15">
        <f ca="1">IF('FIRE1201 raw'!D8="N/A","N/A",IF('FIRE1201 raw'!D8="..","..",ROUND('FIRE1201 raw'!D8,0)))</f>
        <v>311588</v>
      </c>
      <c r="G8" s="15">
        <f ca="1">IF('FIRE1201 raw'!E8="N/A","N/A",IF('FIRE1201 raw'!E8="..","..",ROUND('FIRE1201 raw'!E8,0)))</f>
        <v>499377</v>
      </c>
      <c r="H8" s="15"/>
      <c r="I8" s="15">
        <f ca="1">IF('FIRE1201 raw'!F8="N/A","N/A",IF('FIRE1201 raw'!F8="..","..",ROUND('FIRE1201 raw'!F8,0)))</f>
        <v>142043</v>
      </c>
      <c r="J8" s="15">
        <f ca="1">IF('FIRE1201 raw'!G8="N/A","N/A",IF('FIRE1201 raw'!G8="..","..",ROUND('FIRE1201 raw'!G8,0)))</f>
        <v>302002</v>
      </c>
      <c r="K8" s="15"/>
      <c r="L8" s="15">
        <f ca="1">IF('FIRE1201 raw'!H8="N/A","N/A",IF('FIRE1201 raw'!H8="..","..",ROUND('FIRE1201 raw'!H8,0)))</f>
        <v>24284</v>
      </c>
      <c r="M8" s="15">
        <f ca="1">IF('FIRE1201 raw'!I8="N/A","N/A",IF('FIRE1201 raw'!I8="..","..",ROUND('FIRE1201 raw'!I8,0)))</f>
        <v>23888</v>
      </c>
      <c r="N8" s="4"/>
      <c r="P8" s="11"/>
      <c r="Q8" s="11"/>
      <c r="R8" s="11"/>
      <c r="S8" s="11"/>
      <c r="T8" s="11"/>
      <c r="U8" s="11"/>
      <c r="V8" s="11"/>
      <c r="W8" s="11"/>
      <c r="X8" s="11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s="5" customFormat="1" ht="15" customHeight="1" x14ac:dyDescent="0.35">
      <c r="A9" s="27" t="s">
        <v>4</v>
      </c>
      <c r="B9" s="15">
        <f ca="1">IF('FIRE1201 raw'!B9="N/A","N/A",IF('FIRE1201 raw'!B9="..","..",ROUND('FIRE1201 raw'!B9,0)))</f>
        <v>309962</v>
      </c>
      <c r="C9" s="15">
        <f ca="1">IF('FIRE1201 raw'!C9="N/A","N/A",IF('FIRE1201 raw'!C9="..","..",ROUND('FIRE1201 raw'!C9,0)))</f>
        <v>468589</v>
      </c>
      <c r="D9" s="15"/>
      <c r="E9" s="15"/>
      <c r="F9" s="15">
        <f ca="1">IF('FIRE1201 raw'!D9="N/A","N/A",IF('FIRE1201 raw'!D9="..","..",ROUND('FIRE1201 raw'!D9,0)))</f>
        <v>192078</v>
      </c>
      <c r="G9" s="15">
        <f ca="1">IF('FIRE1201 raw'!E9="N/A","N/A",IF('FIRE1201 raw'!E9="..","..",ROUND('FIRE1201 raw'!E9,0)))</f>
        <v>256673</v>
      </c>
      <c r="H9" s="15"/>
      <c r="I9" s="15">
        <f ca="1">IF('FIRE1201 raw'!F9="N/A","N/A",IF('FIRE1201 raw'!F9="..","..",ROUND('FIRE1201 raw'!F9,0)))</f>
        <v>63484</v>
      </c>
      <c r="J9" s="15">
        <f ca="1">IF('FIRE1201 raw'!G9="N/A","N/A",IF('FIRE1201 raw'!G9="..","..",ROUND('FIRE1201 raw'!G9,0)))</f>
        <v>107297</v>
      </c>
      <c r="K9" s="15"/>
      <c r="L9" s="15">
        <f ca="1">IF('FIRE1201 raw'!H9="N/A","N/A",IF('FIRE1201 raw'!H9="..","..",ROUND('FIRE1201 raw'!H9,0)))</f>
        <v>17350</v>
      </c>
      <c r="M9" s="15">
        <f ca="1">IF('FIRE1201 raw'!I9="N/A","N/A",IF('FIRE1201 raw'!I9="..","..",ROUND('FIRE1201 raw'!I9,0)))</f>
        <v>22552</v>
      </c>
      <c r="N9" s="4"/>
      <c r="P9" s="11"/>
      <c r="Q9" s="11"/>
      <c r="R9" s="11"/>
      <c r="S9" s="11"/>
      <c r="T9" s="11"/>
      <c r="U9" s="11"/>
      <c r="V9" s="11"/>
      <c r="W9" s="11"/>
      <c r="X9" s="11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1:38" s="5" customFormat="1" ht="15" customHeight="1" x14ac:dyDescent="0.35">
      <c r="A10" s="4" t="s">
        <v>5</v>
      </c>
      <c r="B10" s="54">
        <f ca="1">IF('FIRE1201 raw'!B10="N/A","N/A",IF('FIRE1201 raw'!B10="..","..",ROUND('FIRE1201 raw'!B10,0)))</f>
        <v>8402</v>
      </c>
      <c r="C10" s="54">
        <f ca="1">IF('FIRE1201 raw'!C10="N/A","N/A",IF('FIRE1201 raw'!C10="..","..",ROUND('FIRE1201 raw'!C10,0)))</f>
        <v>9140</v>
      </c>
      <c r="D10" s="15"/>
      <c r="E10" s="54"/>
      <c r="F10" s="54">
        <f ca="1">IF('FIRE1201 raw'!D10="N/A","N/A",IF('FIRE1201 raw'!D10="..","..",ROUND('FIRE1201 raw'!D10,0)))</f>
        <v>5426</v>
      </c>
      <c r="G10" s="54">
        <f ca="1">IF('FIRE1201 raw'!E10="N/A","N/A",IF('FIRE1201 raw'!E10="..","..",ROUND('FIRE1201 raw'!E10,0)))</f>
        <v>6078</v>
      </c>
      <c r="H10" s="54"/>
      <c r="I10" s="54">
        <f ca="1">IF('FIRE1201 raw'!F10="N/A","N/A",IF('FIRE1201 raw'!F10="..","..",ROUND('FIRE1201 raw'!F10,0)))</f>
        <v>3299</v>
      </c>
      <c r="J10" s="54">
        <f ca="1">IF('FIRE1201 raw'!G10="N/A","N/A",IF('FIRE1201 raw'!G10="..","..",ROUND('FIRE1201 raw'!G10,0)))</f>
        <v>3604</v>
      </c>
      <c r="K10" s="54"/>
      <c r="L10" s="54">
        <f ca="1">IF('FIRE1201 raw'!H10="N/A","N/A",IF('FIRE1201 raw'!H10="..","..",ROUND('FIRE1201 raw'!H10,0)))</f>
        <v>1094</v>
      </c>
      <c r="M10" s="54">
        <f ca="1">IF('FIRE1201 raw'!I10="N/A","N/A",IF('FIRE1201 raw'!I10="..","..",ROUND('FIRE1201 raw'!I10,0)))</f>
        <v>549</v>
      </c>
      <c r="N10" s="4"/>
      <c r="P10" s="11"/>
      <c r="Q10" s="11"/>
      <c r="R10" s="11"/>
      <c r="S10" s="11"/>
      <c r="T10" s="11"/>
      <c r="U10" s="11"/>
      <c r="V10" s="11"/>
      <c r="W10" s="11"/>
      <c r="X10" s="11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5" customFormat="1" ht="15" customHeight="1" x14ac:dyDescent="0.35">
      <c r="A11" s="4" t="s">
        <v>6</v>
      </c>
      <c r="B11" s="54">
        <f ca="1">IF('FIRE1201 raw'!B11="N/A","N/A",IF('FIRE1201 raw'!B11="..","..",ROUND('FIRE1201 raw'!B11,0)))</f>
        <v>2101</v>
      </c>
      <c r="C11" s="54">
        <f ca="1">IF('FIRE1201 raw'!C11="N/A","N/A",IF('FIRE1201 raw'!C11="..","..",ROUND('FIRE1201 raw'!C11,0)))</f>
        <v>3089</v>
      </c>
      <c r="D11" s="15"/>
      <c r="E11" s="54"/>
      <c r="F11" s="54">
        <f ca="1">IF('FIRE1201 raw'!D11="N/A","N/A",IF('FIRE1201 raw'!D11="..","..",ROUND('FIRE1201 raw'!D11,0)))</f>
        <v>938</v>
      </c>
      <c r="G11" s="54">
        <f ca="1">IF('FIRE1201 raw'!E11="N/A","N/A",IF('FIRE1201 raw'!E11="..","..",ROUND('FIRE1201 raw'!E11,0)))</f>
        <v>1668</v>
      </c>
      <c r="H11" s="54"/>
      <c r="I11" s="54" t="str">
        <f ca="1">IF('FIRE1201 raw'!F11="N/A","N/A",IF('FIRE1201 raw'!F11="..","..",ROUND('FIRE1201 raw'!F11,0)))</f>
        <v>N/A</v>
      </c>
      <c r="J11" s="54" t="str">
        <f ca="1">IF('FIRE1201 raw'!G11="N/A","N/A",IF('FIRE1201 raw'!G11="..","..",ROUND('FIRE1201 raw'!G11,0)))</f>
        <v>N/A</v>
      </c>
      <c r="K11" s="54"/>
      <c r="L11" s="54">
        <f ca="1">IF('FIRE1201 raw'!H11="N/A","N/A",IF('FIRE1201 raw'!H11="..","..",ROUND('FIRE1201 raw'!H11,0)))</f>
        <v>738</v>
      </c>
      <c r="M11" s="54" t="str">
        <f ca="1">IF('FIRE1201 raw'!I11="N/A","N/A",IF('FIRE1201 raw'!I11="..","..",ROUND('FIRE1201 raw'!I11,0)))</f>
        <v>N/A</v>
      </c>
      <c r="N11" s="4"/>
      <c r="P11" s="11"/>
      <c r="Q11" s="11"/>
      <c r="S11" s="11"/>
      <c r="T11" s="11"/>
      <c r="V11" s="13"/>
      <c r="W11" s="13"/>
      <c r="X11" s="13"/>
      <c r="Y11" s="13"/>
      <c r="Z11" s="13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</row>
    <row r="12" spans="1:38" s="5" customFormat="1" ht="15" customHeight="1" x14ac:dyDescent="0.35">
      <c r="A12" s="4" t="s">
        <v>7</v>
      </c>
      <c r="B12" s="54">
        <f ca="1">IF('FIRE1201 raw'!B12="N/A","N/A",IF('FIRE1201 raw'!B12="..","..",ROUND('FIRE1201 raw'!B12,0)))</f>
        <v>9203</v>
      </c>
      <c r="C12" s="54">
        <f ca="1">IF('FIRE1201 raw'!C12="N/A","N/A",IF('FIRE1201 raw'!C12="..","..",ROUND('FIRE1201 raw'!C12,0)))</f>
        <v>10580</v>
      </c>
      <c r="D12" s="15"/>
      <c r="E12" s="54"/>
      <c r="F12" s="54">
        <f ca="1">IF('FIRE1201 raw'!D12="N/A","N/A",IF('FIRE1201 raw'!D12="..","..",ROUND('FIRE1201 raw'!D12,0)))</f>
        <v>6556</v>
      </c>
      <c r="G12" s="54">
        <f ca="1">IF('FIRE1201 raw'!E12="N/A","N/A",IF('FIRE1201 raw'!E12="..","..",ROUND('FIRE1201 raw'!E12,0)))</f>
        <v>7512</v>
      </c>
      <c r="H12" s="54"/>
      <c r="I12" s="54">
        <f ca="1">IF('FIRE1201 raw'!F12="N/A","N/A",IF('FIRE1201 raw'!F12="..","..",ROUND('FIRE1201 raw'!F12,0)))</f>
        <v>2117</v>
      </c>
      <c r="J12" s="54">
        <f ca="1">IF('FIRE1201 raw'!G12="N/A","N/A",IF('FIRE1201 raw'!G12="..","..",ROUND('FIRE1201 raw'!G12,0)))</f>
        <v>2433</v>
      </c>
      <c r="K12" s="54"/>
      <c r="L12" s="54">
        <f ca="1">IF('FIRE1201 raw'!H12="N/A","N/A",IF('FIRE1201 raw'!H12="..","..",ROUND('FIRE1201 raw'!H12,0)))</f>
        <v>0</v>
      </c>
      <c r="M12" s="54">
        <f ca="1">IF('FIRE1201 raw'!I12="N/A","N/A",IF('FIRE1201 raw'!I12="..","..",ROUND('FIRE1201 raw'!I12,0)))</f>
        <v>0</v>
      </c>
      <c r="N12" s="4"/>
      <c r="P12" s="11"/>
      <c r="Q12" s="11"/>
      <c r="S12" s="11"/>
      <c r="T12" s="11"/>
      <c r="V12" s="13"/>
      <c r="W12" s="13"/>
      <c r="X12" s="13"/>
      <c r="Y12" s="13"/>
      <c r="Z12" s="13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1:38" s="5" customFormat="1" ht="15" customHeight="1" x14ac:dyDescent="0.35">
      <c r="A13" s="4" t="s">
        <v>8</v>
      </c>
      <c r="B13" s="54">
        <f ca="1">IF('FIRE1201 raw'!B13="N/A","N/A",IF('FIRE1201 raw'!B13="..","..",ROUND('FIRE1201 raw'!B13,0)))</f>
        <v>3171</v>
      </c>
      <c r="C13" s="54">
        <f ca="1">IF('FIRE1201 raw'!C13="N/A","N/A",IF('FIRE1201 raw'!C13="..","..",ROUND('FIRE1201 raw'!C13,0)))</f>
        <v>1754</v>
      </c>
      <c r="D13" s="15"/>
      <c r="E13" s="54"/>
      <c r="F13" s="54">
        <f ca="1">IF('FIRE1201 raw'!D13="N/A","N/A",IF('FIRE1201 raw'!D13="..","..",ROUND('FIRE1201 raw'!D13,0)))</f>
        <v>1104</v>
      </c>
      <c r="G13" s="54">
        <f ca="1">IF('FIRE1201 raw'!E13="N/A","N/A",IF('FIRE1201 raw'!E13="..","..",ROUND('FIRE1201 raw'!E13,0)))</f>
        <v>1010</v>
      </c>
      <c r="H13" s="54"/>
      <c r="I13" s="54">
        <f ca="1">IF('FIRE1201 raw'!F13="N/A","N/A",IF('FIRE1201 raw'!F13="..","..",ROUND('FIRE1201 raw'!F13,0)))</f>
        <v>399</v>
      </c>
      <c r="J13" s="54">
        <f ca="1">IF('FIRE1201 raw'!G13="N/A","N/A",IF('FIRE1201 raw'!G13="..","..",ROUND('FIRE1201 raw'!G13,0)))</f>
        <v>234</v>
      </c>
      <c r="K13" s="54"/>
      <c r="L13" s="54">
        <f ca="1">IF('FIRE1201 raw'!H13="N/A","N/A",IF('FIRE1201 raw'!H13="..","..",ROUND('FIRE1201 raw'!H13,0)))</f>
        <v>0</v>
      </c>
      <c r="M13" s="54">
        <f ca="1">IF('FIRE1201 raw'!I13="N/A","N/A",IF('FIRE1201 raw'!I13="..","..",ROUND('FIRE1201 raw'!I13,0)))</f>
        <v>0</v>
      </c>
      <c r="N13" s="4"/>
      <c r="P13" s="11"/>
      <c r="Q13" s="11"/>
      <c r="S13" s="11"/>
      <c r="T13" s="11"/>
      <c r="V13" s="13"/>
      <c r="W13" s="13"/>
      <c r="X13" s="13"/>
      <c r="Y13" s="13"/>
      <c r="Z13" s="13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38" s="5" customFormat="1" ht="15" customHeight="1" x14ac:dyDescent="0.35">
      <c r="A14" s="4" t="s">
        <v>9</v>
      </c>
      <c r="B14" s="54">
        <f ca="1">IF('FIRE1201 raw'!B14="N/A","N/A",IF('FIRE1201 raw'!B14="..","..",ROUND('FIRE1201 raw'!B14,0)))</f>
        <v>4318</v>
      </c>
      <c r="C14" s="54">
        <f ca="1">IF('FIRE1201 raw'!C14="N/A","N/A",IF('FIRE1201 raw'!C14="..","..",ROUND('FIRE1201 raw'!C14,0)))</f>
        <v>4581</v>
      </c>
      <c r="D14" s="15"/>
      <c r="E14" s="54"/>
      <c r="F14" s="54">
        <f ca="1">IF('FIRE1201 raw'!D14="N/A","N/A",IF('FIRE1201 raw'!D14="..","..",ROUND('FIRE1201 raw'!D14,0)))</f>
        <v>3399</v>
      </c>
      <c r="G14" s="54">
        <f ca="1">IF('FIRE1201 raw'!E14="N/A","N/A",IF('FIRE1201 raw'!E14="..","..",ROUND('FIRE1201 raw'!E14,0)))</f>
        <v>3697</v>
      </c>
      <c r="H14" s="54"/>
      <c r="I14" s="54">
        <f ca="1">IF('FIRE1201 raw'!F14="N/A","N/A",IF('FIRE1201 raw'!F14="..","..",ROUND('FIRE1201 raw'!F14,0)))</f>
        <v>2104</v>
      </c>
      <c r="J14" s="54">
        <f ca="1">IF('FIRE1201 raw'!G14="N/A","N/A",IF('FIRE1201 raw'!G14="..","..",ROUND('FIRE1201 raw'!G14,0)))</f>
        <v>2490</v>
      </c>
      <c r="K14" s="54"/>
      <c r="L14" s="54">
        <f ca="1">IF('FIRE1201 raw'!H14="N/A","N/A",IF('FIRE1201 raw'!H14="..","..",ROUND('FIRE1201 raw'!H14,0)))</f>
        <v>952</v>
      </c>
      <c r="M14" s="54">
        <f ca="1">IF('FIRE1201 raw'!I14="N/A","N/A",IF('FIRE1201 raw'!I14="..","..",ROUND('FIRE1201 raw'!I14,0)))</f>
        <v>682</v>
      </c>
      <c r="N14" s="4"/>
      <c r="P14" s="11"/>
      <c r="Q14" s="11"/>
      <c r="S14" s="11"/>
      <c r="T14" s="11"/>
      <c r="V14" s="13"/>
      <c r="W14" s="13"/>
      <c r="X14" s="13"/>
      <c r="Y14" s="13"/>
      <c r="Z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1:38" s="5" customFormat="1" ht="15" customHeight="1" x14ac:dyDescent="0.35">
      <c r="A15" s="4" t="s">
        <v>10</v>
      </c>
      <c r="B15" s="54">
        <f ca="1">IF('FIRE1201 raw'!B15="N/A","N/A",IF('FIRE1201 raw'!B15="..","..",ROUND('FIRE1201 raw'!B15,0)))</f>
        <v>42395</v>
      </c>
      <c r="C15" s="54">
        <f ca="1">IF('FIRE1201 raw'!C15="N/A","N/A",IF('FIRE1201 raw'!C15="..","..",ROUND('FIRE1201 raw'!C15,0)))</f>
        <v>21198</v>
      </c>
      <c r="D15" s="15"/>
      <c r="E15" s="54"/>
      <c r="F15" s="54">
        <f ca="1">IF('FIRE1201 raw'!D15="N/A","N/A",IF('FIRE1201 raw'!D15="..","..",ROUND('FIRE1201 raw'!D15,0)))</f>
        <v>36379</v>
      </c>
      <c r="G15" s="54">
        <f ca="1">IF('FIRE1201 raw'!E15="N/A","N/A",IF('FIRE1201 raw'!E15="..","..",ROUND('FIRE1201 raw'!E15,0)))</f>
        <v>18190</v>
      </c>
      <c r="H15" s="54"/>
      <c r="I15" s="54">
        <f ca="1">IF('FIRE1201 raw'!F15="N/A","N/A",IF('FIRE1201 raw'!F15="..","..",ROUND('FIRE1201 raw'!F15,0)))</f>
        <v>1465</v>
      </c>
      <c r="J15" s="54">
        <f ca="1">IF('FIRE1201 raw'!G15="N/A","N/A",IF('FIRE1201 raw'!G15="..","..",ROUND('FIRE1201 raw'!G15,0)))</f>
        <v>733</v>
      </c>
      <c r="K15" s="54"/>
      <c r="L15" s="54">
        <f ca="1">IF('FIRE1201 raw'!H15="N/A","N/A",IF('FIRE1201 raw'!H15="..","..",ROUND('FIRE1201 raw'!H15,0)))</f>
        <v>0</v>
      </c>
      <c r="M15" s="54">
        <f ca="1">IF('FIRE1201 raw'!I15="N/A","N/A",IF('FIRE1201 raw'!I15="..","..",ROUND('FIRE1201 raw'!I15,0)))</f>
        <v>0</v>
      </c>
      <c r="N15" s="4"/>
      <c r="P15" s="11"/>
      <c r="Q15" s="11"/>
      <c r="S15" s="11"/>
      <c r="T15" s="11"/>
      <c r="V15" s="13"/>
      <c r="W15" s="13"/>
      <c r="X15" s="13"/>
      <c r="Y15" s="13"/>
      <c r="Z15" s="13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38" s="5" customFormat="1" ht="15" customHeight="1" x14ac:dyDescent="0.35">
      <c r="A16" s="4" t="s">
        <v>11</v>
      </c>
      <c r="B16" s="54">
        <f ca="1">IF('FIRE1201 raw'!B16="N/A","N/A",IF('FIRE1201 raw'!B16="..","..",ROUND('FIRE1201 raw'!B16,0)))</f>
        <v>18315</v>
      </c>
      <c r="C16" s="54">
        <f ca="1">IF('FIRE1201 raw'!C16="N/A","N/A",IF('FIRE1201 raw'!C16="..","..",ROUND('FIRE1201 raw'!C16,0)))</f>
        <v>76000</v>
      </c>
      <c r="D16" s="15"/>
      <c r="E16" s="54"/>
      <c r="F16" s="54">
        <f ca="1">IF('FIRE1201 raw'!D16="N/A","N/A",IF('FIRE1201 raw'!D16="..","..",ROUND('FIRE1201 raw'!D16,0)))</f>
        <v>10760</v>
      </c>
      <c r="G16" s="54">
        <f ca="1">IF('FIRE1201 raw'!E16="N/A","N/A",IF('FIRE1201 raw'!E16="..","..",ROUND('FIRE1201 raw'!E16,0)))</f>
        <v>40328</v>
      </c>
      <c r="H16" s="54"/>
      <c r="I16" s="54">
        <f ca="1">IF('FIRE1201 raw'!F16="N/A","N/A",IF('FIRE1201 raw'!F16="..","..",ROUND('FIRE1201 raw'!F16,0)))</f>
        <v>3378</v>
      </c>
      <c r="J16" s="54">
        <f ca="1">IF('FIRE1201 raw'!G16="N/A","N/A",IF('FIRE1201 raw'!G16="..","..",ROUND('FIRE1201 raw'!G16,0)))</f>
        <v>6777</v>
      </c>
      <c r="K16" s="54"/>
      <c r="L16" s="54">
        <f ca="1">IF('FIRE1201 raw'!H16="N/A","N/A",IF('FIRE1201 raw'!H16="..","..",ROUND('FIRE1201 raw'!H16,0)))</f>
        <v>3935</v>
      </c>
      <c r="M16" s="54">
        <f ca="1">IF('FIRE1201 raw'!I16="N/A","N/A",IF('FIRE1201 raw'!I16="..","..",ROUND('FIRE1201 raw'!I16,0)))</f>
        <v>7870</v>
      </c>
      <c r="N16" s="4"/>
      <c r="P16" s="11"/>
      <c r="Q16" s="11"/>
      <c r="S16" s="11"/>
      <c r="T16" s="11"/>
      <c r="V16" s="13"/>
      <c r="W16" s="13"/>
      <c r="X16" s="13"/>
      <c r="Y16" s="13"/>
      <c r="Z16" s="13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8" s="5" customFormat="1" ht="15" customHeight="1" x14ac:dyDescent="0.35">
      <c r="A17" s="4" t="s">
        <v>12</v>
      </c>
      <c r="B17" s="54">
        <f ca="1">IF('FIRE1201 raw'!B17="N/A","N/A",IF('FIRE1201 raw'!B17="..","..",ROUND('FIRE1201 raw'!B17,0)))</f>
        <v>5373</v>
      </c>
      <c r="C17" s="54">
        <f ca="1">IF('FIRE1201 raw'!C17="N/A","N/A",IF('FIRE1201 raw'!C17="..","..",ROUND('FIRE1201 raw'!C17,0)))</f>
        <v>4622</v>
      </c>
      <c r="D17" s="15"/>
      <c r="E17" s="54"/>
      <c r="F17" s="54">
        <f ca="1">IF('FIRE1201 raw'!D17="N/A","N/A",IF('FIRE1201 raw'!D17="..","..",ROUND('FIRE1201 raw'!D17,0)))</f>
        <v>1279</v>
      </c>
      <c r="G17" s="54">
        <f ca="1">IF('FIRE1201 raw'!E17="N/A","N/A",IF('FIRE1201 raw'!E17="..","..",ROUND('FIRE1201 raw'!E17,0)))</f>
        <v>1083</v>
      </c>
      <c r="H17" s="54"/>
      <c r="I17" s="54">
        <f ca="1">IF('FIRE1201 raw'!F17="N/A","N/A",IF('FIRE1201 raw'!F17="..","..",ROUND('FIRE1201 raw'!F17,0)))</f>
        <v>3135</v>
      </c>
      <c r="J17" s="54">
        <f ca="1">IF('FIRE1201 raw'!G17="N/A","N/A",IF('FIRE1201 raw'!G17="..","..",ROUND('FIRE1201 raw'!G17,0)))</f>
        <v>2213</v>
      </c>
      <c r="K17" s="54"/>
      <c r="L17" s="54">
        <f ca="1">IF('FIRE1201 raw'!H17="N/A","N/A",IF('FIRE1201 raw'!H17="..","..",ROUND('FIRE1201 raw'!H17,0)))</f>
        <v>792</v>
      </c>
      <c r="M17" s="54">
        <f ca="1">IF('FIRE1201 raw'!I17="N/A","N/A",IF('FIRE1201 raw'!I17="..","..",ROUND('FIRE1201 raw'!I17,0)))</f>
        <v>179</v>
      </c>
      <c r="N17" s="4"/>
      <c r="P17" s="11"/>
      <c r="Q17" s="11"/>
      <c r="S17" s="11"/>
      <c r="T17" s="11"/>
      <c r="V17" s="13"/>
      <c r="W17" s="13"/>
      <c r="X17" s="13"/>
      <c r="Y17" s="13"/>
      <c r="Z17" s="13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38" s="5" customFormat="1" ht="15" customHeight="1" x14ac:dyDescent="0.35">
      <c r="A18" s="4" t="s">
        <v>13</v>
      </c>
      <c r="B18" s="54">
        <f ca="1">IF('FIRE1201 raw'!B18="N/A","N/A",IF('FIRE1201 raw'!B18="..","..",ROUND('FIRE1201 raw'!B18,0)))</f>
        <v>10070</v>
      </c>
      <c r="C18" s="54">
        <f ca="1">IF('FIRE1201 raw'!C18="N/A","N/A",IF('FIRE1201 raw'!C18="..","..",ROUND('FIRE1201 raw'!C18,0)))</f>
        <v>20140</v>
      </c>
      <c r="D18" s="15"/>
      <c r="E18" s="54"/>
      <c r="F18" s="54">
        <f ca="1">IF('FIRE1201 raw'!D18="N/A","N/A",IF('FIRE1201 raw'!D18="..","..",ROUND('FIRE1201 raw'!D18,0)))</f>
        <v>5244</v>
      </c>
      <c r="G18" s="54">
        <f ca="1">IF('FIRE1201 raw'!E18="N/A","N/A",IF('FIRE1201 raw'!E18="..","..",ROUND('FIRE1201 raw'!E18,0)))</f>
        <v>10488</v>
      </c>
      <c r="H18" s="54"/>
      <c r="I18" s="54">
        <f ca="1">IF('FIRE1201 raw'!F18="N/A","N/A",IF('FIRE1201 raw'!F18="..","..",ROUND('FIRE1201 raw'!F18,0)))</f>
        <v>3754</v>
      </c>
      <c r="J18" s="54">
        <f ca="1">IF('FIRE1201 raw'!G18="N/A","N/A",IF('FIRE1201 raw'!G18="..","..",ROUND('FIRE1201 raw'!G18,0)))</f>
        <v>7508</v>
      </c>
      <c r="K18" s="54"/>
      <c r="L18" s="54">
        <f ca="1">IF('FIRE1201 raw'!H18="N/A","N/A",IF('FIRE1201 raw'!H18="..","..",ROUND('FIRE1201 raw'!H18,0)))</f>
        <v>10</v>
      </c>
      <c r="M18" s="54">
        <f ca="1">IF('FIRE1201 raw'!I18="N/A","N/A",IF('FIRE1201 raw'!I18="..","..",ROUND('FIRE1201 raw'!I18,0)))</f>
        <v>20</v>
      </c>
      <c r="N18" s="4"/>
      <c r="P18" s="11"/>
      <c r="Q18" s="11"/>
      <c r="S18" s="11"/>
      <c r="T18" s="11"/>
      <c r="V18" s="13"/>
      <c r="W18" s="13"/>
      <c r="X18" s="13"/>
      <c r="Y18" s="13"/>
      <c r="Z18" s="13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1:38" s="5" customFormat="1" ht="15" customHeight="1" x14ac:dyDescent="0.35">
      <c r="A19" s="21" t="s">
        <v>14</v>
      </c>
      <c r="B19" s="54">
        <f ca="1">IF('FIRE1201 raw'!B19="N/A","N/A",IF('FIRE1201 raw'!B19="..","..",ROUND('FIRE1201 raw'!B19,0)))</f>
        <v>9531</v>
      </c>
      <c r="C19" s="54">
        <f ca="1">IF('FIRE1201 raw'!C19="N/A","N/A",IF('FIRE1201 raw'!C19="..","..",ROUND('FIRE1201 raw'!C19,0)))</f>
        <v>15372</v>
      </c>
      <c r="D19" s="15"/>
      <c r="E19" s="54"/>
      <c r="F19" s="54">
        <f ca="1">IF('FIRE1201 raw'!D19="N/A","N/A",IF('FIRE1201 raw'!D19="..","..",ROUND('FIRE1201 raw'!D19,0)))</f>
        <v>7384</v>
      </c>
      <c r="G19" s="54">
        <f ca="1">IF('FIRE1201 raw'!E19="N/A","N/A",IF('FIRE1201 raw'!E19="..","..",ROUND('FIRE1201 raw'!E19,0)))</f>
        <v>11610</v>
      </c>
      <c r="H19" s="54"/>
      <c r="I19" s="54">
        <f ca="1">IF('FIRE1201 raw'!F19="N/A","N/A",IF('FIRE1201 raw'!F19="..","..",ROUND('FIRE1201 raw'!F19,0)))</f>
        <v>3352</v>
      </c>
      <c r="J19" s="54">
        <f ca="1">IF('FIRE1201 raw'!G19="N/A","N/A",IF('FIRE1201 raw'!G19="..","..",ROUND('FIRE1201 raw'!G19,0)))</f>
        <v>5873</v>
      </c>
      <c r="K19" s="54"/>
      <c r="L19" s="54">
        <f ca="1">IF('FIRE1201 raw'!H19="N/A","N/A",IF('FIRE1201 raw'!H19="..","..",ROUND('FIRE1201 raw'!H19,0)))</f>
        <v>3881</v>
      </c>
      <c r="M19" s="54">
        <f ca="1">IF('FIRE1201 raw'!I19="N/A","N/A",IF('FIRE1201 raw'!I19="..","..",ROUND('FIRE1201 raw'!I19,0)))</f>
        <v>4837</v>
      </c>
      <c r="N19" s="4"/>
      <c r="P19" s="11"/>
      <c r="Q19" s="11"/>
      <c r="S19" s="11"/>
      <c r="T19" s="11"/>
      <c r="V19" s="13"/>
      <c r="W19" s="13"/>
      <c r="X19" s="13"/>
      <c r="Y19" s="13"/>
      <c r="Z19" s="13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5" customFormat="1" ht="15" customHeight="1" x14ac:dyDescent="0.35">
      <c r="A20" s="21" t="s">
        <v>15</v>
      </c>
      <c r="B20" s="54">
        <f ca="1">IF('FIRE1201 raw'!B20="N/A","N/A",IF('FIRE1201 raw'!B20="..","..",ROUND('FIRE1201 raw'!B20,0)))</f>
        <v>10864</v>
      </c>
      <c r="C20" s="54">
        <f ca="1">IF('FIRE1201 raw'!C20="N/A","N/A",IF('FIRE1201 raw'!C20="..","..",ROUND('FIRE1201 raw'!C20,0)))</f>
        <v>13164</v>
      </c>
      <c r="D20" s="15"/>
      <c r="E20" s="54"/>
      <c r="F20" s="54">
        <f ca="1">IF('FIRE1201 raw'!D20="N/A","N/A",IF('FIRE1201 raw'!D20="..","..",ROUND('FIRE1201 raw'!D20,0)))</f>
        <v>7103</v>
      </c>
      <c r="G20" s="54">
        <f ca="1">IF('FIRE1201 raw'!E20="N/A","N/A",IF('FIRE1201 raw'!E20="..","..",ROUND('FIRE1201 raw'!E20,0)))</f>
        <v>9024</v>
      </c>
      <c r="H20" s="54"/>
      <c r="I20" s="54">
        <f ca="1">IF('FIRE1201 raw'!F20="N/A","N/A",IF('FIRE1201 raw'!F20="..","..",ROUND('FIRE1201 raw'!F20,0)))</f>
        <v>2217</v>
      </c>
      <c r="J20" s="54">
        <f ca="1">IF('FIRE1201 raw'!G20="N/A","N/A",IF('FIRE1201 raw'!G20="..","..",ROUND('FIRE1201 raw'!G20,0)))</f>
        <v>2806</v>
      </c>
      <c r="K20" s="54"/>
      <c r="L20" s="54">
        <f ca="1">IF('FIRE1201 raw'!H20="N/A","N/A",IF('FIRE1201 raw'!H20="..","..",ROUND('FIRE1201 raw'!H20,0)))</f>
        <v>0</v>
      </c>
      <c r="M20" s="54">
        <f ca="1">IF('FIRE1201 raw'!I20="N/A","N/A",IF('FIRE1201 raw'!I20="..","..",ROUND('FIRE1201 raw'!I20,0)))</f>
        <v>0</v>
      </c>
      <c r="N20" s="4"/>
      <c r="P20" s="11"/>
      <c r="Q20" s="11"/>
      <c r="S20" s="11"/>
      <c r="T20" s="11"/>
      <c r="V20" s="13"/>
      <c r="W20" s="13"/>
      <c r="X20" s="13"/>
      <c r="Y20" s="13"/>
      <c r="Z20" s="13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s="5" customFormat="1" ht="15" customHeight="1" x14ac:dyDescent="0.35">
      <c r="A21" s="21" t="s">
        <v>131</v>
      </c>
      <c r="B21" s="54">
        <f ca="1">IF('FIRE1201 raw'!B21="N/A","N/A",IF('FIRE1201 raw'!B21="..","..",ROUND('FIRE1201 raw'!B21,0)))</f>
        <v>11783</v>
      </c>
      <c r="C21" s="54">
        <f ca="1">IF('FIRE1201 raw'!C21="N/A","N/A",IF('FIRE1201 raw'!C21="..","..",ROUND('FIRE1201 raw'!C21,0)))</f>
        <v>15441</v>
      </c>
      <c r="D21" s="15"/>
      <c r="E21" s="54"/>
      <c r="F21" s="54">
        <f ca="1">IF('FIRE1201 raw'!D21="N/A","N/A",IF('FIRE1201 raw'!D21="..","..",ROUND('FIRE1201 raw'!D21,0)))</f>
        <v>7779</v>
      </c>
      <c r="G21" s="54">
        <f ca="1">IF('FIRE1201 raw'!E21="N/A","N/A",IF('FIRE1201 raw'!E21="..","..",ROUND('FIRE1201 raw'!E21,0)))</f>
        <v>10455</v>
      </c>
      <c r="H21" s="54"/>
      <c r="I21" s="54" t="str">
        <f ca="1">IF('FIRE1201 raw'!F21="N/A","N/A",IF('FIRE1201 raw'!F21="..","..",ROUND('FIRE1201 raw'!F21,0)))</f>
        <v>N/A</v>
      </c>
      <c r="J21" s="54" t="str">
        <f ca="1">IF('FIRE1201 raw'!G21="N/A","N/A",IF('FIRE1201 raw'!G21="..","..",ROUND('FIRE1201 raw'!G21,0)))</f>
        <v>N/A</v>
      </c>
      <c r="K21" s="54"/>
      <c r="L21" s="54">
        <f ca="1">IF('FIRE1201 raw'!H21="N/A","N/A",IF('FIRE1201 raw'!H21="..","..",ROUND('FIRE1201 raw'!H21,0)))</f>
        <v>366</v>
      </c>
      <c r="M21" s="54">
        <f ca="1">IF('FIRE1201 raw'!I21="N/A","N/A",IF('FIRE1201 raw'!I21="..","..",ROUND('FIRE1201 raw'!I21,0)))</f>
        <v>183</v>
      </c>
      <c r="N21" s="4"/>
      <c r="P21" s="11"/>
      <c r="Q21" s="11"/>
      <c r="S21" s="11"/>
      <c r="T21" s="11"/>
      <c r="V21" s="13"/>
      <c r="W21" s="13"/>
      <c r="X21" s="13"/>
      <c r="Y21" s="13"/>
      <c r="Z21" s="13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5" customFormat="1" ht="15" customHeight="1" x14ac:dyDescent="0.35">
      <c r="A22" s="4" t="s">
        <v>145</v>
      </c>
      <c r="B22" s="54" t="str">
        <f ca="1">IF('FIRE1201 raw'!B22="N/A","N/A",IF('FIRE1201 raw'!B22="..","..",ROUND('FIRE1201 raw'!B22,0)))</f>
        <v>..</v>
      </c>
      <c r="C22" s="54" t="str">
        <f ca="1">IF('FIRE1201 raw'!C22="N/A","N/A",IF('FIRE1201 raw'!C22="..","..",ROUND('FIRE1201 raw'!C22,0)))</f>
        <v>..</v>
      </c>
      <c r="D22" s="15"/>
      <c r="E22" s="54"/>
      <c r="F22" s="54" t="str">
        <f ca="1">IF('FIRE1201 raw'!D22="N/A","N/A",IF('FIRE1201 raw'!D22="..","..",ROUND('FIRE1201 raw'!D22,0)))</f>
        <v>..</v>
      </c>
      <c r="G22" s="54" t="str">
        <f ca="1">IF('FIRE1201 raw'!E22="N/A","N/A",IF('FIRE1201 raw'!E22="..","..",ROUND('FIRE1201 raw'!E22,0)))</f>
        <v>..</v>
      </c>
      <c r="H22" s="54"/>
      <c r="I22" s="54" t="str">
        <f ca="1">IF('FIRE1201 raw'!F22="N/A","N/A",IF('FIRE1201 raw'!F22="..","..",ROUND('FIRE1201 raw'!F22,0)))</f>
        <v>..</v>
      </c>
      <c r="J22" s="54" t="str">
        <f ca="1">IF('FIRE1201 raw'!G22="N/A","N/A",IF('FIRE1201 raw'!G22="..","..",ROUND('FIRE1201 raw'!G22,0)))</f>
        <v>..</v>
      </c>
      <c r="K22" s="54"/>
      <c r="L22" s="54" t="str">
        <f ca="1">IF('FIRE1201 raw'!H22="N/A","N/A",IF('FIRE1201 raw'!H22="..","..",ROUND('FIRE1201 raw'!H22,0)))</f>
        <v>..</v>
      </c>
      <c r="M22" s="54" t="str">
        <f ca="1">IF('FIRE1201 raw'!I22="N/A","N/A",IF('FIRE1201 raw'!I22="..","..",ROUND('FIRE1201 raw'!I22,0)))</f>
        <v>..</v>
      </c>
      <c r="N22" s="4"/>
      <c r="P22" s="11"/>
      <c r="Q22" s="11"/>
      <c r="S22" s="11"/>
      <c r="T22" s="11"/>
      <c r="V22" s="13"/>
      <c r="W22" s="13"/>
      <c r="X22" s="13"/>
      <c r="Y22" s="13"/>
      <c r="Z22" s="13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5" customFormat="1" ht="15" customHeight="1" x14ac:dyDescent="0.35">
      <c r="A23" s="4" t="s">
        <v>17</v>
      </c>
      <c r="B23" s="54">
        <f ca="1">IF('FIRE1201 raw'!B23="N/A","N/A",IF('FIRE1201 raw'!B23="..","..",ROUND('FIRE1201 raw'!B23,0)))</f>
        <v>19545</v>
      </c>
      <c r="C23" s="54">
        <f ca="1">IF('FIRE1201 raw'!C23="N/A","N/A",IF('FIRE1201 raw'!C23="..","..",ROUND('FIRE1201 raw'!C23,0)))</f>
        <v>14614</v>
      </c>
      <c r="D23" s="15"/>
      <c r="E23" s="54"/>
      <c r="F23" s="54">
        <f ca="1">IF('FIRE1201 raw'!D23="N/A","N/A",IF('FIRE1201 raw'!D23="..","..",ROUND('FIRE1201 raw'!D23,0)))</f>
        <v>7072</v>
      </c>
      <c r="G23" s="54">
        <f ca="1">IF('FIRE1201 raw'!E23="N/A","N/A",IF('FIRE1201 raw'!E23="..","..",ROUND('FIRE1201 raw'!E23,0)))</f>
        <v>5621</v>
      </c>
      <c r="H23" s="54"/>
      <c r="I23" s="54">
        <f ca="1">IF('FIRE1201 raw'!F23="N/A","N/A",IF('FIRE1201 raw'!F23="..","..",ROUND('FIRE1201 raw'!F23,0)))</f>
        <v>1196</v>
      </c>
      <c r="J23" s="54">
        <f ca="1">IF('FIRE1201 raw'!G23="N/A","N/A",IF('FIRE1201 raw'!G23="..","..",ROUND('FIRE1201 raw'!G23,0)))</f>
        <v>1288</v>
      </c>
      <c r="K23" s="54"/>
      <c r="L23" s="54">
        <f ca="1">IF('FIRE1201 raw'!H23="N/A","N/A",IF('FIRE1201 raw'!H23="..","..",ROUND('FIRE1201 raw'!H23,0)))</f>
        <v>0</v>
      </c>
      <c r="M23" s="54">
        <f ca="1">IF('FIRE1201 raw'!I23="N/A","N/A",IF('FIRE1201 raw'!I23="..","..",ROUND('FIRE1201 raw'!I23,0)))</f>
        <v>0</v>
      </c>
      <c r="N23" s="4"/>
      <c r="P23" s="11"/>
      <c r="Q23" s="11"/>
      <c r="S23" s="11"/>
      <c r="T23" s="11"/>
      <c r="V23" s="13"/>
      <c r="W23" s="13"/>
      <c r="X23" s="13"/>
      <c r="Y23" s="13"/>
      <c r="Z23" s="13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s="5" customFormat="1" ht="15" customHeight="1" x14ac:dyDescent="0.35">
      <c r="A24" s="4" t="s">
        <v>18</v>
      </c>
      <c r="B24" s="54">
        <f ca="1">IF('FIRE1201 raw'!B24="N/A","N/A",IF('FIRE1201 raw'!B24="..","..",ROUND('FIRE1201 raw'!B24,0)))</f>
        <v>10982</v>
      </c>
      <c r="C24" s="54">
        <f ca="1">IF('FIRE1201 raw'!C24="N/A","N/A",IF('FIRE1201 raw'!C24="..","..",ROUND('FIRE1201 raw'!C24,0)))</f>
        <v>18709</v>
      </c>
      <c r="D24" s="15"/>
      <c r="E24" s="54"/>
      <c r="F24" s="54">
        <f ca="1">IF('FIRE1201 raw'!D24="N/A","N/A",IF('FIRE1201 raw'!D24="..","..",ROUND('FIRE1201 raw'!D24,0)))</f>
        <v>2365</v>
      </c>
      <c r="G24" s="54">
        <f ca="1">IF('FIRE1201 raw'!E24="N/A","N/A",IF('FIRE1201 raw'!E24="..","..",ROUND('FIRE1201 raw'!E24,0)))</f>
        <v>4025</v>
      </c>
      <c r="H24" s="54"/>
      <c r="I24" s="54">
        <f ca="1">IF('FIRE1201 raw'!F24="N/A","N/A",IF('FIRE1201 raw'!F24="..","..",ROUND('FIRE1201 raw'!F24,0)))</f>
        <v>1020</v>
      </c>
      <c r="J24" s="54">
        <f ca="1">IF('FIRE1201 raw'!G24="N/A","N/A",IF('FIRE1201 raw'!G24="..","..",ROUND('FIRE1201 raw'!G24,0)))</f>
        <v>1743</v>
      </c>
      <c r="K24" s="54"/>
      <c r="L24" s="54">
        <f ca="1">IF('FIRE1201 raw'!H24="N/A","N/A",IF('FIRE1201 raw'!H24="..","..",ROUND('FIRE1201 raw'!H24,0)))</f>
        <v>0</v>
      </c>
      <c r="M24" s="54">
        <f ca="1">IF('FIRE1201 raw'!I24="N/A","N/A",IF('FIRE1201 raw'!I24="..","..",ROUND('FIRE1201 raw'!I24,0)))</f>
        <v>0</v>
      </c>
      <c r="N24" s="4"/>
      <c r="P24" s="11"/>
      <c r="Q24" s="11"/>
      <c r="S24" s="11"/>
      <c r="T24" s="11"/>
      <c r="V24" s="13"/>
      <c r="W24" s="13"/>
      <c r="X24" s="13"/>
      <c r="Y24" s="13"/>
      <c r="Z24" s="13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5" customFormat="1" ht="15" customHeight="1" x14ac:dyDescent="0.35">
      <c r="A25" s="4" t="s">
        <v>19</v>
      </c>
      <c r="B25" s="54">
        <f ca="1">IF('FIRE1201 raw'!B25="N/A","N/A",IF('FIRE1201 raw'!B25="..","..",ROUND('FIRE1201 raw'!B25,0)))</f>
        <v>8513</v>
      </c>
      <c r="C25" s="54">
        <f ca="1">IF('FIRE1201 raw'!C25="N/A","N/A",IF('FIRE1201 raw'!C25="..","..",ROUND('FIRE1201 raw'!C25,0)))</f>
        <v>27589</v>
      </c>
      <c r="D25" s="15"/>
      <c r="E25" s="54"/>
      <c r="F25" s="54">
        <f ca="1">IF('FIRE1201 raw'!D25="N/A","N/A",IF('FIRE1201 raw'!D25="..","..",ROUND('FIRE1201 raw'!D25,0)))</f>
        <v>5003</v>
      </c>
      <c r="G25" s="54">
        <f ca="1">IF('FIRE1201 raw'!E25="N/A","N/A",IF('FIRE1201 raw'!E25="..","..",ROUND('FIRE1201 raw'!E25,0)))</f>
        <v>16277</v>
      </c>
      <c r="H25" s="54"/>
      <c r="I25" s="54">
        <f ca="1">IF('FIRE1201 raw'!F25="N/A","N/A",IF('FIRE1201 raw'!F25="..","..",ROUND('FIRE1201 raw'!F25,0)))</f>
        <v>2435</v>
      </c>
      <c r="J25" s="54">
        <f ca="1">IF('FIRE1201 raw'!G25="N/A","N/A",IF('FIRE1201 raw'!G25="..","..",ROUND('FIRE1201 raw'!G25,0)))</f>
        <v>7725</v>
      </c>
      <c r="K25" s="54"/>
      <c r="L25" s="54">
        <f ca="1">IF('FIRE1201 raw'!H25="N/A","N/A",IF('FIRE1201 raw'!H25="..","..",ROUND('FIRE1201 raw'!H25,0)))</f>
        <v>0</v>
      </c>
      <c r="M25" s="54">
        <f ca="1">IF('FIRE1201 raw'!I25="N/A","N/A",IF('FIRE1201 raw'!I25="..","..",ROUND('FIRE1201 raw'!I25,0)))</f>
        <v>0</v>
      </c>
      <c r="N25" s="4"/>
      <c r="P25" s="11"/>
      <c r="Q25" s="11"/>
      <c r="S25" s="11"/>
      <c r="T25" s="11"/>
      <c r="V25" s="13"/>
      <c r="W25" s="13"/>
      <c r="X25" s="13"/>
      <c r="Y25" s="13"/>
      <c r="Z25" s="13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5" customFormat="1" ht="15" customHeight="1" x14ac:dyDescent="0.35">
      <c r="A26" s="4" t="s">
        <v>20</v>
      </c>
      <c r="B26" s="54">
        <f ca="1">IF('FIRE1201 raw'!B26="N/A","N/A",IF('FIRE1201 raw'!B26="..","..",ROUND('FIRE1201 raw'!B26,0)))</f>
        <v>7649</v>
      </c>
      <c r="C26" s="54">
        <f ca="1">IF('FIRE1201 raw'!C26="N/A","N/A",IF('FIRE1201 raw'!C26="..","..",ROUND('FIRE1201 raw'!C26,0)))</f>
        <v>13692</v>
      </c>
      <c r="D26" s="15"/>
      <c r="E26" s="54"/>
      <c r="F26" s="54">
        <f ca="1">IF('FIRE1201 raw'!D26="N/A","N/A",IF('FIRE1201 raw'!D26="..","..",ROUND('FIRE1201 raw'!D26,0)))</f>
        <v>4151</v>
      </c>
      <c r="G26" s="54">
        <f ca="1">IF('FIRE1201 raw'!E26="N/A","N/A",IF('FIRE1201 raw'!E26="..","..",ROUND('FIRE1201 raw'!E26,0)))</f>
        <v>7430</v>
      </c>
      <c r="H26" s="54"/>
      <c r="I26" s="54">
        <f ca="1">IF('FIRE1201 raw'!F26="N/A","N/A",IF('FIRE1201 raw'!F26="..","..",ROUND('FIRE1201 raw'!F26,0)))</f>
        <v>2860</v>
      </c>
      <c r="J26" s="54">
        <f ca="1">IF('FIRE1201 raw'!G26="N/A","N/A",IF('FIRE1201 raw'!G26="..","..",ROUND('FIRE1201 raw'!G26,0)))</f>
        <v>5119</v>
      </c>
      <c r="K26" s="54"/>
      <c r="L26" s="54">
        <f ca="1">IF('FIRE1201 raw'!H26="N/A","N/A",IF('FIRE1201 raw'!H26="..","..",ROUND('FIRE1201 raw'!H26,0)))</f>
        <v>0</v>
      </c>
      <c r="M26" s="54">
        <f ca="1">IF('FIRE1201 raw'!I26="N/A","N/A",IF('FIRE1201 raw'!I26="..","..",ROUND('FIRE1201 raw'!I26,0)))</f>
        <v>0</v>
      </c>
      <c r="N26" s="4"/>
      <c r="P26" s="11"/>
      <c r="Q26" s="11"/>
      <c r="S26" s="11"/>
      <c r="T26" s="11"/>
      <c r="V26" s="13"/>
      <c r="W26" s="13"/>
      <c r="X26" s="13"/>
      <c r="Y26" s="13"/>
      <c r="Z26" s="13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5" customFormat="1" ht="15" customHeight="1" x14ac:dyDescent="0.35">
      <c r="A27" s="4" t="s">
        <v>23</v>
      </c>
      <c r="B27" s="54">
        <f ca="1">IF('FIRE1201 raw'!B27="N/A","N/A",IF('FIRE1201 raw'!B27="..","..",ROUND('FIRE1201 raw'!B27,0)))</f>
        <v>5030</v>
      </c>
      <c r="C27" s="54">
        <f ca="1">IF('FIRE1201 raw'!C27="N/A","N/A",IF('FIRE1201 raw'!C27="..","..",ROUND('FIRE1201 raw'!C27,0)))</f>
        <v>8593</v>
      </c>
      <c r="D27" s="15"/>
      <c r="E27" s="54"/>
      <c r="F27" s="54">
        <f ca="1">IF('FIRE1201 raw'!D27="N/A","N/A",IF('FIRE1201 raw'!D27="..","..",ROUND('FIRE1201 raw'!D27,0)))</f>
        <v>3305</v>
      </c>
      <c r="G27" s="54">
        <f ca="1">IF('FIRE1201 raw'!E27="N/A","N/A",IF('FIRE1201 raw'!E27="..","..",ROUND('FIRE1201 raw'!E27,0)))</f>
        <v>6917</v>
      </c>
      <c r="H27" s="54"/>
      <c r="I27" s="54">
        <f ca="1">IF('FIRE1201 raw'!F27="N/A","N/A",IF('FIRE1201 raw'!F27="..","..",ROUND('FIRE1201 raw'!F27,0)))</f>
        <v>17</v>
      </c>
      <c r="J27" s="54">
        <f ca="1">IF('FIRE1201 raw'!G27="N/A","N/A",IF('FIRE1201 raw'!G27="..","..",ROUND('FIRE1201 raw'!G27,0)))</f>
        <v>60</v>
      </c>
      <c r="K27" s="54"/>
      <c r="L27" s="54">
        <f ca="1">IF('FIRE1201 raw'!H27="N/A","N/A",IF('FIRE1201 raw'!H27="..","..",ROUND('FIRE1201 raw'!H27,0)))</f>
        <v>133</v>
      </c>
      <c r="M27" s="54">
        <f ca="1">IF('FIRE1201 raw'!I27="N/A","N/A",IF('FIRE1201 raw'!I27="..","..",ROUND('FIRE1201 raw'!I27,0)))</f>
        <v>68</v>
      </c>
      <c r="N27" s="4"/>
      <c r="P27" s="11"/>
      <c r="Q27" s="11"/>
      <c r="S27" s="11"/>
      <c r="T27" s="11"/>
      <c r="V27" s="13"/>
      <c r="W27" s="13"/>
      <c r="X27" s="13"/>
      <c r="Y27" s="13"/>
      <c r="Z27" s="13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5" customFormat="1" ht="15" customHeight="1" x14ac:dyDescent="0.35">
      <c r="A28" s="4" t="s">
        <v>24</v>
      </c>
      <c r="B28" s="54">
        <f ca="1">IF('FIRE1201 raw'!B28="N/A","N/A",IF('FIRE1201 raw'!B28="..","..",ROUND('FIRE1201 raw'!B28,0)))</f>
        <v>4113</v>
      </c>
      <c r="C28" s="54">
        <f ca="1">IF('FIRE1201 raw'!C28="N/A","N/A",IF('FIRE1201 raw'!C28="..","..",ROUND('FIRE1201 raw'!C28,0)))</f>
        <v>4485</v>
      </c>
      <c r="D28" s="15"/>
      <c r="E28" s="54"/>
      <c r="F28" s="54">
        <f ca="1">IF('FIRE1201 raw'!D28="N/A","N/A",IF('FIRE1201 raw'!D28="..","..",ROUND('FIRE1201 raw'!D28,0)))</f>
        <v>2546</v>
      </c>
      <c r="G28" s="54">
        <f ca="1">IF('FIRE1201 raw'!E28="N/A","N/A",IF('FIRE1201 raw'!E28="..","..",ROUND('FIRE1201 raw'!E28,0)))</f>
        <v>2885</v>
      </c>
      <c r="H28" s="54"/>
      <c r="I28" s="54">
        <f ca="1">IF('FIRE1201 raw'!F28="N/A","N/A",IF('FIRE1201 raw'!F28="..","..",ROUND('FIRE1201 raw'!F28,0)))</f>
        <v>1260</v>
      </c>
      <c r="J28" s="54">
        <f ca="1">IF('FIRE1201 raw'!G28="N/A","N/A",IF('FIRE1201 raw'!G28="..","..",ROUND('FIRE1201 raw'!G28,0)))</f>
        <v>1537</v>
      </c>
      <c r="K28" s="54"/>
      <c r="L28" s="54">
        <f ca="1">IF('FIRE1201 raw'!H28="N/A","N/A",IF('FIRE1201 raw'!H28="..","..",ROUND('FIRE1201 raw'!H28,0)))</f>
        <v>0</v>
      </c>
      <c r="M28" s="54">
        <f ca="1">IF('FIRE1201 raw'!I28="N/A","N/A",IF('FIRE1201 raw'!I28="..","..",ROUND('FIRE1201 raw'!I28,0)))</f>
        <v>0</v>
      </c>
      <c r="N28" s="4"/>
      <c r="P28" s="11"/>
      <c r="Q28" s="11"/>
      <c r="S28" s="11"/>
      <c r="T28" s="11"/>
      <c r="V28" s="13"/>
      <c r="W28" s="13"/>
      <c r="X28" s="13"/>
      <c r="Y28" s="13"/>
      <c r="Z28" s="13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5" customFormat="1" ht="15" customHeight="1" x14ac:dyDescent="0.35">
      <c r="A29" s="4" t="s">
        <v>25</v>
      </c>
      <c r="B29" s="54">
        <f ca="1">IF('FIRE1201 raw'!B29="N/A","N/A",IF('FIRE1201 raw'!B29="..","..",ROUND('FIRE1201 raw'!B29,0)))</f>
        <v>3512</v>
      </c>
      <c r="C29" s="54">
        <f ca="1">IF('FIRE1201 raw'!C29="N/A","N/A",IF('FIRE1201 raw'!C29="..","..",ROUND('FIRE1201 raw'!C29,0)))</f>
        <v>2613</v>
      </c>
      <c r="D29" s="15"/>
      <c r="E29" s="54"/>
      <c r="F29" s="54">
        <f ca="1">IF('FIRE1201 raw'!D29="N/A","N/A",IF('FIRE1201 raw'!D29="..","..",ROUND('FIRE1201 raw'!D29,0)))</f>
        <v>1831</v>
      </c>
      <c r="G29" s="54">
        <f ca="1">IF('FIRE1201 raw'!E29="N/A","N/A",IF('FIRE1201 raw'!E29="..","..",ROUND('FIRE1201 raw'!E29,0)))</f>
        <v>1430</v>
      </c>
      <c r="H29" s="54"/>
      <c r="I29" s="54">
        <f ca="1">IF('FIRE1201 raw'!F29="N/A","N/A",IF('FIRE1201 raw'!F29="..","..",ROUND('FIRE1201 raw'!F29,0)))</f>
        <v>444</v>
      </c>
      <c r="J29" s="54">
        <f ca="1">IF('FIRE1201 raw'!G29="N/A","N/A",IF('FIRE1201 raw'!G29="..","..",ROUND('FIRE1201 raw'!G29,0)))</f>
        <v>384</v>
      </c>
      <c r="K29" s="54"/>
      <c r="L29" s="54">
        <f ca="1">IF('FIRE1201 raw'!H29="N/A","N/A",IF('FIRE1201 raw'!H29="..","..",ROUND('FIRE1201 raw'!H29,0)))</f>
        <v>2320</v>
      </c>
      <c r="M29" s="54">
        <f ca="1">IF('FIRE1201 raw'!I29="N/A","N/A",IF('FIRE1201 raw'!I29="..","..",ROUND('FIRE1201 raw'!I29,0)))</f>
        <v>2589</v>
      </c>
      <c r="N29" s="4"/>
      <c r="P29" s="11"/>
      <c r="Q29" s="11"/>
      <c r="S29" s="11"/>
      <c r="T29" s="11"/>
      <c r="V29" s="13"/>
      <c r="W29" s="13"/>
      <c r="X29" s="13"/>
      <c r="Y29" s="13"/>
      <c r="Z29" s="13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5" customFormat="1" ht="15" customHeight="1" x14ac:dyDescent="0.35">
      <c r="A30" s="4" t="s">
        <v>26</v>
      </c>
      <c r="B30" s="54">
        <f ca="1">IF('FIRE1201 raw'!B30="N/A","N/A",IF('FIRE1201 raw'!B30="..","..",ROUND('FIRE1201 raw'!B30,0)))</f>
        <v>5376</v>
      </c>
      <c r="C30" s="54">
        <f ca="1">IF('FIRE1201 raw'!C30="N/A","N/A",IF('FIRE1201 raw'!C30="..","..",ROUND('FIRE1201 raw'!C30,0)))</f>
        <v>3982</v>
      </c>
      <c r="D30" s="15"/>
      <c r="E30" s="54"/>
      <c r="F30" s="54">
        <f ca="1">IF('FIRE1201 raw'!D30="N/A","N/A",IF('FIRE1201 raw'!D30="..","..",ROUND('FIRE1201 raw'!D30,0)))</f>
        <v>2457</v>
      </c>
      <c r="G30" s="54">
        <f ca="1">IF('FIRE1201 raw'!E30="N/A","N/A",IF('FIRE1201 raw'!E30="..","..",ROUND('FIRE1201 raw'!E30,0)))</f>
        <v>1744</v>
      </c>
      <c r="H30" s="54"/>
      <c r="I30" s="54">
        <f ca="1">IF('FIRE1201 raw'!F30="N/A","N/A",IF('FIRE1201 raw'!F30="..","..",ROUND('FIRE1201 raw'!F30,0)))</f>
        <v>1035</v>
      </c>
      <c r="J30" s="54">
        <f ca="1">IF('FIRE1201 raw'!G30="N/A","N/A",IF('FIRE1201 raw'!G30="..","..",ROUND('FIRE1201 raw'!G30,0)))</f>
        <v>817</v>
      </c>
      <c r="K30" s="54"/>
      <c r="L30" s="54">
        <f ca="1">IF('FIRE1201 raw'!H30="N/A","N/A",IF('FIRE1201 raw'!H30="..","..",ROUND('FIRE1201 raw'!H30,0)))</f>
        <v>0</v>
      </c>
      <c r="M30" s="54">
        <f ca="1">IF('FIRE1201 raw'!I30="N/A","N/A",IF('FIRE1201 raw'!I30="..","..",ROUND('FIRE1201 raw'!I30,0)))</f>
        <v>0</v>
      </c>
      <c r="N30" s="4"/>
      <c r="P30" s="11"/>
      <c r="Q30" s="11"/>
      <c r="S30" s="11"/>
      <c r="T30" s="11"/>
      <c r="V30" s="13"/>
      <c r="W30" s="13"/>
      <c r="X30" s="13"/>
      <c r="Y30" s="13"/>
      <c r="Z30" s="13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s="5" customFormat="1" ht="15" customHeight="1" x14ac:dyDescent="0.35">
      <c r="A31" s="4" t="s">
        <v>27</v>
      </c>
      <c r="B31" s="54">
        <f ca="1">IF('FIRE1201 raw'!B31="N/A","N/A",IF('FIRE1201 raw'!B31="..","..",ROUND('FIRE1201 raw'!B31,0)))</f>
        <v>647</v>
      </c>
      <c r="C31" s="54">
        <f ca="1">IF('FIRE1201 raw'!C31="N/A","N/A",IF('FIRE1201 raw'!C31="..","..",ROUND('FIRE1201 raw'!C31,0)))</f>
        <v>467</v>
      </c>
      <c r="D31" s="15"/>
      <c r="E31" s="54"/>
      <c r="F31" s="54">
        <f ca="1">IF('FIRE1201 raw'!D31="N/A","N/A",IF('FIRE1201 raw'!D31="..","..",ROUND('FIRE1201 raw'!D31,0)))</f>
        <v>480</v>
      </c>
      <c r="G31" s="54">
        <f ca="1">IF('FIRE1201 raw'!E31="N/A","N/A",IF('FIRE1201 raw'!E31="..","..",ROUND('FIRE1201 raw'!E31,0)))</f>
        <v>356</v>
      </c>
      <c r="H31" s="54"/>
      <c r="I31" s="54" t="str">
        <f ca="1">IF('FIRE1201 raw'!F31="N/A","N/A",IF('FIRE1201 raw'!F31="..","..",ROUND('FIRE1201 raw'!F31,0)))</f>
        <v>N/A</v>
      </c>
      <c r="J31" s="54" t="str">
        <f ca="1">IF('FIRE1201 raw'!G31="N/A","N/A",IF('FIRE1201 raw'!G31="..","..",ROUND('FIRE1201 raw'!G31,0)))</f>
        <v>N/A</v>
      </c>
      <c r="K31" s="54"/>
      <c r="L31" s="54">
        <f ca="1">IF('FIRE1201 raw'!H31="N/A","N/A",IF('FIRE1201 raw'!H31="..","..",ROUND('FIRE1201 raw'!H31,0)))</f>
        <v>230</v>
      </c>
      <c r="M31" s="54">
        <f ca="1">IF('FIRE1201 raw'!I31="N/A","N/A",IF('FIRE1201 raw'!I31="..","..",ROUND('FIRE1201 raw'!I31,0)))</f>
        <v>163</v>
      </c>
      <c r="N31" s="4"/>
      <c r="P31" s="11"/>
      <c r="Q31" s="11"/>
      <c r="S31" s="11"/>
      <c r="T31" s="11"/>
      <c r="V31" s="13"/>
      <c r="W31" s="13"/>
      <c r="X31" s="13"/>
      <c r="Y31" s="13"/>
      <c r="Z31" s="13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s="5" customFormat="1" ht="15" customHeight="1" x14ac:dyDescent="0.35">
      <c r="A32" s="5" t="s">
        <v>29</v>
      </c>
      <c r="B32" s="54">
        <f ca="1">IF('FIRE1201 raw'!B32="N/A","N/A",IF('FIRE1201 raw'!B32="..","..",ROUND('FIRE1201 raw'!B32,0)))</f>
        <v>15933</v>
      </c>
      <c r="C32" s="54">
        <f ca="1">IF('FIRE1201 raw'!C32="N/A","N/A",IF('FIRE1201 raw'!C32="..","..",ROUND('FIRE1201 raw'!C32,0)))</f>
        <v>23900</v>
      </c>
      <c r="D32" s="15"/>
      <c r="E32" s="54"/>
      <c r="F32" s="54">
        <f ca="1">IF('FIRE1201 raw'!D32="N/A","N/A",IF('FIRE1201 raw'!D32="..","..",ROUND('FIRE1201 raw'!D32,0)))</f>
        <v>10050</v>
      </c>
      <c r="G32" s="54">
        <f ca="1">IF('FIRE1201 raw'!E32="N/A","N/A",IF('FIRE1201 raw'!E32="..","..",ROUND('FIRE1201 raw'!E32,0)))</f>
        <v>15075</v>
      </c>
      <c r="H32" s="54"/>
      <c r="I32" s="54">
        <f ca="1">IF('FIRE1201 raw'!F32="N/A","N/A",IF('FIRE1201 raw'!F32="..","..",ROUND('FIRE1201 raw'!F32,0)))</f>
        <v>6510</v>
      </c>
      <c r="J32" s="54">
        <f ca="1">IF('FIRE1201 raw'!G32="N/A","N/A",IF('FIRE1201 raw'!G32="..","..",ROUND('FIRE1201 raw'!G32,0)))</f>
        <v>9765</v>
      </c>
      <c r="K32" s="54"/>
      <c r="L32" s="54">
        <f ca="1">IF('FIRE1201 raw'!H32="N/A","N/A",IF('FIRE1201 raw'!H32="..","..",ROUND('FIRE1201 raw'!H32,0)))</f>
        <v>0</v>
      </c>
      <c r="M32" s="54">
        <f ca="1">IF('FIRE1201 raw'!I32="N/A","N/A",IF('FIRE1201 raw'!I32="..","..",ROUND('FIRE1201 raw'!I32,0)))</f>
        <v>0</v>
      </c>
      <c r="N32" s="4"/>
      <c r="P32" s="11"/>
      <c r="Q32" s="11"/>
      <c r="S32" s="11"/>
      <c r="T32" s="11"/>
      <c r="V32" s="13"/>
      <c r="W32" s="13"/>
      <c r="X32" s="13"/>
      <c r="Y32" s="13"/>
      <c r="Z32" s="13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s="5" customFormat="1" ht="15" customHeight="1" x14ac:dyDescent="0.35">
      <c r="A33" s="5" t="s">
        <v>30</v>
      </c>
      <c r="B33" s="54">
        <f ca="1">IF('FIRE1201 raw'!B33="N/A","N/A",IF('FIRE1201 raw'!B33="..","..",ROUND('FIRE1201 raw'!B33,0)))</f>
        <v>11954</v>
      </c>
      <c r="C33" s="54">
        <f ca="1">IF('FIRE1201 raw'!C33="N/A","N/A",IF('FIRE1201 raw'!C33="..","..",ROUND('FIRE1201 raw'!C33,0)))</f>
        <v>21959</v>
      </c>
      <c r="D33" s="15"/>
      <c r="E33" s="54"/>
      <c r="F33" s="54">
        <f ca="1">IF('FIRE1201 raw'!D33="N/A","N/A",IF('FIRE1201 raw'!D33="..","..",ROUND('FIRE1201 raw'!D33,0)))</f>
        <v>8507</v>
      </c>
      <c r="G33" s="54">
        <f ca="1">IF('FIRE1201 raw'!E33="N/A","N/A",IF('FIRE1201 raw'!E33="..","..",ROUND('FIRE1201 raw'!E33,0)))</f>
        <v>14462</v>
      </c>
      <c r="H33" s="54"/>
      <c r="I33" s="54">
        <f ca="1">IF('FIRE1201 raw'!F33="N/A","N/A",IF('FIRE1201 raw'!F33="..","..",ROUND('FIRE1201 raw'!F33,0)))</f>
        <v>8131</v>
      </c>
      <c r="J33" s="54">
        <f ca="1">IF('FIRE1201 raw'!G33="N/A","N/A",IF('FIRE1201 raw'!G33="..","..",ROUND('FIRE1201 raw'!G33,0)))</f>
        <v>13823</v>
      </c>
      <c r="K33" s="54"/>
      <c r="L33" s="54">
        <f ca="1">IF('FIRE1201 raw'!H33="N/A","N/A",IF('FIRE1201 raw'!H33="..","..",ROUND('FIRE1201 raw'!H33,0)))</f>
        <v>0</v>
      </c>
      <c r="M33" s="54">
        <f ca="1">IF('FIRE1201 raw'!I33="N/A","N/A",IF('FIRE1201 raw'!I33="..","..",ROUND('FIRE1201 raw'!I33,0)))</f>
        <v>0</v>
      </c>
      <c r="N33" s="4"/>
      <c r="P33" s="11"/>
      <c r="Q33" s="11"/>
      <c r="S33" s="11"/>
      <c r="T33" s="11"/>
      <c r="V33" s="13"/>
      <c r="W33" s="13"/>
      <c r="X33" s="13"/>
      <c r="Y33" s="13"/>
      <c r="Z33" s="13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s="5" customFormat="1" ht="15" customHeight="1" x14ac:dyDescent="0.35">
      <c r="A34" s="4" t="s">
        <v>31</v>
      </c>
      <c r="B34" s="54">
        <f ca="1">IF('FIRE1201 raw'!B34="N/A","N/A",IF('FIRE1201 raw'!B34="..","..",ROUND('FIRE1201 raw'!B34,0)))</f>
        <v>7926</v>
      </c>
      <c r="C34" s="54">
        <f ca="1">IF('FIRE1201 raw'!C34="N/A","N/A",IF('FIRE1201 raw'!C34="..","..",ROUND('FIRE1201 raw'!C34,0)))</f>
        <v>13871</v>
      </c>
      <c r="D34" s="15"/>
      <c r="E34" s="54"/>
      <c r="F34" s="54">
        <f ca="1">IF('FIRE1201 raw'!D34="N/A","N/A",IF('FIRE1201 raw'!D34="..","..",ROUND('FIRE1201 raw'!D34,0)))</f>
        <v>4743</v>
      </c>
      <c r="G34" s="54">
        <f ca="1">IF('FIRE1201 raw'!E34="N/A","N/A",IF('FIRE1201 raw'!E34="..","..",ROUND('FIRE1201 raw'!E34,0)))</f>
        <v>8300</v>
      </c>
      <c r="H34" s="54"/>
      <c r="I34" s="54">
        <f ca="1">IF('FIRE1201 raw'!F34="N/A","N/A",IF('FIRE1201 raw'!F34="..","..",ROUND('FIRE1201 raw'!F34,0)))</f>
        <v>2299</v>
      </c>
      <c r="J34" s="54">
        <f ca="1">IF('FIRE1201 raw'!G34="N/A","N/A",IF('FIRE1201 raw'!G34="..","..",ROUND('FIRE1201 raw'!G34,0)))</f>
        <v>4023</v>
      </c>
      <c r="K34" s="54"/>
      <c r="L34" s="54">
        <f ca="1">IF('FIRE1201 raw'!H34="N/A","N/A",IF('FIRE1201 raw'!H34="..","..",ROUND('FIRE1201 raw'!H34,0)))</f>
        <v>480</v>
      </c>
      <c r="M34" s="54">
        <f ca="1">IF('FIRE1201 raw'!I34="N/A","N/A",IF('FIRE1201 raw'!I34="..","..",ROUND('FIRE1201 raw'!I34,0)))</f>
        <v>840</v>
      </c>
      <c r="N34" s="4"/>
      <c r="P34" s="11"/>
      <c r="Q34" s="11"/>
      <c r="S34" s="11"/>
      <c r="T34" s="11"/>
      <c r="V34" s="13"/>
      <c r="W34" s="13"/>
      <c r="X34" s="13"/>
      <c r="Y34" s="13"/>
      <c r="Z34" s="13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s="5" customFormat="1" ht="15" customHeight="1" x14ac:dyDescent="0.35">
      <c r="A35" s="5" t="s">
        <v>32</v>
      </c>
      <c r="B35" s="54">
        <f ca="1">IF('FIRE1201 raw'!B35="N/A","N/A",IF('FIRE1201 raw'!B35="..","..",ROUND('FIRE1201 raw'!B35,0)))</f>
        <v>5274</v>
      </c>
      <c r="C35" s="54">
        <f ca="1">IF('FIRE1201 raw'!C35="N/A","N/A",IF('FIRE1201 raw'!C35="..","..",ROUND('FIRE1201 raw'!C35,0)))</f>
        <v>4490</v>
      </c>
      <c r="D35" s="15"/>
      <c r="E35" s="54"/>
      <c r="F35" s="54">
        <f ca="1">IF('FIRE1201 raw'!D35="N/A","N/A",IF('FIRE1201 raw'!D35="..","..",ROUND('FIRE1201 raw'!D35,0)))</f>
        <v>2044</v>
      </c>
      <c r="G35" s="54">
        <f ca="1">IF('FIRE1201 raw'!E35="N/A","N/A",IF('FIRE1201 raw'!E35="..","..",ROUND('FIRE1201 raw'!E35,0)))</f>
        <v>2594</v>
      </c>
      <c r="H35" s="54"/>
      <c r="I35" s="54">
        <f ca="1">IF('FIRE1201 raw'!F35="N/A","N/A",IF('FIRE1201 raw'!F35="..","..",ROUND('FIRE1201 raw'!F35,0)))</f>
        <v>2031</v>
      </c>
      <c r="J35" s="54">
        <f ca="1">IF('FIRE1201 raw'!G35="N/A","N/A",IF('FIRE1201 raw'!G35="..","..",ROUND('FIRE1201 raw'!G35,0)))</f>
        <v>2803</v>
      </c>
      <c r="K35" s="54"/>
      <c r="L35" s="54">
        <f ca="1">IF('FIRE1201 raw'!H35="N/A","N/A",IF('FIRE1201 raw'!H35="..","..",ROUND('FIRE1201 raw'!H35,0)))</f>
        <v>15</v>
      </c>
      <c r="M35" s="54">
        <f ca="1">IF('FIRE1201 raw'!I35="N/A","N/A",IF('FIRE1201 raw'!I35="..","..",ROUND('FIRE1201 raw'!I35,0)))</f>
        <v>23</v>
      </c>
      <c r="N35" s="4"/>
      <c r="P35" s="11"/>
      <c r="Q35" s="11"/>
      <c r="S35" s="11"/>
      <c r="T35" s="11"/>
      <c r="V35" s="13"/>
      <c r="W35" s="13"/>
      <c r="X35" s="13"/>
      <c r="Y35" s="13"/>
      <c r="Z35" s="13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38" s="5" customFormat="1" ht="15" customHeight="1" x14ac:dyDescent="0.35">
      <c r="A36" s="5" t="s">
        <v>34</v>
      </c>
      <c r="B36" s="54">
        <f ca="1">IF('FIRE1201 raw'!B36="N/A","N/A",IF('FIRE1201 raw'!B36="..","..",ROUND('FIRE1201 raw'!B36,0)))</f>
        <v>3751</v>
      </c>
      <c r="C36" s="54">
        <f ca="1">IF('FIRE1201 raw'!C36="N/A","N/A",IF('FIRE1201 raw'!C36="..","..",ROUND('FIRE1201 raw'!C36,0)))</f>
        <v>3620</v>
      </c>
      <c r="D36" s="15"/>
      <c r="E36" s="54"/>
      <c r="F36" s="54">
        <f ca="1">IF('FIRE1201 raw'!D36="N/A","N/A",IF('FIRE1201 raw'!D36="..","..",ROUND('FIRE1201 raw'!D36,0)))</f>
        <v>2047</v>
      </c>
      <c r="G36" s="54">
        <f ca="1">IF('FIRE1201 raw'!E36="N/A","N/A",IF('FIRE1201 raw'!E36="..","..",ROUND('FIRE1201 raw'!E36,0)))</f>
        <v>1965</v>
      </c>
      <c r="H36" s="54"/>
      <c r="I36" s="54" t="str">
        <f ca="1">IF('FIRE1201 raw'!F36="N/A","N/A",IF('FIRE1201 raw'!F36="..","..",ROUND('FIRE1201 raw'!F36,0)))</f>
        <v>N/A</v>
      </c>
      <c r="J36" s="54" t="str">
        <f ca="1">IF('FIRE1201 raw'!G36="N/A","N/A",IF('FIRE1201 raw'!G36="..","..",ROUND('FIRE1201 raw'!G36,0)))</f>
        <v>N/A</v>
      </c>
      <c r="K36" s="54"/>
      <c r="L36" s="54">
        <f ca="1">IF('FIRE1201 raw'!H36="N/A","N/A",IF('FIRE1201 raw'!H36="..","..",ROUND('FIRE1201 raw'!H36,0)))</f>
        <v>13</v>
      </c>
      <c r="M36" s="54">
        <f ca="1">IF('FIRE1201 raw'!I36="N/A","N/A",IF('FIRE1201 raw'!I36="..","..",ROUND('FIRE1201 raw'!I36,0)))</f>
        <v>7</v>
      </c>
      <c r="N36" s="4"/>
      <c r="P36" s="11"/>
      <c r="Q36" s="11"/>
      <c r="S36" s="11"/>
      <c r="T36" s="11"/>
      <c r="V36" s="13"/>
      <c r="W36" s="13"/>
      <c r="X36" s="13"/>
      <c r="Y36" s="13"/>
      <c r="Z36" s="13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s="5" customFormat="1" ht="15" customHeight="1" x14ac:dyDescent="0.35">
      <c r="A37" s="5" t="s">
        <v>35</v>
      </c>
      <c r="B37" s="54">
        <f ca="1">IF('FIRE1201 raw'!B37="N/A","N/A",IF('FIRE1201 raw'!B37="..","..",ROUND('FIRE1201 raw'!B37,0)))</f>
        <v>2956</v>
      </c>
      <c r="C37" s="54">
        <f ca="1">IF('FIRE1201 raw'!C37="N/A","N/A",IF('FIRE1201 raw'!C37="..","..",ROUND('FIRE1201 raw'!C37,0)))</f>
        <v>4482</v>
      </c>
      <c r="D37" s="15"/>
      <c r="E37" s="54"/>
      <c r="F37" s="54">
        <f ca="1">IF('FIRE1201 raw'!D37="N/A","N/A",IF('FIRE1201 raw'!D37="..","..",ROUND('FIRE1201 raw'!D37,0)))</f>
        <v>1905</v>
      </c>
      <c r="G37" s="54">
        <f ca="1">IF('FIRE1201 raw'!E37="N/A","N/A",IF('FIRE1201 raw'!E37="..","..",ROUND('FIRE1201 raw'!E37,0)))</f>
        <v>2868</v>
      </c>
      <c r="H37" s="54"/>
      <c r="I37" s="54">
        <f ca="1">IF('FIRE1201 raw'!F37="N/A","N/A",IF('FIRE1201 raw'!F37="..","..",ROUND('FIRE1201 raw'!F37,0)))</f>
        <v>0</v>
      </c>
      <c r="J37" s="54">
        <f ca="1">IF('FIRE1201 raw'!G37="N/A","N/A",IF('FIRE1201 raw'!G37="..","..",ROUND('FIRE1201 raw'!G37,0)))</f>
        <v>0</v>
      </c>
      <c r="K37" s="54"/>
      <c r="L37" s="54">
        <f ca="1">IF('FIRE1201 raw'!H37="N/A","N/A",IF('FIRE1201 raw'!H37="..","..",ROUND('FIRE1201 raw'!H37,0)))</f>
        <v>8</v>
      </c>
      <c r="M37" s="54">
        <f ca="1">IF('FIRE1201 raw'!I37="N/A","N/A",IF('FIRE1201 raw'!I37="..","..",ROUND('FIRE1201 raw'!I37,0)))</f>
        <v>4</v>
      </c>
      <c r="N37" s="4"/>
      <c r="P37" s="11"/>
      <c r="Q37" s="11"/>
      <c r="S37" s="11"/>
      <c r="T37" s="11"/>
      <c r="V37" s="13"/>
      <c r="W37" s="13"/>
      <c r="X37" s="13"/>
      <c r="Y37" s="13"/>
      <c r="Z37" s="13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s="5" customFormat="1" ht="15" customHeight="1" x14ac:dyDescent="0.35">
      <c r="A38" s="5" t="s">
        <v>36</v>
      </c>
      <c r="B38" s="54">
        <f ca="1">IF('FIRE1201 raw'!B38="N/A","N/A",IF('FIRE1201 raw'!B38="..","..",ROUND('FIRE1201 raw'!B38,0)))</f>
        <v>2445</v>
      </c>
      <c r="C38" s="54">
        <f ca="1">IF('FIRE1201 raw'!C38="N/A","N/A",IF('FIRE1201 raw'!C38="..","..",ROUND('FIRE1201 raw'!C38,0)))</f>
        <v>1698</v>
      </c>
      <c r="D38" s="15"/>
      <c r="E38" s="54"/>
      <c r="F38" s="54">
        <f ca="1">IF('FIRE1201 raw'!D38="N/A","N/A",IF('FIRE1201 raw'!D38="..","..",ROUND('FIRE1201 raw'!D38,0)))</f>
        <v>1390</v>
      </c>
      <c r="G38" s="54">
        <f ca="1">IF('FIRE1201 raw'!E38="N/A","N/A",IF('FIRE1201 raw'!E38="..","..",ROUND('FIRE1201 raw'!E38,0)))</f>
        <v>926</v>
      </c>
      <c r="H38" s="54"/>
      <c r="I38" s="54">
        <f ca="1">IF('FIRE1201 raw'!F38="N/A","N/A",IF('FIRE1201 raw'!F38="..","..",ROUND('FIRE1201 raw'!F38,0)))</f>
        <v>412</v>
      </c>
      <c r="J38" s="54">
        <f ca="1">IF('FIRE1201 raw'!G38="N/A","N/A",IF('FIRE1201 raw'!G38="..","..",ROUND('FIRE1201 raw'!G38,0)))</f>
        <v>274</v>
      </c>
      <c r="K38" s="54"/>
      <c r="L38" s="54">
        <f ca="1">IF('FIRE1201 raw'!H38="N/A","N/A",IF('FIRE1201 raw'!H38="..","..",ROUND('FIRE1201 raw'!H38,0)))</f>
        <v>44</v>
      </c>
      <c r="M38" s="54">
        <f ca="1">IF('FIRE1201 raw'!I38="N/A","N/A",IF('FIRE1201 raw'!I38="..","..",ROUND('FIRE1201 raw'!I38,0)))</f>
        <v>44</v>
      </c>
      <c r="N38" s="4"/>
      <c r="P38" s="11"/>
      <c r="Q38" s="11"/>
      <c r="S38" s="11"/>
      <c r="T38" s="11"/>
      <c r="V38" s="13"/>
      <c r="W38" s="13"/>
      <c r="X38" s="13"/>
      <c r="Y38" s="13"/>
      <c r="Z38" s="13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 s="5" customFormat="1" ht="15" customHeight="1" x14ac:dyDescent="0.35">
      <c r="A39" s="5" t="s">
        <v>37</v>
      </c>
      <c r="B39" s="54">
        <f ca="1">IF('FIRE1201 raw'!B39="N/A","N/A",IF('FIRE1201 raw'!B39="..","..",ROUND('FIRE1201 raw'!B39,0)))</f>
        <v>7839</v>
      </c>
      <c r="C39" s="54">
        <f ca="1">IF('FIRE1201 raw'!C39="N/A","N/A",IF('FIRE1201 raw'!C39="..","..",ROUND('FIRE1201 raw'!C39,0)))</f>
        <v>7647</v>
      </c>
      <c r="D39" s="15"/>
      <c r="E39" s="54"/>
      <c r="F39" s="54">
        <f ca="1">IF('FIRE1201 raw'!D39="N/A","N/A",IF('FIRE1201 raw'!D39="..","..",ROUND('FIRE1201 raw'!D39,0)))</f>
        <v>4991</v>
      </c>
      <c r="G39" s="54">
        <f ca="1">IF('FIRE1201 raw'!E39="N/A","N/A",IF('FIRE1201 raw'!E39="..","..",ROUND('FIRE1201 raw'!E39,0)))</f>
        <v>4878</v>
      </c>
      <c r="H39" s="54"/>
      <c r="I39" s="54">
        <f ca="1">IF('FIRE1201 raw'!F39="N/A","N/A",IF('FIRE1201 raw'!F39="..","..",ROUND('FIRE1201 raw'!F39,0)))</f>
        <v>1030</v>
      </c>
      <c r="J39" s="54">
        <f ca="1">IF('FIRE1201 raw'!G39="N/A","N/A",IF('FIRE1201 raw'!G39="..","..",ROUND('FIRE1201 raw'!G39,0)))</f>
        <v>1319</v>
      </c>
      <c r="K39" s="54"/>
      <c r="L39" s="54">
        <f ca="1">IF('FIRE1201 raw'!H39="N/A","N/A",IF('FIRE1201 raw'!H39="..","..",ROUND('FIRE1201 raw'!H39,0)))</f>
        <v>4</v>
      </c>
      <c r="M39" s="54">
        <f ca="1">IF('FIRE1201 raw'!I39="N/A","N/A",IF('FIRE1201 raw'!I39="..","..",ROUND('FIRE1201 raw'!I39,0)))</f>
        <v>2</v>
      </c>
      <c r="N39" s="4"/>
      <c r="P39" s="11"/>
      <c r="Q39" s="11"/>
      <c r="S39" s="11"/>
      <c r="T39" s="11"/>
      <c r="V39" s="13"/>
      <c r="W39" s="13"/>
      <c r="X39" s="13"/>
      <c r="Y39" s="13"/>
      <c r="Z39" s="13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1:38" s="5" customFormat="1" ht="15" customHeight="1" x14ac:dyDescent="0.35">
      <c r="A40" s="4" t="s">
        <v>38</v>
      </c>
      <c r="B40" s="54">
        <f ca="1">IF('FIRE1201 raw'!B40="N/A","N/A",IF('FIRE1201 raw'!B40="..","..",ROUND('FIRE1201 raw'!B40,0)))</f>
        <v>3757</v>
      </c>
      <c r="C40" s="54">
        <f ca="1">IF('FIRE1201 raw'!C40="N/A","N/A",IF('FIRE1201 raw'!C40="..","..",ROUND('FIRE1201 raw'!C40,0)))</f>
        <v>11344</v>
      </c>
      <c r="D40" s="15"/>
      <c r="E40" s="54"/>
      <c r="F40" s="54">
        <f ca="1">IF('FIRE1201 raw'!D40="N/A","N/A",IF('FIRE1201 raw'!D40="..","..",ROUND('FIRE1201 raw'!D40,0)))</f>
        <v>1879</v>
      </c>
      <c r="G40" s="54">
        <f ca="1">IF('FIRE1201 raw'!E40="N/A","N/A",IF('FIRE1201 raw'!E40="..","..",ROUND('FIRE1201 raw'!E40,0)))</f>
        <v>5715</v>
      </c>
      <c r="H40" s="54"/>
      <c r="I40" s="54">
        <f ca="1">IF('FIRE1201 raw'!F40="N/A","N/A",IF('FIRE1201 raw'!F40="..","..",ROUND('FIRE1201 raw'!F40,0)))</f>
        <v>1692</v>
      </c>
      <c r="J40" s="54">
        <f ca="1">IF('FIRE1201 raw'!G40="N/A","N/A",IF('FIRE1201 raw'!G40="..","..",ROUND('FIRE1201 raw'!G40,0)))</f>
        <v>5696</v>
      </c>
      <c r="K40" s="54"/>
      <c r="L40" s="54">
        <f ca="1">IF('FIRE1201 raw'!H40="N/A","N/A",IF('FIRE1201 raw'!H40="..","..",ROUND('FIRE1201 raw'!H40,0)))</f>
        <v>571</v>
      </c>
      <c r="M40" s="54">
        <f ca="1">IF('FIRE1201 raw'!I40="N/A","N/A",IF('FIRE1201 raw'!I40="..","..",ROUND('FIRE1201 raw'!I40,0)))</f>
        <v>879</v>
      </c>
      <c r="N40" s="4"/>
      <c r="P40" s="11"/>
      <c r="Q40" s="11"/>
      <c r="S40" s="11"/>
      <c r="T40" s="11"/>
      <c r="V40" s="13"/>
      <c r="W40" s="13"/>
      <c r="X40" s="13"/>
      <c r="Y40" s="13"/>
      <c r="Z40" s="13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38" s="5" customFormat="1" ht="15" customHeight="1" x14ac:dyDescent="0.35">
      <c r="A41" s="4" t="s">
        <v>39</v>
      </c>
      <c r="B41" s="54">
        <f ca="1">IF('FIRE1201 raw'!B41="N/A","N/A",IF('FIRE1201 raw'!B41="..","..",ROUND('FIRE1201 raw'!B41,0)))</f>
        <v>2252</v>
      </c>
      <c r="C41" s="54">
        <f ca="1">IF('FIRE1201 raw'!C41="N/A","N/A",IF('FIRE1201 raw'!C41="..","..",ROUND('FIRE1201 raw'!C41,0)))</f>
        <v>5594</v>
      </c>
      <c r="D41" s="15"/>
      <c r="E41" s="54"/>
      <c r="F41" s="54">
        <f ca="1">IF('FIRE1201 raw'!D41="N/A","N/A",IF('FIRE1201 raw'!D41="..","..",ROUND('FIRE1201 raw'!D41,0)))</f>
        <v>1916</v>
      </c>
      <c r="G41" s="54">
        <f ca="1">IF('FIRE1201 raw'!E41="N/A","N/A",IF('FIRE1201 raw'!E41="..","..",ROUND('FIRE1201 raw'!E41,0)))</f>
        <v>3723</v>
      </c>
      <c r="H41" s="54"/>
      <c r="I41" s="54">
        <f ca="1">IF('FIRE1201 raw'!F41="N/A","N/A",IF('FIRE1201 raw'!F41="..","..",ROUND('FIRE1201 raw'!F41,0)))</f>
        <v>6</v>
      </c>
      <c r="J41" s="54">
        <f ca="1">IF('FIRE1201 raw'!G41="N/A","N/A",IF('FIRE1201 raw'!G41="..","..",ROUND('FIRE1201 raw'!G41,0)))</f>
        <v>13</v>
      </c>
      <c r="K41" s="54"/>
      <c r="L41" s="54">
        <f ca="1">IF('FIRE1201 raw'!H41="N/A","N/A",IF('FIRE1201 raw'!H41="..","..",ROUND('FIRE1201 raw'!H41,0)))</f>
        <v>13</v>
      </c>
      <c r="M41" s="54">
        <f ca="1">IF('FIRE1201 raw'!I41="N/A","N/A",IF('FIRE1201 raw'!I41="..","..",ROUND('FIRE1201 raw'!I41,0)))</f>
        <v>13</v>
      </c>
      <c r="N41" s="4"/>
      <c r="P41" s="11"/>
      <c r="Q41" s="11"/>
      <c r="S41" s="11"/>
      <c r="T41" s="11"/>
      <c r="V41" s="13"/>
      <c r="W41" s="13"/>
      <c r="X41" s="13"/>
      <c r="Y41" s="13"/>
      <c r="Z41" s="13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1:38" s="5" customFormat="1" ht="15" customHeight="1" x14ac:dyDescent="0.35">
      <c r="A42" s="4" t="s">
        <v>40</v>
      </c>
      <c r="B42" s="54">
        <f ca="1">IF('FIRE1201 raw'!B42="N/A","N/A",IF('FIRE1201 raw'!B42="..","..",ROUND('FIRE1201 raw'!B42,0)))</f>
        <v>4205</v>
      </c>
      <c r="C42" s="54">
        <f ca="1">IF('FIRE1201 raw'!C42="N/A","N/A",IF('FIRE1201 raw'!C42="..","..",ROUND('FIRE1201 raw'!C42,0)))</f>
        <v>3889</v>
      </c>
      <c r="D42" s="15"/>
      <c r="E42" s="54"/>
      <c r="F42" s="54">
        <f ca="1">IF('FIRE1201 raw'!D42="N/A","N/A",IF('FIRE1201 raw'!D42="..","..",ROUND('FIRE1201 raw'!D42,0)))</f>
        <v>3504</v>
      </c>
      <c r="G42" s="54">
        <f ca="1">IF('FIRE1201 raw'!E42="N/A","N/A",IF('FIRE1201 raw'!E42="..","..",ROUND('FIRE1201 raw'!E42,0)))</f>
        <v>3420</v>
      </c>
      <c r="H42" s="54"/>
      <c r="I42" s="54" t="str">
        <f ca="1">IF('FIRE1201 raw'!F42="N/A","N/A",IF('FIRE1201 raw'!F42="..","..",ROUND('FIRE1201 raw'!F42,0)))</f>
        <v>N/A</v>
      </c>
      <c r="J42" s="54" t="str">
        <f ca="1">IF('FIRE1201 raw'!G42="N/A","N/A",IF('FIRE1201 raw'!G42="..","..",ROUND('FIRE1201 raw'!G42,0)))</f>
        <v>N/A</v>
      </c>
      <c r="K42" s="54"/>
      <c r="L42" s="54">
        <f ca="1">IF('FIRE1201 raw'!H42="N/A","N/A",IF('FIRE1201 raw'!H42="..","..",ROUND('FIRE1201 raw'!H42,0)))</f>
        <v>546</v>
      </c>
      <c r="M42" s="54" t="str">
        <f ca="1">IF('FIRE1201 raw'!I42="N/A","N/A",IF('FIRE1201 raw'!I42="..","..",ROUND('FIRE1201 raw'!I42,0)))</f>
        <v>N/A</v>
      </c>
      <c r="N42" s="4"/>
      <c r="P42" s="11"/>
      <c r="Q42" s="11"/>
      <c r="S42" s="11"/>
      <c r="T42" s="11"/>
      <c r="V42" s="13"/>
      <c r="W42" s="13"/>
      <c r="X42" s="13"/>
      <c r="Y42" s="13"/>
      <c r="Z42" s="13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1:38" s="5" customFormat="1" ht="15" customHeight="1" x14ac:dyDescent="0.35">
      <c r="A43" s="4" t="s">
        <v>42</v>
      </c>
      <c r="B43" s="54">
        <f ca="1">IF('FIRE1201 raw'!B43="N/A","N/A",IF('FIRE1201 raw'!B43="..","..",ROUND('FIRE1201 raw'!B43,0)))</f>
        <v>25206</v>
      </c>
      <c r="C43" s="54" t="str">
        <f ca="1">IF('FIRE1201 raw'!C43="N/A","N/A",IF('FIRE1201 raw'!C43="..","..",ROUND('FIRE1201 raw'!C43,0)))</f>
        <v>N/A</v>
      </c>
      <c r="D43" s="15"/>
      <c r="E43" s="54"/>
      <c r="F43" s="54">
        <f ca="1">IF('FIRE1201 raw'!D43="N/A","N/A",IF('FIRE1201 raw'!D43="..","..",ROUND('FIRE1201 raw'!D43,0)))</f>
        <v>15199</v>
      </c>
      <c r="G43" s="54" t="str">
        <f ca="1">IF('FIRE1201 raw'!E43="N/A","N/A",IF('FIRE1201 raw'!E43="..","..",ROUND('FIRE1201 raw'!E43,0)))</f>
        <v>N/A</v>
      </c>
      <c r="H43" s="54"/>
      <c r="I43" s="54">
        <f ca="1">IF('FIRE1201 raw'!F43="N/A","N/A",IF('FIRE1201 raw'!F43="..","..",ROUND('FIRE1201 raw'!F43,0)))</f>
        <v>2099</v>
      </c>
      <c r="J43" s="54" t="str">
        <f ca="1">IF('FIRE1201 raw'!G43="N/A","N/A",IF('FIRE1201 raw'!G43="..","..",ROUND('FIRE1201 raw'!G43,0)))</f>
        <v>N/A</v>
      </c>
      <c r="K43" s="54"/>
      <c r="L43" s="54">
        <f ca="1">IF('FIRE1201 raw'!H43="N/A","N/A",IF('FIRE1201 raw'!H43="..","..",ROUND('FIRE1201 raw'!H43,0)))</f>
        <v>318</v>
      </c>
      <c r="M43" s="54" t="str">
        <f ca="1">IF('FIRE1201 raw'!I43="N/A","N/A",IF('FIRE1201 raw'!I43="..","..",ROUND('FIRE1201 raw'!I43,0)))</f>
        <v>N/A</v>
      </c>
      <c r="N43" s="4"/>
      <c r="P43" s="11"/>
      <c r="Q43" s="11"/>
      <c r="S43" s="11"/>
      <c r="T43" s="11"/>
      <c r="V43" s="13"/>
      <c r="W43" s="13"/>
      <c r="X43" s="13"/>
      <c r="Y43" s="13"/>
      <c r="Z43" s="13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  <row r="44" spans="1:38" s="5" customFormat="1" ht="15" customHeight="1" x14ac:dyDescent="0.35">
      <c r="A44" s="4" t="s">
        <v>43</v>
      </c>
      <c r="B44" s="54">
        <f ca="1">IF('FIRE1201 raw'!B44="N/A","N/A",IF('FIRE1201 raw'!B44="..","..",ROUND('FIRE1201 raw'!B44,0)))</f>
        <v>1310</v>
      </c>
      <c r="C44" s="54">
        <f ca="1">IF('FIRE1201 raw'!C44="N/A","N/A",IF('FIRE1201 raw'!C44="..","..",ROUND('FIRE1201 raw'!C44,0)))</f>
        <v>2691</v>
      </c>
      <c r="D44" s="15"/>
      <c r="E44" s="54"/>
      <c r="F44" s="54">
        <f ca="1">IF('FIRE1201 raw'!D44="N/A","N/A",IF('FIRE1201 raw'!D44="..","..",ROUND('FIRE1201 raw'!D44,0)))</f>
        <v>809</v>
      </c>
      <c r="G44" s="54">
        <f ca="1">IF('FIRE1201 raw'!E44="N/A","N/A",IF('FIRE1201 raw'!E44="..","..",ROUND('FIRE1201 raw'!E44,0)))</f>
        <v>1879</v>
      </c>
      <c r="H44" s="54"/>
      <c r="I44" s="54">
        <f ca="1">IF('FIRE1201 raw'!F44="N/A","N/A",IF('FIRE1201 raw'!F44="..","..",ROUND('FIRE1201 raw'!F44,0)))</f>
        <v>159</v>
      </c>
      <c r="J44" s="54">
        <f ca="1">IF('FIRE1201 raw'!G44="N/A","N/A",IF('FIRE1201 raw'!G44="..","..",ROUND('FIRE1201 raw'!G44,0)))</f>
        <v>410</v>
      </c>
      <c r="K44" s="54"/>
      <c r="L44" s="54">
        <f ca="1">IF('FIRE1201 raw'!H44="N/A","N/A",IF('FIRE1201 raw'!H44="..","..",ROUND('FIRE1201 raw'!H44,0)))</f>
        <v>0</v>
      </c>
      <c r="M44" s="54">
        <f ca="1">IF('FIRE1201 raw'!I44="N/A","N/A",IF('FIRE1201 raw'!I44="..","..",ROUND('FIRE1201 raw'!I44,0)))</f>
        <v>0</v>
      </c>
      <c r="N44" s="4"/>
      <c r="P44" s="11"/>
      <c r="Q44" s="11"/>
      <c r="S44" s="11"/>
      <c r="T44" s="11"/>
      <c r="V44" s="13"/>
      <c r="W44" s="13"/>
      <c r="X44" s="13"/>
      <c r="Y44" s="13"/>
      <c r="Z44" s="13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spans="1:38" s="5" customFormat="1" ht="15" customHeight="1" x14ac:dyDescent="0.35">
      <c r="A45" s="4" t="s">
        <v>44</v>
      </c>
      <c r="B45" s="54">
        <f ca="1">IF('FIRE1201 raw'!B45="N/A","N/A",IF('FIRE1201 raw'!B45="..","..",ROUND('FIRE1201 raw'!B45,0)))</f>
        <v>3521</v>
      </c>
      <c r="C45" s="54">
        <f ca="1">IF('FIRE1201 raw'!C45="N/A","N/A",IF('FIRE1201 raw'!C45="..","..",ROUND('FIRE1201 raw'!C45,0)))</f>
        <v>17848</v>
      </c>
      <c r="D45" s="15"/>
      <c r="E45" s="54"/>
      <c r="F45" s="54">
        <f ca="1">IF('FIRE1201 raw'!D45="N/A","N/A",IF('FIRE1201 raw'!D45="..","..",ROUND('FIRE1201 raw'!D45,0)))</f>
        <v>2475</v>
      </c>
      <c r="G45" s="54">
        <f ca="1">IF('FIRE1201 raw'!E45="N/A","N/A",IF('FIRE1201 raw'!E45="..","..",ROUND('FIRE1201 raw'!E45,0)))</f>
        <v>10182</v>
      </c>
      <c r="H45" s="54"/>
      <c r="I45" s="54">
        <f ca="1">IF('FIRE1201 raw'!F45="N/A","N/A",IF('FIRE1201 raw'!F45="..","..",ROUND('FIRE1201 raw'!F45,0)))</f>
        <v>1373</v>
      </c>
      <c r="J45" s="54">
        <f ca="1">IF('FIRE1201 raw'!G45="N/A","N/A",IF('FIRE1201 raw'!G45="..","..",ROUND('FIRE1201 raw'!G45,0)))</f>
        <v>11843</v>
      </c>
      <c r="K45" s="54"/>
      <c r="L45" s="54">
        <f ca="1">IF('FIRE1201 raw'!H45="N/A","N/A",IF('FIRE1201 raw'!H45="..","..",ROUND('FIRE1201 raw'!H45,0)))</f>
        <v>887</v>
      </c>
      <c r="M45" s="54">
        <f ca="1">IF('FIRE1201 raw'!I45="N/A","N/A",IF('FIRE1201 raw'!I45="..","..",ROUND('FIRE1201 raw'!I45,0)))</f>
        <v>3600</v>
      </c>
      <c r="N45" s="4"/>
      <c r="P45" s="11"/>
      <c r="Q45" s="11"/>
      <c r="S45" s="11"/>
      <c r="T45" s="11"/>
      <c r="V45" s="13"/>
      <c r="W45" s="13"/>
      <c r="X45" s="13"/>
      <c r="Y45" s="13"/>
      <c r="Z45" s="13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</row>
    <row r="46" spans="1:38" s="5" customFormat="1" ht="15" customHeight="1" x14ac:dyDescent="0.35">
      <c r="A46" s="4" t="s">
        <v>46</v>
      </c>
      <c r="B46" s="54">
        <f ca="1">IF('FIRE1201 raw'!B46="N/A","N/A",IF('FIRE1201 raw'!B46="..","..",ROUND('FIRE1201 raw'!B46,0)))</f>
        <v>4039</v>
      </c>
      <c r="C46" s="54">
        <f ca="1">IF('FIRE1201 raw'!C46="N/A","N/A",IF('FIRE1201 raw'!C46="..","..",ROUND('FIRE1201 raw'!C46,0)))</f>
        <v>8078</v>
      </c>
      <c r="D46" s="15"/>
      <c r="E46" s="54"/>
      <c r="F46" s="54">
        <f ca="1">IF('FIRE1201 raw'!D46="N/A","N/A",IF('FIRE1201 raw'!D46="..","..",ROUND('FIRE1201 raw'!D46,0)))</f>
        <v>2964</v>
      </c>
      <c r="G46" s="54">
        <f ca="1">IF('FIRE1201 raw'!E46="N/A","N/A",IF('FIRE1201 raw'!E46="..","..",ROUND('FIRE1201 raw'!E46,0)))</f>
        <v>5928</v>
      </c>
      <c r="H46" s="54"/>
      <c r="I46" s="54">
        <f ca="1">IF('FIRE1201 raw'!F46="N/A","N/A",IF('FIRE1201 raw'!F46="..","..",ROUND('FIRE1201 raw'!F46,0)))</f>
        <v>686</v>
      </c>
      <c r="J46" s="54">
        <f ca="1">IF('FIRE1201 raw'!G46="N/A","N/A",IF('FIRE1201 raw'!G46="..","..",ROUND('FIRE1201 raw'!G46,0)))</f>
        <v>1372</v>
      </c>
      <c r="K46" s="54"/>
      <c r="L46" s="54">
        <f ca="1">IF('FIRE1201 raw'!H46="N/A","N/A",IF('FIRE1201 raw'!H46="..","..",ROUND('FIRE1201 raw'!H46,0)))</f>
        <v>0</v>
      </c>
      <c r="M46" s="54">
        <f ca="1">IF('FIRE1201 raw'!I46="N/A","N/A",IF('FIRE1201 raw'!I46="..","..",ROUND('FIRE1201 raw'!I46,0)))</f>
        <v>0</v>
      </c>
      <c r="N46" s="4"/>
      <c r="P46" s="11"/>
      <c r="Q46" s="11"/>
      <c r="S46" s="11"/>
      <c r="T46" s="11"/>
      <c r="V46" s="13"/>
      <c r="W46" s="13"/>
      <c r="X46" s="13"/>
      <c r="Y46" s="13"/>
      <c r="Z46" s="13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</row>
    <row r="47" spans="1:38" s="5" customFormat="1" ht="15" customHeight="1" x14ac:dyDescent="0.35">
      <c r="A47" s="4" t="s">
        <v>48</v>
      </c>
      <c r="B47" s="54">
        <f ca="1">IF('FIRE1201 raw'!B47="N/A","N/A",IF('FIRE1201 raw'!B47="..","..",ROUND('FIRE1201 raw'!B47,0)))</f>
        <v>6647</v>
      </c>
      <c r="C47" s="54">
        <f ca="1">IF('FIRE1201 raw'!C47="N/A","N/A",IF('FIRE1201 raw'!C47="..","..",ROUND('FIRE1201 raw'!C47,0)))</f>
        <v>9534</v>
      </c>
      <c r="D47" s="15"/>
      <c r="E47" s="54"/>
      <c r="F47" s="54">
        <f ca="1">IF('FIRE1201 raw'!D47="N/A","N/A",IF('FIRE1201 raw'!D47="..","..",ROUND('FIRE1201 raw'!D47,0)))</f>
        <v>5073</v>
      </c>
      <c r="G47" s="54">
        <f ca="1">IF('FIRE1201 raw'!E47="N/A","N/A",IF('FIRE1201 raw'!E47="..","..",ROUND('FIRE1201 raw'!E47,0)))</f>
        <v>6922</v>
      </c>
      <c r="H47" s="54"/>
      <c r="I47" s="54">
        <f ca="1">IF('FIRE1201 raw'!F47="N/A","N/A",IF('FIRE1201 raw'!F47="..","..",ROUND('FIRE1201 raw'!F47,0)))</f>
        <v>1568</v>
      </c>
      <c r="J47" s="54">
        <f ca="1">IF('FIRE1201 raw'!G47="N/A","N/A",IF('FIRE1201 raw'!G47="..","..",ROUND('FIRE1201 raw'!G47,0)))</f>
        <v>2612</v>
      </c>
      <c r="K47" s="54"/>
      <c r="L47" s="54">
        <f ca="1">IF('FIRE1201 raw'!H47="N/A","N/A",IF('FIRE1201 raw'!H47="..","..",ROUND('FIRE1201 raw'!H47,0)))</f>
        <v>0</v>
      </c>
      <c r="M47" s="54">
        <f ca="1">IF('FIRE1201 raw'!I47="N/A","N/A",IF('FIRE1201 raw'!I47="..","..",ROUND('FIRE1201 raw'!I47,0)))</f>
        <v>0</v>
      </c>
      <c r="N47" s="4"/>
      <c r="P47" s="11"/>
      <c r="Q47" s="11"/>
      <c r="S47" s="11"/>
      <c r="T47" s="11"/>
      <c r="V47" s="13"/>
      <c r="W47" s="13"/>
      <c r="X47" s="13"/>
      <c r="Y47" s="13"/>
      <c r="Z47" s="13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</row>
    <row r="48" spans="1:38" s="5" customFormat="1" ht="15" customHeight="1" x14ac:dyDescent="0.35">
      <c r="A48" s="4" t="s">
        <v>146</v>
      </c>
      <c r="B48" s="54" t="str">
        <f ca="1">IF('FIRE1201 raw'!B48="N/A","N/A",IF('FIRE1201 raw'!B48="..","..",ROUND('FIRE1201 raw'!B48,0)))</f>
        <v>..</v>
      </c>
      <c r="C48" s="54" t="str">
        <f ca="1">IF('FIRE1201 raw'!C48="N/A","N/A",IF('FIRE1201 raw'!C48="..","..",ROUND('FIRE1201 raw'!C48,0)))</f>
        <v>..</v>
      </c>
      <c r="D48" s="15"/>
      <c r="E48" s="54"/>
      <c r="F48" s="54" t="str">
        <f ca="1">IF('FIRE1201 raw'!D48="N/A","N/A",IF('FIRE1201 raw'!D48="..","..",ROUND('FIRE1201 raw'!D48,0)))</f>
        <v>..</v>
      </c>
      <c r="G48" s="54" t="str">
        <f ca="1">IF('FIRE1201 raw'!E48="N/A","N/A",IF('FIRE1201 raw'!E48="..","..",ROUND('FIRE1201 raw'!E48,0)))</f>
        <v>..</v>
      </c>
      <c r="H48" s="54"/>
      <c r="I48" s="54" t="str">
        <f ca="1">IF('FIRE1201 raw'!F48="N/A","N/A",IF('FIRE1201 raw'!F48="..","..",ROUND('FIRE1201 raw'!F48,0)))</f>
        <v>..</v>
      </c>
      <c r="J48" s="54" t="str">
        <f ca="1">IF('FIRE1201 raw'!G48="N/A","N/A",IF('FIRE1201 raw'!G48="..","..",ROUND('FIRE1201 raw'!G48,0)))</f>
        <v>..</v>
      </c>
      <c r="K48" s="54"/>
      <c r="L48" s="54" t="str">
        <f ca="1">IF('FIRE1201 raw'!H48="N/A","N/A",IF('FIRE1201 raw'!H48="..","..",ROUND('FIRE1201 raw'!H48,0)))</f>
        <v>..</v>
      </c>
      <c r="M48" s="54" t="str">
        <f ca="1">IF('FIRE1201 raw'!I48="N/A","N/A",IF('FIRE1201 raw'!I48="..","..",ROUND('FIRE1201 raw'!I48,0)))</f>
        <v>..</v>
      </c>
      <c r="N48" s="4"/>
      <c r="P48" s="11"/>
      <c r="Q48" s="11"/>
      <c r="S48" s="11"/>
      <c r="T48" s="11"/>
      <c r="V48" s="13"/>
      <c r="W48" s="13"/>
      <c r="X48" s="13"/>
      <c r="Y48" s="13"/>
      <c r="Z48" s="13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</row>
    <row r="49" spans="1:38" s="5" customFormat="1" ht="15" customHeight="1" x14ac:dyDescent="0.35">
      <c r="A49" s="4" t="s">
        <v>28</v>
      </c>
      <c r="B49" s="54">
        <f ca="1">IF('FIRE1201 raw'!B49="N/A","N/A",IF('FIRE1201 raw'!B49="..","..",ROUND('FIRE1201 raw'!B49,0)))</f>
        <v>54</v>
      </c>
      <c r="C49" s="54">
        <f ca="1">IF('FIRE1201 raw'!C49="N/A","N/A",IF('FIRE1201 raw'!C49="..","..",ROUND('FIRE1201 raw'!C49,0)))</f>
        <v>15</v>
      </c>
      <c r="D49" s="15"/>
      <c r="E49" s="54"/>
      <c r="F49" s="54">
        <f ca="1">IF('FIRE1201 raw'!D49="N/A","N/A",IF('FIRE1201 raw'!D49="..","..",ROUND('FIRE1201 raw'!D49,0)))</f>
        <v>21</v>
      </c>
      <c r="G49" s="54">
        <f ca="1">IF('FIRE1201 raw'!E49="N/A","N/A",IF('FIRE1201 raw'!E49="..","..",ROUND('FIRE1201 raw'!E49,0)))</f>
        <v>8</v>
      </c>
      <c r="H49" s="54"/>
      <c r="I49" s="54">
        <f ca="1">IF('FIRE1201 raw'!F49="N/A","N/A",IF('FIRE1201 raw'!F49="..","..",ROUND('FIRE1201 raw'!F49,0)))</f>
        <v>1</v>
      </c>
      <c r="J49" s="54">
        <f ca="1">IF('FIRE1201 raw'!G49="N/A","N/A",IF('FIRE1201 raw'!G49="..","..",ROUND('FIRE1201 raw'!G49,0)))</f>
        <v>1</v>
      </c>
      <c r="K49" s="54"/>
      <c r="L49" s="54">
        <f ca="1">IF('FIRE1201 raw'!H49="N/A","N/A",IF('FIRE1201 raw'!H49="..","..",ROUND('FIRE1201 raw'!H49,0)))</f>
        <v>0</v>
      </c>
      <c r="M49" s="54">
        <f ca="1">IF('FIRE1201 raw'!I49="N/A","N/A",IF('FIRE1201 raw'!I49="..","..",ROUND('FIRE1201 raw'!I49,0)))</f>
        <v>0</v>
      </c>
      <c r="N49" s="4"/>
      <c r="P49" s="11"/>
      <c r="Q49" s="11"/>
      <c r="S49" s="11"/>
      <c r="T49" s="11"/>
      <c r="V49" s="13"/>
      <c r="W49" s="13"/>
      <c r="X49" s="13"/>
      <c r="Y49" s="13"/>
      <c r="Z49" s="13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1:38" s="5" customFormat="1" ht="15" customHeight="1" x14ac:dyDescent="0.35">
      <c r="A50" s="25" t="s">
        <v>3</v>
      </c>
      <c r="B50" s="15">
        <f ca="1">IF('FIRE1201 raw'!B50="N/A","N/A",IF('FIRE1201 raw'!B50="..","..",ROUND('FIRE1201 raw'!B50,0)))</f>
        <v>266078</v>
      </c>
      <c r="C50" s="15">
        <f ca="1">IF('FIRE1201 raw'!C50="N/A","N/A",IF('FIRE1201 raw'!C50="..","..",ROUND('FIRE1201 raw'!C50,0)))</f>
        <v>525640</v>
      </c>
      <c r="D50" s="15"/>
      <c r="E50" s="15"/>
      <c r="F50" s="15">
        <f ca="1">IF('FIRE1201 raw'!D50="N/A","N/A",IF('FIRE1201 raw'!D50="..","..",ROUND('FIRE1201 raw'!D50,0)))</f>
        <v>119510</v>
      </c>
      <c r="G50" s="15">
        <f ca="1">IF('FIRE1201 raw'!E50="N/A","N/A",IF('FIRE1201 raw'!E50="..","..",ROUND('FIRE1201 raw'!E50,0)))</f>
        <v>242704</v>
      </c>
      <c r="H50" s="15"/>
      <c r="I50" s="15">
        <f ca="1">IF('FIRE1201 raw'!F50="N/A","N/A",IF('FIRE1201 raw'!F50="..","..",ROUND('FIRE1201 raw'!F50,0)))</f>
        <v>78559</v>
      </c>
      <c r="J50" s="15">
        <f ca="1">IF('FIRE1201 raw'!G50="N/A","N/A",IF('FIRE1201 raw'!G50="..","..",ROUND('FIRE1201 raw'!G50,0)))</f>
        <v>194705</v>
      </c>
      <c r="K50" s="15"/>
      <c r="L50" s="15">
        <f ca="1">IF('FIRE1201 raw'!H50="N/A","N/A",IF('FIRE1201 raw'!H50="..","..",ROUND('FIRE1201 raw'!H50,0)))</f>
        <v>6934</v>
      </c>
      <c r="M50" s="15">
        <f ca="1">IF('FIRE1201 raw'!I50="N/A","N/A",IF('FIRE1201 raw'!I50="..","..",ROUND('FIRE1201 raw'!I50,0)))</f>
        <v>1336</v>
      </c>
      <c r="N50" s="4"/>
      <c r="P50" s="11"/>
      <c r="Q50" s="11"/>
      <c r="S50" s="11"/>
      <c r="T50" s="11"/>
      <c r="V50" s="13"/>
      <c r="W50" s="13"/>
      <c r="X50" s="13"/>
      <c r="Y50" s="13"/>
      <c r="Z50" s="13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</row>
    <row r="51" spans="1:38" s="5" customFormat="1" ht="15" customHeight="1" x14ac:dyDescent="0.35">
      <c r="A51" s="56" t="s">
        <v>22</v>
      </c>
      <c r="B51" s="54">
        <f ca="1">IF('FIRE1201 raw'!B51="N/A","N/A",IF('FIRE1201 raw'!B51="..","..",ROUND('FIRE1201 raw'!B51,0)))</f>
        <v>33418</v>
      </c>
      <c r="C51" s="54">
        <f ca="1">IF('FIRE1201 raw'!C51="N/A","N/A",IF('FIRE1201 raw'!C51="..","..",ROUND('FIRE1201 raw'!C51,0)))</f>
        <v>39660</v>
      </c>
      <c r="D51" s="15"/>
      <c r="E51" s="54"/>
      <c r="F51" s="54">
        <f ca="1">IF('FIRE1201 raw'!D51="N/A","N/A",IF('FIRE1201 raw'!D51="..","..",ROUND('FIRE1201 raw'!D51,0)))</f>
        <v>11782</v>
      </c>
      <c r="G51" s="54">
        <f ca="1">IF('FIRE1201 raw'!E51="N/A","N/A",IF('FIRE1201 raw'!E51="..","..",ROUND('FIRE1201 raw'!E51,0)))</f>
        <v>15058</v>
      </c>
      <c r="H51" s="54"/>
      <c r="I51" s="54">
        <f ca="1">IF('FIRE1201 raw'!F51="N/A","N/A",IF('FIRE1201 raw'!F51="..","..",ROUND('FIRE1201 raw'!F51,0)))</f>
        <v>2660</v>
      </c>
      <c r="J51" s="54">
        <f ca="1">IF('FIRE1201 raw'!G51="N/A","N/A",IF('FIRE1201 raw'!G51="..","..",ROUND('FIRE1201 raw'!G51,0)))</f>
        <v>7833</v>
      </c>
      <c r="K51" s="54"/>
      <c r="L51" s="54">
        <f ca="1">IF('FIRE1201 raw'!H51="N/A","N/A",IF('FIRE1201 raw'!H51="..","..",ROUND('FIRE1201 raw'!H51,0)))</f>
        <v>0</v>
      </c>
      <c r="M51" s="54">
        <f ca="1">IF('FIRE1201 raw'!I51="N/A","N/A",IF('FIRE1201 raw'!I51="..","..",ROUND('FIRE1201 raw'!I51,0)))</f>
        <v>0</v>
      </c>
      <c r="N51" s="4"/>
      <c r="P51" s="11"/>
      <c r="Q51" s="11"/>
      <c r="S51" s="11"/>
      <c r="T51" s="11"/>
      <c r="V51" s="13"/>
      <c r="W51" s="13"/>
      <c r="X51" s="13"/>
      <c r="Y51" s="13"/>
      <c r="Z51" s="13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</row>
    <row r="52" spans="1:38" s="5" customFormat="1" ht="15" customHeight="1" x14ac:dyDescent="0.35">
      <c r="A52" s="56" t="s">
        <v>33</v>
      </c>
      <c r="B52" s="54">
        <f ca="1">IF('FIRE1201 raw'!B52="N/A","N/A",IF('FIRE1201 raw'!B52="..","..",ROUND('FIRE1201 raw'!B52,0)))</f>
        <v>52564</v>
      </c>
      <c r="C52" s="54">
        <f ca="1">IF('FIRE1201 raw'!C52="N/A","N/A",IF('FIRE1201 raw'!C52="..","..",ROUND('FIRE1201 raw'!C52,0)))</f>
        <v>83577</v>
      </c>
      <c r="D52" s="15"/>
      <c r="E52" s="54"/>
      <c r="F52" s="54">
        <f ca="1">IF('FIRE1201 raw'!D52="N/A","N/A",IF('FIRE1201 raw'!D52="..","..",ROUND('FIRE1201 raw'!D52,0)))</f>
        <v>30932</v>
      </c>
      <c r="G52" s="54">
        <f ca="1">IF('FIRE1201 raw'!E52="N/A","N/A",IF('FIRE1201 raw'!E52="..","..",ROUND('FIRE1201 raw'!E52,0)))</f>
        <v>49182</v>
      </c>
      <c r="H52" s="54"/>
      <c r="I52" s="54">
        <f ca="1">IF('FIRE1201 raw'!F52="N/A","N/A",IF('FIRE1201 raw'!F52="..","..",ROUND('FIRE1201 raw'!F52,0)))</f>
        <v>8745</v>
      </c>
      <c r="J52" s="54">
        <f ca="1">IF('FIRE1201 raw'!G52="N/A","N/A",IF('FIRE1201 raw'!G52="..","..",ROUND('FIRE1201 raw'!G52,0)))</f>
        <v>13905</v>
      </c>
      <c r="K52" s="54"/>
      <c r="L52" s="54">
        <f ca="1">IF('FIRE1201 raw'!H52="N/A","N/A",IF('FIRE1201 raw'!H52="..","..",ROUND('FIRE1201 raw'!H52,0)))</f>
        <v>0</v>
      </c>
      <c r="M52" s="54">
        <f ca="1">IF('FIRE1201 raw'!I52="N/A","N/A",IF('FIRE1201 raw'!I52="..","..",ROUND('FIRE1201 raw'!I52,0)))</f>
        <v>0</v>
      </c>
      <c r="N52" s="4"/>
      <c r="P52" s="11"/>
      <c r="Q52" s="11"/>
      <c r="S52" s="11"/>
      <c r="T52" s="11"/>
      <c r="V52" s="13"/>
      <c r="W52" s="13"/>
      <c r="X52" s="13"/>
      <c r="Y52" s="13"/>
      <c r="Z52" s="13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</row>
    <row r="53" spans="1:38" s="5" customFormat="1" ht="15" customHeight="1" x14ac:dyDescent="0.35">
      <c r="A53" s="56" t="s">
        <v>41</v>
      </c>
      <c r="B53" s="54">
        <f ca="1">IF('FIRE1201 raw'!B53="N/A","N/A",IF('FIRE1201 raw'!B53="..","..",ROUND('FIRE1201 raw'!B53,0)))</f>
        <v>20578</v>
      </c>
      <c r="C53" s="54">
        <f ca="1">IF('FIRE1201 raw'!C53="N/A","N/A",IF('FIRE1201 raw'!C53="..","..",ROUND('FIRE1201 raw'!C53,0)))</f>
        <v>27368</v>
      </c>
      <c r="D53" s="15"/>
      <c r="E53" s="54"/>
      <c r="F53" s="54">
        <f ca="1">IF('FIRE1201 raw'!D53="N/A","N/A",IF('FIRE1201 raw'!D53="..","..",ROUND('FIRE1201 raw'!D53,0)))</f>
        <v>7036</v>
      </c>
      <c r="G53" s="54">
        <f ca="1">IF('FIRE1201 raw'!E53="N/A","N/A",IF('FIRE1201 raw'!E53="..","..",ROUND('FIRE1201 raw'!E53,0)))</f>
        <v>9358</v>
      </c>
      <c r="H53" s="54"/>
      <c r="I53" s="54">
        <f ca="1">IF('FIRE1201 raw'!F53="N/A","N/A",IF('FIRE1201 raw'!F53="..","..",ROUND('FIRE1201 raw'!F53,0)))</f>
        <v>4019</v>
      </c>
      <c r="J53" s="54">
        <f ca="1">IF('FIRE1201 raw'!G53="N/A","N/A",IF('FIRE1201 raw'!G53="..","..",ROUND('FIRE1201 raw'!G53,0)))</f>
        <v>5345</v>
      </c>
      <c r="K53" s="54"/>
      <c r="L53" s="54">
        <f ca="1">IF('FIRE1201 raw'!H53="N/A","N/A",IF('FIRE1201 raw'!H53="..","..",ROUND('FIRE1201 raw'!H53,0)))</f>
        <v>478</v>
      </c>
      <c r="M53" s="54">
        <f ca="1">IF('FIRE1201 raw'!I53="N/A","N/A",IF('FIRE1201 raw'!I53="..","..",ROUND('FIRE1201 raw'!I53,0)))</f>
        <v>315</v>
      </c>
      <c r="N53" s="4"/>
      <c r="P53" s="11"/>
      <c r="Q53" s="11"/>
      <c r="S53" s="11"/>
      <c r="T53" s="11"/>
      <c r="V53" s="13"/>
      <c r="W53" s="13"/>
      <c r="X53" s="13"/>
      <c r="Y53" s="13"/>
      <c r="Z53" s="13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38" s="5" customFormat="1" ht="15" customHeight="1" x14ac:dyDescent="0.35">
      <c r="A54" s="56" t="s">
        <v>45</v>
      </c>
      <c r="B54" s="54">
        <f ca="1">IF('FIRE1201 raw'!B54="N/A","N/A",IF('FIRE1201 raw'!B54="..","..",ROUND('FIRE1201 raw'!B54,0)))</f>
        <v>26134</v>
      </c>
      <c r="C54" s="54">
        <f ca="1">IF('FIRE1201 raw'!C54="N/A","N/A",IF('FIRE1201 raw'!C54="..","..",ROUND('FIRE1201 raw'!C54,0)))</f>
        <v>14501</v>
      </c>
      <c r="D54" s="15"/>
      <c r="E54" s="54"/>
      <c r="F54" s="54">
        <f ca="1">IF('FIRE1201 raw'!D54="N/A","N/A",IF('FIRE1201 raw'!D54="..","..",ROUND('FIRE1201 raw'!D54,0)))</f>
        <v>12996</v>
      </c>
      <c r="G54" s="54">
        <f ca="1">IF('FIRE1201 raw'!E54="N/A","N/A",IF('FIRE1201 raw'!E54="..","..",ROUND('FIRE1201 raw'!E54,0)))</f>
        <v>7697</v>
      </c>
      <c r="H54" s="54"/>
      <c r="I54" s="54">
        <f ca="1">IF('FIRE1201 raw'!F54="N/A","N/A",IF('FIRE1201 raw'!F54="..","..",ROUND('FIRE1201 raw'!F54,0)))</f>
        <v>4962</v>
      </c>
      <c r="J54" s="54">
        <f ca="1">IF('FIRE1201 raw'!G54="N/A","N/A",IF('FIRE1201 raw'!G54="..","..",ROUND('FIRE1201 raw'!G54,0)))</f>
        <v>3425</v>
      </c>
      <c r="K54" s="54"/>
      <c r="L54" s="54">
        <f ca="1">IF('FIRE1201 raw'!H54="N/A","N/A",IF('FIRE1201 raw'!H54="..","..",ROUND('FIRE1201 raw'!H54,0)))</f>
        <v>4958</v>
      </c>
      <c r="M54" s="54">
        <f ca="1">IF('FIRE1201 raw'!I54="N/A","N/A",IF('FIRE1201 raw'!I54="..","..",ROUND('FIRE1201 raw'!I54,0)))</f>
        <v>982</v>
      </c>
      <c r="N54" s="4"/>
      <c r="P54" s="11"/>
      <c r="Q54" s="11"/>
      <c r="S54" s="11"/>
      <c r="T54" s="11"/>
      <c r="V54" s="13"/>
      <c r="W54" s="13"/>
      <c r="X54" s="13"/>
      <c r="Y54" s="13"/>
      <c r="Z54" s="13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spans="1:38" s="5" customFormat="1" ht="15" customHeight="1" x14ac:dyDescent="0.35">
      <c r="A55" s="56" t="s">
        <v>47</v>
      </c>
      <c r="B55" s="54">
        <f ca="1">IF('FIRE1201 raw'!B55="N/A","N/A",IF('FIRE1201 raw'!B55="..","..",ROUND('FIRE1201 raw'!B55,0)))</f>
        <v>31576</v>
      </c>
      <c r="C55" s="54">
        <f ca="1">IF('FIRE1201 raw'!C55="N/A","N/A",IF('FIRE1201 raw'!C55="..","..",ROUND('FIRE1201 raw'!C55,0)))</f>
        <v>119207</v>
      </c>
      <c r="D55" s="15"/>
      <c r="E55" s="54"/>
      <c r="F55" s="54">
        <f ca="1">IF('FIRE1201 raw'!D55="N/A","N/A",IF('FIRE1201 raw'!D55="..","..",ROUND('FIRE1201 raw'!D55,0)))</f>
        <v>17539</v>
      </c>
      <c r="G55" s="54">
        <f ca="1">IF('FIRE1201 raw'!E55="N/A","N/A",IF('FIRE1201 raw'!E55="..","..",ROUND('FIRE1201 raw'!E55,0)))</f>
        <v>66214</v>
      </c>
      <c r="H55" s="54"/>
      <c r="I55" s="54">
        <f ca="1">IF('FIRE1201 raw'!F55="N/A","N/A",IF('FIRE1201 raw'!F55="..","..",ROUND('FIRE1201 raw'!F55,0)))</f>
        <v>19761</v>
      </c>
      <c r="J55" s="54">
        <f ca="1">IF('FIRE1201 raw'!G55="N/A","N/A",IF('FIRE1201 raw'!G55="..","..",ROUND('FIRE1201 raw'!G55,0)))</f>
        <v>74602</v>
      </c>
      <c r="K55" s="54"/>
      <c r="L55" s="54">
        <f ca="1">IF('FIRE1201 raw'!H55="N/A","N/A",IF('FIRE1201 raw'!H55="..","..",ROUND('FIRE1201 raw'!H55,0)))</f>
        <v>0</v>
      </c>
      <c r="M55" s="54">
        <f ca="1">IF('FIRE1201 raw'!I55="N/A","N/A",IF('FIRE1201 raw'!I55="..","..",ROUND('FIRE1201 raw'!I55,0)))</f>
        <v>0</v>
      </c>
      <c r="N55" s="4"/>
      <c r="P55" s="11"/>
      <c r="Q55" s="11"/>
      <c r="S55" s="11"/>
      <c r="T55" s="11"/>
      <c r="V55" s="13"/>
      <c r="W55" s="13"/>
      <c r="X55" s="13"/>
      <c r="Y55" s="13"/>
      <c r="Z55" s="13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</row>
    <row r="56" spans="1:38" s="5" customFormat="1" ht="15" customHeight="1" x14ac:dyDescent="0.35">
      <c r="A56" s="56" t="s">
        <v>49</v>
      </c>
      <c r="B56" s="54">
        <f ca="1">IF('FIRE1201 raw'!B56="N/A","N/A",IF('FIRE1201 raw'!B56="..","..",ROUND('FIRE1201 raw'!B56,0)))</f>
        <v>18477</v>
      </c>
      <c r="C56" s="54">
        <f ca="1">IF('FIRE1201 raw'!C56="N/A","N/A",IF('FIRE1201 raw'!C56="..","..",ROUND('FIRE1201 raw'!C56,0)))</f>
        <v>88283</v>
      </c>
      <c r="D56" s="15"/>
      <c r="E56" s="54"/>
      <c r="F56" s="54">
        <f ca="1">IF('FIRE1201 raw'!D56="N/A","N/A",IF('FIRE1201 raw'!D56="..","..",ROUND('FIRE1201 raw'!D56,0)))</f>
        <v>9494</v>
      </c>
      <c r="G56" s="54">
        <f ca="1">IF('FIRE1201 raw'!E56="N/A","N/A",IF('FIRE1201 raw'!E56="..","..",ROUND('FIRE1201 raw'!E56,0)))</f>
        <v>38171</v>
      </c>
      <c r="H56" s="54"/>
      <c r="I56" s="54">
        <f ca="1">IF('FIRE1201 raw'!F56="N/A","N/A",IF('FIRE1201 raw'!F56="..","..",ROUND('FIRE1201 raw'!F56,0)))</f>
        <v>7740</v>
      </c>
      <c r="J56" s="54">
        <f ca="1">IF('FIRE1201 raw'!G56="N/A","N/A",IF('FIRE1201 raw'!G56="..","..",ROUND('FIRE1201 raw'!G56,0)))</f>
        <v>28728</v>
      </c>
      <c r="K56" s="54"/>
      <c r="L56" s="54">
        <f ca="1">IF('FIRE1201 raw'!H56="N/A","N/A",IF('FIRE1201 raw'!H56="..","..",ROUND('FIRE1201 raw'!H56,0)))</f>
        <v>27</v>
      </c>
      <c r="M56" s="54">
        <f ca="1">IF('FIRE1201 raw'!I56="N/A","N/A",IF('FIRE1201 raw'!I56="..","..",ROUND('FIRE1201 raw'!I56,0)))</f>
        <v>39</v>
      </c>
      <c r="N56" s="4"/>
      <c r="P56" s="11"/>
      <c r="Q56" s="11"/>
      <c r="R56" s="4"/>
      <c r="S56" s="11"/>
      <c r="T56" s="11"/>
      <c r="V56" s="13"/>
      <c r="W56" s="13"/>
      <c r="X56" s="13"/>
      <c r="Y56" s="13"/>
      <c r="Z56" s="13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</row>
    <row r="57" spans="1:38" s="5" customFormat="1" ht="15" customHeight="1" thickBot="1" x14ac:dyDescent="0.4">
      <c r="A57" s="16" t="s">
        <v>137</v>
      </c>
      <c r="B57" s="55">
        <f ca="1">IF('FIRE1201 raw'!B57="N/A","N/A",IF('FIRE1201 raw'!B57="..","..",ROUND('FIRE1201 raw'!B57,0)))</f>
        <v>83331</v>
      </c>
      <c r="C57" s="55">
        <f ca="1">IF('FIRE1201 raw'!C57="N/A","N/A",IF('FIRE1201 raw'!C57="..","..",ROUND('FIRE1201 raw'!C57,0)))</f>
        <v>153044</v>
      </c>
      <c r="D57" s="117"/>
      <c r="E57" s="55"/>
      <c r="F57" s="55">
        <f ca="1">IF('FIRE1201 raw'!D57="N/A","N/A",IF('FIRE1201 raw'!D57="..","..",ROUND('FIRE1201 raw'!D57,0)))</f>
        <v>29731</v>
      </c>
      <c r="G57" s="55">
        <f ca="1">IF('FIRE1201 raw'!E57="N/A","N/A",IF('FIRE1201 raw'!E57="..","..",ROUND('FIRE1201 raw'!E57,0)))</f>
        <v>57024</v>
      </c>
      <c r="H57" s="55"/>
      <c r="I57" s="55">
        <f ca="1">IF('FIRE1201 raw'!F57="N/A","N/A",IF('FIRE1201 raw'!F57="..","..",ROUND('FIRE1201 raw'!F57,0)))</f>
        <v>30672</v>
      </c>
      <c r="J57" s="55">
        <f ca="1">IF('FIRE1201 raw'!G57="N/A","N/A",IF('FIRE1201 raw'!G57="..","..",ROUND('FIRE1201 raw'!G57,0)))</f>
        <v>60867</v>
      </c>
      <c r="K57" s="55"/>
      <c r="L57" s="55">
        <f ca="1">IF('FIRE1201 raw'!H57="N/A","N/A",IF('FIRE1201 raw'!H57="..","..",ROUND('FIRE1201 raw'!H57,0)))</f>
        <v>1471</v>
      </c>
      <c r="M57" s="55" t="str">
        <f ca="1">IF('FIRE1201 raw'!I57="N/A","N/A",IF('FIRE1201 raw'!I57="..","..",ROUND('FIRE1201 raw'!I57,0)))</f>
        <v>N/A</v>
      </c>
      <c r="N57" s="4"/>
      <c r="P57" s="11"/>
      <c r="Q57" s="11"/>
      <c r="R57" s="4"/>
      <c r="S57" s="11"/>
      <c r="T57" s="11"/>
      <c r="V57" s="13"/>
      <c r="W57" s="13"/>
      <c r="X57" s="13"/>
      <c r="Y57" s="13"/>
      <c r="Z57" s="13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</row>
    <row r="58" spans="1:38" x14ac:dyDescent="0.35">
      <c r="A58" s="4" t="s">
        <v>150</v>
      </c>
      <c r="P58" s="11"/>
      <c r="Q58" s="11"/>
      <c r="S58" s="11"/>
      <c r="T58" s="11"/>
      <c r="U58" s="11"/>
      <c r="V58" s="11"/>
      <c r="W58" s="11"/>
      <c r="X58" s="11"/>
      <c r="Y58" s="11"/>
      <c r="Z58" s="11"/>
    </row>
    <row r="59" spans="1:38" s="5" customFormat="1" ht="15" customHeight="1" x14ac:dyDescent="0.35">
      <c r="A59" s="140" t="s">
        <v>160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4"/>
      <c r="O59" s="4"/>
      <c r="P59" s="11"/>
      <c r="Q59" s="11"/>
      <c r="R59" s="4"/>
      <c r="S59" s="11"/>
      <c r="T59" s="11"/>
      <c r="U59" s="11"/>
      <c r="V59" s="11"/>
      <c r="W59" s="11"/>
      <c r="X59" s="11"/>
      <c r="Y59" s="11"/>
      <c r="Z59" s="11"/>
    </row>
    <row r="60" spans="1:38" s="5" customFormat="1" ht="15" customHeight="1" x14ac:dyDescent="0.35">
      <c r="A60" s="5" t="s">
        <v>151</v>
      </c>
      <c r="N60" s="4"/>
      <c r="O60" s="4"/>
      <c r="P60" s="11"/>
      <c r="Q60" s="11"/>
      <c r="R60" s="4"/>
      <c r="S60" s="11"/>
      <c r="T60" s="11"/>
      <c r="U60" s="11"/>
      <c r="V60" s="11"/>
      <c r="W60" s="11"/>
      <c r="X60" s="11"/>
      <c r="Y60" s="11"/>
      <c r="Z60" s="11"/>
    </row>
    <row r="61" spans="1:38" s="5" customFormat="1" ht="15" customHeight="1" x14ac:dyDescent="0.3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4"/>
      <c r="O61" s="4"/>
      <c r="P61" s="11"/>
      <c r="Q61" s="11"/>
      <c r="R61" s="4"/>
      <c r="S61" s="11"/>
      <c r="T61" s="11"/>
      <c r="U61" s="11"/>
      <c r="V61" s="11"/>
      <c r="W61" s="11"/>
      <c r="X61" s="11"/>
      <c r="Y61" s="11"/>
      <c r="Z61" s="11"/>
    </row>
    <row r="62" spans="1:38" s="5" customFormat="1" ht="15" customHeight="1" x14ac:dyDescent="0.35">
      <c r="A62" s="97" t="s">
        <v>123</v>
      </c>
      <c r="B62" s="95"/>
      <c r="C62" s="95"/>
      <c r="D62" s="103"/>
      <c r="E62" s="95"/>
      <c r="F62" s="95"/>
      <c r="G62" s="95"/>
      <c r="H62" s="95"/>
      <c r="I62" s="95"/>
      <c r="J62" s="95"/>
      <c r="K62" s="95"/>
      <c r="L62" s="95"/>
      <c r="M62" s="95"/>
      <c r="N62" s="4"/>
      <c r="O62" s="4"/>
      <c r="P62" s="11"/>
      <c r="Q62" s="11"/>
      <c r="R62" s="4"/>
      <c r="S62" s="11"/>
      <c r="T62" s="11"/>
      <c r="U62" s="11"/>
      <c r="V62" s="11"/>
      <c r="W62" s="11"/>
      <c r="X62" s="11"/>
      <c r="Y62" s="11"/>
      <c r="Z62" s="11"/>
    </row>
    <row r="63" spans="1:38" s="5" customFormat="1" ht="15" customHeight="1" x14ac:dyDescent="0.35">
      <c r="A63" s="107" t="s">
        <v>138</v>
      </c>
      <c r="B63" s="95"/>
      <c r="C63" s="95"/>
      <c r="D63" s="103"/>
      <c r="E63" s="95"/>
      <c r="F63" s="95"/>
      <c r="G63" s="95"/>
      <c r="H63" s="95"/>
      <c r="I63" s="95"/>
      <c r="J63" s="95"/>
      <c r="K63" s="95"/>
      <c r="L63" s="95"/>
      <c r="M63" s="95"/>
      <c r="N63" s="4"/>
      <c r="O63" s="4"/>
      <c r="P63" s="11"/>
      <c r="Q63" s="11"/>
      <c r="R63" s="4"/>
      <c r="S63" s="11"/>
      <c r="T63" s="11"/>
      <c r="U63" s="11"/>
      <c r="V63" s="11"/>
      <c r="W63" s="11"/>
      <c r="X63" s="11"/>
      <c r="Y63" s="11"/>
      <c r="Z63" s="11"/>
    </row>
    <row r="64" spans="1:38" s="5" customFormat="1" ht="15" customHeight="1" x14ac:dyDescent="0.3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4"/>
      <c r="O64" s="4"/>
      <c r="P64" s="11"/>
      <c r="Q64" s="11"/>
      <c r="R64" s="4"/>
      <c r="S64" s="11"/>
      <c r="T64" s="11"/>
      <c r="U64" s="11"/>
      <c r="V64" s="11"/>
      <c r="W64" s="11"/>
      <c r="X64" s="11"/>
      <c r="Y64" s="11"/>
      <c r="Z64" s="11"/>
    </row>
    <row r="65" spans="1:26" s="5" customFormat="1" ht="15" customHeight="1" x14ac:dyDescent="0.35">
      <c r="A65" s="17" t="s">
        <v>115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1"/>
      <c r="Q65" s="11"/>
      <c r="R65" s="4"/>
      <c r="S65" s="11"/>
      <c r="T65" s="11"/>
      <c r="U65" s="11"/>
      <c r="V65" s="11"/>
      <c r="W65" s="11"/>
      <c r="X65" s="11"/>
      <c r="Y65" s="11"/>
      <c r="Z65" s="11"/>
    </row>
    <row r="66" spans="1:26" s="5" customFormat="1" x14ac:dyDescent="0.35">
      <c r="A66" s="134" t="s">
        <v>161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4"/>
      <c r="O66" s="4"/>
      <c r="P66" s="11"/>
      <c r="Q66" s="11"/>
      <c r="R66" s="4"/>
      <c r="S66" s="11"/>
      <c r="T66" s="11"/>
      <c r="U66" s="11"/>
      <c r="V66" s="11"/>
      <c r="W66" s="11"/>
      <c r="X66" s="11"/>
      <c r="Y66" s="11"/>
      <c r="Z66" s="11"/>
    </row>
    <row r="67" spans="1:26" s="5" customFormat="1" x14ac:dyDescent="0.35">
      <c r="A67" s="113" t="s">
        <v>149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4"/>
      <c r="O67" s="4"/>
      <c r="P67" s="11"/>
      <c r="Q67" s="11"/>
      <c r="R67" s="4"/>
      <c r="S67" s="11"/>
      <c r="T67" s="11"/>
      <c r="U67" s="11"/>
      <c r="V67" s="11"/>
      <c r="W67" s="11"/>
      <c r="X67" s="11"/>
      <c r="Y67" s="11"/>
      <c r="Z67" s="11"/>
    </row>
    <row r="68" spans="1:26" s="5" customFormat="1" x14ac:dyDescent="0.35">
      <c r="A68" s="102" t="s">
        <v>136</v>
      </c>
      <c r="B68" s="102"/>
      <c r="C68" s="102"/>
      <c r="D68" s="103"/>
      <c r="E68" s="102"/>
      <c r="F68" s="102"/>
      <c r="G68" s="102"/>
      <c r="H68" s="102"/>
      <c r="I68" s="102"/>
      <c r="J68" s="102"/>
      <c r="K68" s="102"/>
      <c r="L68" s="102"/>
      <c r="M68" s="102"/>
      <c r="N68" s="4"/>
      <c r="O68" s="4"/>
      <c r="P68" s="11"/>
      <c r="Q68" s="11"/>
      <c r="R68" s="4"/>
      <c r="S68" s="11"/>
      <c r="T68" s="11"/>
      <c r="U68" s="11"/>
      <c r="V68" s="11"/>
      <c r="W68" s="11"/>
      <c r="X68" s="11"/>
      <c r="Y68" s="11"/>
      <c r="Z68" s="11"/>
    </row>
    <row r="69" spans="1:26" s="5" customFormat="1" x14ac:dyDescent="0.35">
      <c r="A69" s="2" t="s">
        <v>139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4"/>
      <c r="O69" s="4"/>
      <c r="P69" s="11"/>
      <c r="Q69" s="11"/>
      <c r="R69" s="4"/>
      <c r="S69" s="11"/>
      <c r="T69" s="11"/>
      <c r="U69" s="11"/>
      <c r="V69" s="11"/>
      <c r="W69" s="11"/>
      <c r="X69" s="11"/>
      <c r="Y69" s="11"/>
      <c r="Z69" s="11"/>
    </row>
    <row r="70" spans="1:26" s="5" customFormat="1" x14ac:dyDescent="0.35">
      <c r="A70" s="2" t="s">
        <v>140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4"/>
      <c r="O70" s="4"/>
      <c r="P70" s="11"/>
      <c r="Q70" s="11"/>
      <c r="R70" s="4"/>
      <c r="S70" s="11"/>
      <c r="T70" s="11"/>
      <c r="U70" s="11"/>
      <c r="V70" s="11"/>
      <c r="W70" s="11"/>
      <c r="X70" s="11"/>
      <c r="Y70" s="11"/>
      <c r="Z70" s="11"/>
    </row>
    <row r="71" spans="1:26" s="5" customFormat="1" x14ac:dyDescent="0.35">
      <c r="A71" s="107" t="s">
        <v>141</v>
      </c>
      <c r="B71" s="63"/>
      <c r="C71" s="63"/>
      <c r="D71" s="103"/>
      <c r="E71" s="63"/>
      <c r="F71" s="63"/>
      <c r="G71" s="63"/>
      <c r="H71" s="63"/>
      <c r="I71" s="63"/>
      <c r="J71" s="63"/>
      <c r="K71" s="63"/>
      <c r="L71" s="63"/>
      <c r="M71" s="63"/>
      <c r="N71" s="4"/>
      <c r="O71" s="4"/>
      <c r="P71" s="11"/>
      <c r="Q71" s="11"/>
      <c r="R71" s="4"/>
      <c r="S71" s="11"/>
      <c r="T71" s="11"/>
      <c r="U71" s="11"/>
      <c r="V71" s="11"/>
      <c r="W71" s="11"/>
      <c r="X71" s="11"/>
      <c r="Y71" s="11"/>
      <c r="Z71" s="11"/>
    </row>
    <row r="72" spans="1:26" s="5" customFormat="1" x14ac:dyDescent="0.35">
      <c r="A72" s="107" t="s">
        <v>142</v>
      </c>
      <c r="B72" s="63"/>
      <c r="C72" s="63"/>
      <c r="D72" s="103"/>
      <c r="E72" s="63"/>
      <c r="F72" s="63"/>
      <c r="G72" s="63"/>
      <c r="H72" s="63"/>
      <c r="I72" s="63"/>
      <c r="J72" s="63"/>
      <c r="K72" s="63"/>
      <c r="L72" s="63"/>
      <c r="M72" s="63"/>
      <c r="N72" s="4"/>
      <c r="O72" s="4"/>
      <c r="P72" s="11"/>
      <c r="Q72" s="11"/>
      <c r="R72" s="4"/>
      <c r="S72" s="11"/>
      <c r="T72" s="11"/>
      <c r="U72" s="11"/>
      <c r="V72" s="11"/>
      <c r="W72" s="11"/>
      <c r="X72" s="11"/>
      <c r="Y72" s="11"/>
      <c r="Z72" s="11"/>
    </row>
    <row r="73" spans="1:26" s="5" customFormat="1" x14ac:dyDescent="0.35">
      <c r="A73" s="107" t="s">
        <v>143</v>
      </c>
      <c r="B73" s="63"/>
      <c r="C73" s="63"/>
      <c r="D73" s="103"/>
      <c r="E73" s="63"/>
      <c r="F73" s="63"/>
      <c r="G73" s="63"/>
      <c r="H73" s="63"/>
      <c r="I73" s="63"/>
      <c r="J73" s="63"/>
      <c r="K73" s="63"/>
      <c r="L73" s="63"/>
      <c r="M73" s="63"/>
      <c r="N73" s="4"/>
      <c r="O73" s="4"/>
      <c r="P73" s="11"/>
      <c r="Q73" s="11"/>
      <c r="R73" s="4"/>
      <c r="S73" s="11"/>
      <c r="T73" s="11"/>
      <c r="U73" s="11"/>
      <c r="V73" s="11"/>
      <c r="W73" s="11"/>
      <c r="X73" s="11"/>
      <c r="Y73" s="11"/>
      <c r="Z73" s="11"/>
    </row>
    <row r="74" spans="1:26" s="5" customFormat="1" x14ac:dyDescent="0.35">
      <c r="A74" s="107" t="s">
        <v>156</v>
      </c>
      <c r="B74" s="63"/>
      <c r="C74" s="63"/>
      <c r="D74" s="103"/>
      <c r="E74" s="63"/>
      <c r="F74" s="63"/>
      <c r="G74" s="63"/>
      <c r="H74" s="63"/>
      <c r="I74" s="63"/>
      <c r="J74" s="63"/>
      <c r="K74" s="63"/>
      <c r="L74" s="63"/>
      <c r="M74" s="63"/>
      <c r="N74" s="4"/>
      <c r="O74" s="4"/>
      <c r="P74" s="11"/>
      <c r="Q74" s="11"/>
      <c r="R74" s="4"/>
      <c r="S74" s="11"/>
      <c r="T74" s="11"/>
      <c r="U74" s="11"/>
      <c r="V74" s="11"/>
      <c r="W74" s="11"/>
      <c r="X74" s="11"/>
      <c r="Y74" s="11"/>
      <c r="Z74" s="11"/>
    </row>
    <row r="75" spans="1:26" s="5" customFormat="1" ht="30" customHeight="1" x14ac:dyDescent="0.35">
      <c r="A75" s="134" t="s">
        <v>162</v>
      </c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4"/>
      <c r="O75" s="4"/>
      <c r="P75" s="11"/>
      <c r="Q75" s="11"/>
      <c r="R75" s="4"/>
      <c r="S75" s="11"/>
      <c r="T75" s="11"/>
      <c r="U75" s="11"/>
      <c r="V75" s="11"/>
      <c r="W75" s="11"/>
      <c r="X75" s="11"/>
      <c r="Y75" s="11"/>
      <c r="Z75" s="11"/>
    </row>
    <row r="76" spans="1:26" s="5" customFormat="1" ht="15" customHeight="1" x14ac:dyDescent="0.35">
      <c r="A76" s="18"/>
      <c r="B76" s="18"/>
      <c r="C76" s="18"/>
      <c r="D76" s="103"/>
      <c r="E76" s="58"/>
      <c r="F76" s="18"/>
      <c r="G76" s="18"/>
      <c r="H76" s="58"/>
      <c r="I76" s="30"/>
      <c r="J76" s="30"/>
      <c r="K76" s="58"/>
      <c r="L76" s="30"/>
      <c r="M76" s="18"/>
      <c r="N76" s="4"/>
      <c r="O76" s="4"/>
      <c r="P76" s="11"/>
      <c r="Q76" s="11"/>
      <c r="R76" s="4"/>
      <c r="S76" s="11"/>
      <c r="T76" s="11"/>
      <c r="U76" s="11"/>
      <c r="V76" s="11"/>
      <c r="W76" s="11"/>
      <c r="X76" s="11"/>
      <c r="Y76" s="11"/>
      <c r="Z76" s="11"/>
    </row>
    <row r="77" spans="1:26" s="5" customFormat="1" ht="15" customHeight="1" x14ac:dyDescent="0.35">
      <c r="A77" s="97" t="s">
        <v>116</v>
      </c>
      <c r="B77" s="95"/>
      <c r="C77" s="95"/>
      <c r="D77" s="103"/>
      <c r="E77" s="95"/>
      <c r="F77" s="95"/>
      <c r="G77" s="95"/>
      <c r="H77" s="95"/>
      <c r="I77" s="95"/>
      <c r="J77" s="95"/>
      <c r="K77" s="95"/>
      <c r="L77" s="95"/>
      <c r="M77" s="95"/>
      <c r="N77" s="4"/>
      <c r="O77" s="4"/>
      <c r="P77" s="11"/>
      <c r="Q77" s="11"/>
      <c r="R77" s="4"/>
      <c r="S77" s="11"/>
      <c r="T77" s="11"/>
      <c r="U77" s="11"/>
      <c r="V77" s="11"/>
      <c r="W77" s="11"/>
      <c r="X77" s="11"/>
      <c r="Y77" s="11"/>
      <c r="Z77" s="11"/>
    </row>
    <row r="78" spans="1:26" s="5" customFormat="1" ht="15" customHeight="1" x14ac:dyDescent="0.35">
      <c r="A78" s="96" t="s">
        <v>152</v>
      </c>
      <c r="B78" s="95"/>
      <c r="C78" s="95"/>
      <c r="D78" s="103"/>
      <c r="E78" s="95"/>
      <c r="F78" s="95"/>
      <c r="G78" s="95"/>
      <c r="H78" s="95"/>
      <c r="I78" s="95"/>
      <c r="J78" s="95"/>
      <c r="K78" s="95"/>
      <c r="L78" s="95"/>
      <c r="M78" s="95"/>
      <c r="N78" s="4"/>
      <c r="O78" s="4"/>
      <c r="P78" s="11"/>
      <c r="Q78" s="11"/>
      <c r="R78" s="4"/>
      <c r="S78" s="11"/>
      <c r="T78" s="11"/>
      <c r="U78" s="11"/>
      <c r="V78" s="11"/>
      <c r="W78" s="11"/>
      <c r="X78" s="11"/>
      <c r="Y78" s="11"/>
      <c r="Z78" s="11"/>
    </row>
    <row r="79" spans="1:26" s="5" customFormat="1" ht="15" customHeight="1" x14ac:dyDescent="0.35">
      <c r="A79" s="95"/>
      <c r="B79" s="95"/>
      <c r="C79" s="95"/>
      <c r="D79" s="103"/>
      <c r="E79" s="95"/>
      <c r="F79" s="95"/>
      <c r="G79" s="95"/>
      <c r="H79" s="95"/>
      <c r="I79" s="95"/>
      <c r="J79" s="95"/>
      <c r="K79" s="95"/>
      <c r="L79" s="95"/>
      <c r="M79" s="95"/>
      <c r="N79" s="4"/>
      <c r="O79" s="4"/>
      <c r="P79" s="11"/>
      <c r="Q79" s="11"/>
      <c r="R79" s="4"/>
      <c r="S79" s="11"/>
      <c r="T79" s="11"/>
      <c r="U79" s="11"/>
      <c r="V79" s="11"/>
      <c r="W79" s="11"/>
      <c r="X79" s="11"/>
      <c r="Y79" s="11"/>
      <c r="Z79" s="11"/>
    </row>
    <row r="80" spans="1:26" s="5" customFormat="1" ht="15" customHeight="1" x14ac:dyDescent="0.35">
      <c r="A80" s="4" t="s">
        <v>144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R80" s="4"/>
    </row>
    <row r="81" spans="1:18" s="5" customFormat="1" ht="15" customHeight="1" x14ac:dyDescent="0.35">
      <c r="A81" s="143" t="s">
        <v>1</v>
      </c>
      <c r="B81" s="14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R81" s="4"/>
    </row>
    <row r="82" spans="1:18" s="5" customFormat="1" ht="15" customHeight="1" x14ac:dyDescent="0.35">
      <c r="A82" s="19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R82" s="4"/>
    </row>
    <row r="83" spans="1:18" s="5" customFormat="1" x14ac:dyDescent="0.35">
      <c r="A83" s="134" t="s">
        <v>65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R83" s="4"/>
    </row>
    <row r="85" spans="1:18" s="5" customFormat="1" x14ac:dyDescent="0.35">
      <c r="A85" s="4" t="s">
        <v>2</v>
      </c>
      <c r="B85" s="4"/>
      <c r="C85" s="4"/>
      <c r="D85" s="4"/>
      <c r="E85" s="4"/>
      <c r="F85" s="4"/>
      <c r="G85" s="4"/>
      <c r="H85" s="4"/>
      <c r="I85" s="20"/>
      <c r="J85" s="20"/>
      <c r="K85" s="141" t="s">
        <v>154</v>
      </c>
      <c r="L85" s="141"/>
      <c r="M85" s="141"/>
      <c r="R85" s="4"/>
    </row>
    <row r="86" spans="1:18" s="5" customFormat="1" x14ac:dyDescent="0.35">
      <c r="A86" s="116" t="s">
        <v>153</v>
      </c>
      <c r="B86" s="4"/>
      <c r="C86" s="4"/>
      <c r="D86" s="4"/>
      <c r="E86" s="4"/>
      <c r="F86" s="4"/>
      <c r="G86" s="4"/>
      <c r="H86" s="4"/>
      <c r="I86" s="20"/>
      <c r="J86" s="20"/>
      <c r="K86" s="20"/>
      <c r="L86" s="142" t="s">
        <v>155</v>
      </c>
      <c r="M86" s="142"/>
      <c r="R86" s="4"/>
    </row>
    <row r="93" spans="1:18" x14ac:dyDescent="0.35">
      <c r="P93" s="4" t="s">
        <v>122</v>
      </c>
      <c r="Q93" s="5"/>
    </row>
    <row r="94" spans="1:18" x14ac:dyDescent="0.35">
      <c r="P94" s="4" t="s">
        <v>121</v>
      </c>
    </row>
    <row r="95" spans="1:18" x14ac:dyDescent="0.35">
      <c r="P95" s="4" t="s">
        <v>120</v>
      </c>
    </row>
    <row r="96" spans="1:18" x14ac:dyDescent="0.35">
      <c r="P96" s="4" t="s">
        <v>119</v>
      </c>
    </row>
    <row r="97" spans="16:16" x14ac:dyDescent="0.35">
      <c r="P97" s="4" t="s">
        <v>118</v>
      </c>
    </row>
    <row r="98" spans="16:16" x14ac:dyDescent="0.35">
      <c r="P98" s="4" t="s">
        <v>117</v>
      </c>
    </row>
    <row r="99" spans="16:16" x14ac:dyDescent="0.35">
      <c r="P99" s="4" t="s">
        <v>129</v>
      </c>
    </row>
    <row r="100" spans="16:16" x14ac:dyDescent="0.35">
      <c r="P100" s="4" t="s">
        <v>147</v>
      </c>
    </row>
  </sheetData>
  <mergeCells count="15">
    <mergeCell ref="K85:M85"/>
    <mergeCell ref="L86:M86"/>
    <mergeCell ref="A81:B81"/>
    <mergeCell ref="A83:M83"/>
    <mergeCell ref="A1:M1"/>
    <mergeCell ref="A4:G4"/>
    <mergeCell ref="B5:G5"/>
    <mergeCell ref="A64:M64"/>
    <mergeCell ref="A66:M66"/>
    <mergeCell ref="F6:G6"/>
    <mergeCell ref="B6:C6"/>
    <mergeCell ref="I6:J6"/>
    <mergeCell ref="L6:M6"/>
    <mergeCell ref="A75:M75"/>
    <mergeCell ref="A59:M59"/>
  </mergeCells>
  <dataValidations count="1">
    <dataValidation type="list" allowBlank="1" showInputMessage="1" showErrorMessage="1" sqref="A4:G4" xr:uid="{00000000-0002-0000-0C00-000000000000}">
      <formula1>$P$93:$P$100</formula1>
    </dataValidation>
  </dataValidations>
  <hyperlinks>
    <hyperlink ref="A81" r:id="rId1" xr:uid="{00000000-0004-0000-0C00-000000000000}"/>
    <hyperlink ref="A86" r:id="rId2" xr:uid="{00000000-0004-0000-0C00-000001000000}"/>
    <hyperlink ref="K85" r:id="rId3" location="fire-prevention-and-protection-statistics:-latest-version" display="Updated alongside fire prevention and protection statistics." xr:uid="{00000000-0004-0000-0C00-000002000000}"/>
    <hyperlink ref="K85:M85" r:id="rId4" display="Last Updated: 18 October 2018" xr:uid="{00000000-0004-0000-0C00-00000300000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2"/>
  </sheetPr>
  <dimension ref="A1:M67"/>
  <sheetViews>
    <sheetView showGridLines="0" zoomScale="85" zoomScaleNormal="85" workbookViewId="0">
      <pane xSplit="2" ySplit="3" topLeftCell="C10" activePane="bottomRight" state="frozen"/>
      <selection activeCell="B1" sqref="B1"/>
      <selection pane="topRight" activeCell="C1" sqref="C1"/>
      <selection pane="bottomLeft" activeCell="B4" sqref="B4"/>
      <selection pane="bottomRight" activeCell="J36" sqref="J36"/>
    </sheetView>
  </sheetViews>
  <sheetFormatPr defaultRowHeight="13" x14ac:dyDescent="0.3"/>
  <cols>
    <col min="1" max="1" width="2.7265625" style="32" hidden="1" customWidth="1"/>
    <col min="2" max="2" width="25.54296875" style="32" customWidth="1"/>
    <col min="3" max="3" width="11.453125" style="32" customWidth="1"/>
    <col min="4" max="5" width="11.453125" style="52" customWidth="1"/>
    <col min="6" max="6" width="13" style="52" customWidth="1"/>
    <col min="7" max="8" width="11.453125" style="52" customWidth="1"/>
    <col min="9" max="10" width="13.26953125" style="52" customWidth="1"/>
    <col min="11" max="255" width="9.26953125" style="32"/>
    <col min="256" max="256" width="0" style="32" hidden="1" customWidth="1"/>
    <col min="257" max="257" width="2.7265625" style="32" customWidth="1"/>
    <col min="258" max="258" width="25.54296875" style="32" customWidth="1"/>
    <col min="259" max="261" width="11.453125" style="32" customWidth="1"/>
    <col min="262" max="262" width="13" style="32" customWidth="1"/>
    <col min="263" max="264" width="11.453125" style="32" customWidth="1"/>
    <col min="265" max="266" width="13.26953125" style="32" customWidth="1"/>
    <col min="267" max="511" width="9.26953125" style="32"/>
    <col min="512" max="512" width="0" style="32" hidden="1" customWidth="1"/>
    <col min="513" max="513" width="2.7265625" style="32" customWidth="1"/>
    <col min="514" max="514" width="25.54296875" style="32" customWidth="1"/>
    <col min="515" max="517" width="11.453125" style="32" customWidth="1"/>
    <col min="518" max="518" width="13" style="32" customWidth="1"/>
    <col min="519" max="520" width="11.453125" style="32" customWidth="1"/>
    <col min="521" max="522" width="13.26953125" style="32" customWidth="1"/>
    <col min="523" max="767" width="9.26953125" style="32"/>
    <col min="768" max="768" width="0" style="32" hidden="1" customWidth="1"/>
    <col min="769" max="769" width="2.7265625" style="32" customWidth="1"/>
    <col min="770" max="770" width="25.54296875" style="32" customWidth="1"/>
    <col min="771" max="773" width="11.453125" style="32" customWidth="1"/>
    <col min="774" max="774" width="13" style="32" customWidth="1"/>
    <col min="775" max="776" width="11.453125" style="32" customWidth="1"/>
    <col min="777" max="778" width="13.26953125" style="32" customWidth="1"/>
    <col min="779" max="1023" width="9.26953125" style="32"/>
    <col min="1024" max="1024" width="0" style="32" hidden="1" customWidth="1"/>
    <col min="1025" max="1025" width="2.7265625" style="32" customWidth="1"/>
    <col min="1026" max="1026" width="25.54296875" style="32" customWidth="1"/>
    <col min="1027" max="1029" width="11.453125" style="32" customWidth="1"/>
    <col min="1030" max="1030" width="13" style="32" customWidth="1"/>
    <col min="1031" max="1032" width="11.453125" style="32" customWidth="1"/>
    <col min="1033" max="1034" width="13.26953125" style="32" customWidth="1"/>
    <col min="1035" max="1279" width="9.26953125" style="32"/>
    <col min="1280" max="1280" width="0" style="32" hidden="1" customWidth="1"/>
    <col min="1281" max="1281" width="2.7265625" style="32" customWidth="1"/>
    <col min="1282" max="1282" width="25.54296875" style="32" customWidth="1"/>
    <col min="1283" max="1285" width="11.453125" style="32" customWidth="1"/>
    <col min="1286" max="1286" width="13" style="32" customWidth="1"/>
    <col min="1287" max="1288" width="11.453125" style="32" customWidth="1"/>
    <col min="1289" max="1290" width="13.26953125" style="32" customWidth="1"/>
    <col min="1291" max="1535" width="9.26953125" style="32"/>
    <col min="1536" max="1536" width="0" style="32" hidden="1" customWidth="1"/>
    <col min="1537" max="1537" width="2.7265625" style="32" customWidth="1"/>
    <col min="1538" max="1538" width="25.54296875" style="32" customWidth="1"/>
    <col min="1539" max="1541" width="11.453125" style="32" customWidth="1"/>
    <col min="1542" max="1542" width="13" style="32" customWidth="1"/>
    <col min="1543" max="1544" width="11.453125" style="32" customWidth="1"/>
    <col min="1545" max="1546" width="13.26953125" style="32" customWidth="1"/>
    <col min="1547" max="1791" width="9.26953125" style="32"/>
    <col min="1792" max="1792" width="0" style="32" hidden="1" customWidth="1"/>
    <col min="1793" max="1793" width="2.7265625" style="32" customWidth="1"/>
    <col min="1794" max="1794" width="25.54296875" style="32" customWidth="1"/>
    <col min="1795" max="1797" width="11.453125" style="32" customWidth="1"/>
    <col min="1798" max="1798" width="13" style="32" customWidth="1"/>
    <col min="1799" max="1800" width="11.453125" style="32" customWidth="1"/>
    <col min="1801" max="1802" width="13.26953125" style="32" customWidth="1"/>
    <col min="1803" max="2047" width="9.26953125" style="32"/>
    <col min="2048" max="2048" width="0" style="32" hidden="1" customWidth="1"/>
    <col min="2049" max="2049" width="2.7265625" style="32" customWidth="1"/>
    <col min="2050" max="2050" width="25.54296875" style="32" customWidth="1"/>
    <col min="2051" max="2053" width="11.453125" style="32" customWidth="1"/>
    <col min="2054" max="2054" width="13" style="32" customWidth="1"/>
    <col min="2055" max="2056" width="11.453125" style="32" customWidth="1"/>
    <col min="2057" max="2058" width="13.26953125" style="32" customWidth="1"/>
    <col min="2059" max="2303" width="9.26953125" style="32"/>
    <col min="2304" max="2304" width="0" style="32" hidden="1" customWidth="1"/>
    <col min="2305" max="2305" width="2.7265625" style="32" customWidth="1"/>
    <col min="2306" max="2306" width="25.54296875" style="32" customWidth="1"/>
    <col min="2307" max="2309" width="11.453125" style="32" customWidth="1"/>
    <col min="2310" max="2310" width="13" style="32" customWidth="1"/>
    <col min="2311" max="2312" width="11.453125" style="32" customWidth="1"/>
    <col min="2313" max="2314" width="13.26953125" style="32" customWidth="1"/>
    <col min="2315" max="2559" width="9.26953125" style="32"/>
    <col min="2560" max="2560" width="0" style="32" hidden="1" customWidth="1"/>
    <col min="2561" max="2561" width="2.7265625" style="32" customWidth="1"/>
    <col min="2562" max="2562" width="25.54296875" style="32" customWidth="1"/>
    <col min="2563" max="2565" width="11.453125" style="32" customWidth="1"/>
    <col min="2566" max="2566" width="13" style="32" customWidth="1"/>
    <col min="2567" max="2568" width="11.453125" style="32" customWidth="1"/>
    <col min="2569" max="2570" width="13.26953125" style="32" customWidth="1"/>
    <col min="2571" max="2815" width="9.26953125" style="32"/>
    <col min="2816" max="2816" width="0" style="32" hidden="1" customWidth="1"/>
    <col min="2817" max="2817" width="2.7265625" style="32" customWidth="1"/>
    <col min="2818" max="2818" width="25.54296875" style="32" customWidth="1"/>
    <col min="2819" max="2821" width="11.453125" style="32" customWidth="1"/>
    <col min="2822" max="2822" width="13" style="32" customWidth="1"/>
    <col min="2823" max="2824" width="11.453125" style="32" customWidth="1"/>
    <col min="2825" max="2826" width="13.26953125" style="32" customWidth="1"/>
    <col min="2827" max="3071" width="9.26953125" style="32"/>
    <col min="3072" max="3072" width="0" style="32" hidden="1" customWidth="1"/>
    <col min="3073" max="3073" width="2.7265625" style="32" customWidth="1"/>
    <col min="3074" max="3074" width="25.54296875" style="32" customWidth="1"/>
    <col min="3075" max="3077" width="11.453125" style="32" customWidth="1"/>
    <col min="3078" max="3078" width="13" style="32" customWidth="1"/>
    <col min="3079" max="3080" width="11.453125" style="32" customWidth="1"/>
    <col min="3081" max="3082" width="13.26953125" style="32" customWidth="1"/>
    <col min="3083" max="3327" width="9.26953125" style="32"/>
    <col min="3328" max="3328" width="0" style="32" hidden="1" customWidth="1"/>
    <col min="3329" max="3329" width="2.7265625" style="32" customWidth="1"/>
    <col min="3330" max="3330" width="25.54296875" style="32" customWidth="1"/>
    <col min="3331" max="3333" width="11.453125" style="32" customWidth="1"/>
    <col min="3334" max="3334" width="13" style="32" customWidth="1"/>
    <col min="3335" max="3336" width="11.453125" style="32" customWidth="1"/>
    <col min="3337" max="3338" width="13.26953125" style="32" customWidth="1"/>
    <col min="3339" max="3583" width="9.26953125" style="32"/>
    <col min="3584" max="3584" width="0" style="32" hidden="1" customWidth="1"/>
    <col min="3585" max="3585" width="2.7265625" style="32" customWidth="1"/>
    <col min="3586" max="3586" width="25.54296875" style="32" customWidth="1"/>
    <col min="3587" max="3589" width="11.453125" style="32" customWidth="1"/>
    <col min="3590" max="3590" width="13" style="32" customWidth="1"/>
    <col min="3591" max="3592" width="11.453125" style="32" customWidth="1"/>
    <col min="3593" max="3594" width="13.26953125" style="32" customWidth="1"/>
    <col min="3595" max="3839" width="9.26953125" style="32"/>
    <col min="3840" max="3840" width="0" style="32" hidden="1" customWidth="1"/>
    <col min="3841" max="3841" width="2.7265625" style="32" customWidth="1"/>
    <col min="3842" max="3842" width="25.54296875" style="32" customWidth="1"/>
    <col min="3843" max="3845" width="11.453125" style="32" customWidth="1"/>
    <col min="3846" max="3846" width="13" style="32" customWidth="1"/>
    <col min="3847" max="3848" width="11.453125" style="32" customWidth="1"/>
    <col min="3849" max="3850" width="13.26953125" style="32" customWidth="1"/>
    <col min="3851" max="4095" width="9.26953125" style="32"/>
    <col min="4096" max="4096" width="0" style="32" hidden="1" customWidth="1"/>
    <col min="4097" max="4097" width="2.7265625" style="32" customWidth="1"/>
    <col min="4098" max="4098" width="25.54296875" style="32" customWidth="1"/>
    <col min="4099" max="4101" width="11.453125" style="32" customWidth="1"/>
    <col min="4102" max="4102" width="13" style="32" customWidth="1"/>
    <col min="4103" max="4104" width="11.453125" style="32" customWidth="1"/>
    <col min="4105" max="4106" width="13.26953125" style="32" customWidth="1"/>
    <col min="4107" max="4351" width="9.26953125" style="32"/>
    <col min="4352" max="4352" width="0" style="32" hidden="1" customWidth="1"/>
    <col min="4353" max="4353" width="2.7265625" style="32" customWidth="1"/>
    <col min="4354" max="4354" width="25.54296875" style="32" customWidth="1"/>
    <col min="4355" max="4357" width="11.453125" style="32" customWidth="1"/>
    <col min="4358" max="4358" width="13" style="32" customWidth="1"/>
    <col min="4359" max="4360" width="11.453125" style="32" customWidth="1"/>
    <col min="4361" max="4362" width="13.26953125" style="32" customWidth="1"/>
    <col min="4363" max="4607" width="9.26953125" style="32"/>
    <col min="4608" max="4608" width="0" style="32" hidden="1" customWidth="1"/>
    <col min="4609" max="4609" width="2.7265625" style="32" customWidth="1"/>
    <col min="4610" max="4610" width="25.54296875" style="32" customWidth="1"/>
    <col min="4611" max="4613" width="11.453125" style="32" customWidth="1"/>
    <col min="4614" max="4614" width="13" style="32" customWidth="1"/>
    <col min="4615" max="4616" width="11.453125" style="32" customWidth="1"/>
    <col min="4617" max="4618" width="13.26953125" style="32" customWidth="1"/>
    <col min="4619" max="4863" width="9.26953125" style="32"/>
    <col min="4864" max="4864" width="0" style="32" hidden="1" customWidth="1"/>
    <col min="4865" max="4865" width="2.7265625" style="32" customWidth="1"/>
    <col min="4866" max="4866" width="25.54296875" style="32" customWidth="1"/>
    <col min="4867" max="4869" width="11.453125" style="32" customWidth="1"/>
    <col min="4870" max="4870" width="13" style="32" customWidth="1"/>
    <col min="4871" max="4872" width="11.453125" style="32" customWidth="1"/>
    <col min="4873" max="4874" width="13.26953125" style="32" customWidth="1"/>
    <col min="4875" max="5119" width="9.26953125" style="32"/>
    <col min="5120" max="5120" width="0" style="32" hidden="1" customWidth="1"/>
    <col min="5121" max="5121" width="2.7265625" style="32" customWidth="1"/>
    <col min="5122" max="5122" width="25.54296875" style="32" customWidth="1"/>
    <col min="5123" max="5125" width="11.453125" style="32" customWidth="1"/>
    <col min="5126" max="5126" width="13" style="32" customWidth="1"/>
    <col min="5127" max="5128" width="11.453125" style="32" customWidth="1"/>
    <col min="5129" max="5130" width="13.26953125" style="32" customWidth="1"/>
    <col min="5131" max="5375" width="9.26953125" style="32"/>
    <col min="5376" max="5376" width="0" style="32" hidden="1" customWidth="1"/>
    <col min="5377" max="5377" width="2.7265625" style="32" customWidth="1"/>
    <col min="5378" max="5378" width="25.54296875" style="32" customWidth="1"/>
    <col min="5379" max="5381" width="11.453125" style="32" customWidth="1"/>
    <col min="5382" max="5382" width="13" style="32" customWidth="1"/>
    <col min="5383" max="5384" width="11.453125" style="32" customWidth="1"/>
    <col min="5385" max="5386" width="13.26953125" style="32" customWidth="1"/>
    <col min="5387" max="5631" width="9.26953125" style="32"/>
    <col min="5632" max="5632" width="0" style="32" hidden="1" customWidth="1"/>
    <col min="5633" max="5633" width="2.7265625" style="32" customWidth="1"/>
    <col min="5634" max="5634" width="25.54296875" style="32" customWidth="1"/>
    <col min="5635" max="5637" width="11.453125" style="32" customWidth="1"/>
    <col min="5638" max="5638" width="13" style="32" customWidth="1"/>
    <col min="5639" max="5640" width="11.453125" style="32" customWidth="1"/>
    <col min="5641" max="5642" width="13.26953125" style="32" customWidth="1"/>
    <col min="5643" max="5887" width="9.26953125" style="32"/>
    <col min="5888" max="5888" width="0" style="32" hidden="1" customWidth="1"/>
    <col min="5889" max="5889" width="2.7265625" style="32" customWidth="1"/>
    <col min="5890" max="5890" width="25.54296875" style="32" customWidth="1"/>
    <col min="5891" max="5893" width="11.453125" style="32" customWidth="1"/>
    <col min="5894" max="5894" width="13" style="32" customWidth="1"/>
    <col min="5895" max="5896" width="11.453125" style="32" customWidth="1"/>
    <col min="5897" max="5898" width="13.26953125" style="32" customWidth="1"/>
    <col min="5899" max="6143" width="9.26953125" style="32"/>
    <col min="6144" max="6144" width="0" style="32" hidden="1" customWidth="1"/>
    <col min="6145" max="6145" width="2.7265625" style="32" customWidth="1"/>
    <col min="6146" max="6146" width="25.54296875" style="32" customWidth="1"/>
    <col min="6147" max="6149" width="11.453125" style="32" customWidth="1"/>
    <col min="6150" max="6150" width="13" style="32" customWidth="1"/>
    <col min="6151" max="6152" width="11.453125" style="32" customWidth="1"/>
    <col min="6153" max="6154" width="13.26953125" style="32" customWidth="1"/>
    <col min="6155" max="6399" width="9.26953125" style="32"/>
    <col min="6400" max="6400" width="0" style="32" hidden="1" customWidth="1"/>
    <col min="6401" max="6401" width="2.7265625" style="32" customWidth="1"/>
    <col min="6402" max="6402" width="25.54296875" style="32" customWidth="1"/>
    <col min="6403" max="6405" width="11.453125" style="32" customWidth="1"/>
    <col min="6406" max="6406" width="13" style="32" customWidth="1"/>
    <col min="6407" max="6408" width="11.453125" style="32" customWidth="1"/>
    <col min="6409" max="6410" width="13.26953125" style="32" customWidth="1"/>
    <col min="6411" max="6655" width="9.26953125" style="32"/>
    <col min="6656" max="6656" width="0" style="32" hidden="1" customWidth="1"/>
    <col min="6657" max="6657" width="2.7265625" style="32" customWidth="1"/>
    <col min="6658" max="6658" width="25.54296875" style="32" customWidth="1"/>
    <col min="6659" max="6661" width="11.453125" style="32" customWidth="1"/>
    <col min="6662" max="6662" width="13" style="32" customWidth="1"/>
    <col min="6663" max="6664" width="11.453125" style="32" customWidth="1"/>
    <col min="6665" max="6666" width="13.26953125" style="32" customWidth="1"/>
    <col min="6667" max="6911" width="9.26953125" style="32"/>
    <col min="6912" max="6912" width="0" style="32" hidden="1" customWidth="1"/>
    <col min="6913" max="6913" width="2.7265625" style="32" customWidth="1"/>
    <col min="6914" max="6914" width="25.54296875" style="32" customWidth="1"/>
    <col min="6915" max="6917" width="11.453125" style="32" customWidth="1"/>
    <col min="6918" max="6918" width="13" style="32" customWidth="1"/>
    <col min="6919" max="6920" width="11.453125" style="32" customWidth="1"/>
    <col min="6921" max="6922" width="13.26953125" style="32" customWidth="1"/>
    <col min="6923" max="7167" width="9.26953125" style="32"/>
    <col min="7168" max="7168" width="0" style="32" hidden="1" customWidth="1"/>
    <col min="7169" max="7169" width="2.7265625" style="32" customWidth="1"/>
    <col min="7170" max="7170" width="25.54296875" style="32" customWidth="1"/>
    <col min="7171" max="7173" width="11.453125" style="32" customWidth="1"/>
    <col min="7174" max="7174" width="13" style="32" customWidth="1"/>
    <col min="7175" max="7176" width="11.453125" style="32" customWidth="1"/>
    <col min="7177" max="7178" width="13.26953125" style="32" customWidth="1"/>
    <col min="7179" max="7423" width="9.26953125" style="32"/>
    <col min="7424" max="7424" width="0" style="32" hidden="1" customWidth="1"/>
    <col min="7425" max="7425" width="2.7265625" style="32" customWidth="1"/>
    <col min="7426" max="7426" width="25.54296875" style="32" customWidth="1"/>
    <col min="7427" max="7429" width="11.453125" style="32" customWidth="1"/>
    <col min="7430" max="7430" width="13" style="32" customWidth="1"/>
    <col min="7431" max="7432" width="11.453125" style="32" customWidth="1"/>
    <col min="7433" max="7434" width="13.26953125" style="32" customWidth="1"/>
    <col min="7435" max="7679" width="9.26953125" style="32"/>
    <col min="7680" max="7680" width="0" style="32" hidden="1" customWidth="1"/>
    <col min="7681" max="7681" width="2.7265625" style="32" customWidth="1"/>
    <col min="7682" max="7682" width="25.54296875" style="32" customWidth="1"/>
    <col min="7683" max="7685" width="11.453125" style="32" customWidth="1"/>
    <col min="7686" max="7686" width="13" style="32" customWidth="1"/>
    <col min="7687" max="7688" width="11.453125" style="32" customWidth="1"/>
    <col min="7689" max="7690" width="13.26953125" style="32" customWidth="1"/>
    <col min="7691" max="7935" width="9.26953125" style="32"/>
    <col min="7936" max="7936" width="0" style="32" hidden="1" customWidth="1"/>
    <col min="7937" max="7937" width="2.7265625" style="32" customWidth="1"/>
    <col min="7938" max="7938" width="25.54296875" style="32" customWidth="1"/>
    <col min="7939" max="7941" width="11.453125" style="32" customWidth="1"/>
    <col min="7942" max="7942" width="13" style="32" customWidth="1"/>
    <col min="7943" max="7944" width="11.453125" style="32" customWidth="1"/>
    <col min="7945" max="7946" width="13.26953125" style="32" customWidth="1"/>
    <col min="7947" max="8191" width="9.26953125" style="32"/>
    <col min="8192" max="8192" width="0" style="32" hidden="1" customWidth="1"/>
    <col min="8193" max="8193" width="2.7265625" style="32" customWidth="1"/>
    <col min="8194" max="8194" width="25.54296875" style="32" customWidth="1"/>
    <col min="8195" max="8197" width="11.453125" style="32" customWidth="1"/>
    <col min="8198" max="8198" width="13" style="32" customWidth="1"/>
    <col min="8199" max="8200" width="11.453125" style="32" customWidth="1"/>
    <col min="8201" max="8202" width="13.26953125" style="32" customWidth="1"/>
    <col min="8203" max="8447" width="9.26953125" style="32"/>
    <col min="8448" max="8448" width="0" style="32" hidden="1" customWidth="1"/>
    <col min="8449" max="8449" width="2.7265625" style="32" customWidth="1"/>
    <col min="8450" max="8450" width="25.54296875" style="32" customWidth="1"/>
    <col min="8451" max="8453" width="11.453125" style="32" customWidth="1"/>
    <col min="8454" max="8454" width="13" style="32" customWidth="1"/>
    <col min="8455" max="8456" width="11.453125" style="32" customWidth="1"/>
    <col min="8457" max="8458" width="13.26953125" style="32" customWidth="1"/>
    <col min="8459" max="8703" width="9.26953125" style="32"/>
    <col min="8704" max="8704" width="0" style="32" hidden="1" customWidth="1"/>
    <col min="8705" max="8705" width="2.7265625" style="32" customWidth="1"/>
    <col min="8706" max="8706" width="25.54296875" style="32" customWidth="1"/>
    <col min="8707" max="8709" width="11.453125" style="32" customWidth="1"/>
    <col min="8710" max="8710" width="13" style="32" customWidth="1"/>
    <col min="8711" max="8712" width="11.453125" style="32" customWidth="1"/>
    <col min="8713" max="8714" width="13.26953125" style="32" customWidth="1"/>
    <col min="8715" max="8959" width="9.26953125" style="32"/>
    <col min="8960" max="8960" width="0" style="32" hidden="1" customWidth="1"/>
    <col min="8961" max="8961" width="2.7265625" style="32" customWidth="1"/>
    <col min="8962" max="8962" width="25.54296875" style="32" customWidth="1"/>
    <col min="8963" max="8965" width="11.453125" style="32" customWidth="1"/>
    <col min="8966" max="8966" width="13" style="32" customWidth="1"/>
    <col min="8967" max="8968" width="11.453125" style="32" customWidth="1"/>
    <col min="8969" max="8970" width="13.26953125" style="32" customWidth="1"/>
    <col min="8971" max="9215" width="9.26953125" style="32"/>
    <col min="9216" max="9216" width="0" style="32" hidden="1" customWidth="1"/>
    <col min="9217" max="9217" width="2.7265625" style="32" customWidth="1"/>
    <col min="9218" max="9218" width="25.54296875" style="32" customWidth="1"/>
    <col min="9219" max="9221" width="11.453125" style="32" customWidth="1"/>
    <col min="9222" max="9222" width="13" style="32" customWidth="1"/>
    <col min="9223" max="9224" width="11.453125" style="32" customWidth="1"/>
    <col min="9225" max="9226" width="13.26953125" style="32" customWidth="1"/>
    <col min="9227" max="9471" width="9.26953125" style="32"/>
    <col min="9472" max="9472" width="0" style="32" hidden="1" customWidth="1"/>
    <col min="9473" max="9473" width="2.7265625" style="32" customWidth="1"/>
    <col min="9474" max="9474" width="25.54296875" style="32" customWidth="1"/>
    <col min="9475" max="9477" width="11.453125" style="32" customWidth="1"/>
    <col min="9478" max="9478" width="13" style="32" customWidth="1"/>
    <col min="9479" max="9480" width="11.453125" style="32" customWidth="1"/>
    <col min="9481" max="9482" width="13.26953125" style="32" customWidth="1"/>
    <col min="9483" max="9727" width="9.26953125" style="32"/>
    <col min="9728" max="9728" width="0" style="32" hidden="1" customWidth="1"/>
    <col min="9729" max="9729" width="2.7265625" style="32" customWidth="1"/>
    <col min="9730" max="9730" width="25.54296875" style="32" customWidth="1"/>
    <col min="9731" max="9733" width="11.453125" style="32" customWidth="1"/>
    <col min="9734" max="9734" width="13" style="32" customWidth="1"/>
    <col min="9735" max="9736" width="11.453125" style="32" customWidth="1"/>
    <col min="9737" max="9738" width="13.26953125" style="32" customWidth="1"/>
    <col min="9739" max="9983" width="9.26953125" style="32"/>
    <col min="9984" max="9984" width="0" style="32" hidden="1" customWidth="1"/>
    <col min="9985" max="9985" width="2.7265625" style="32" customWidth="1"/>
    <col min="9986" max="9986" width="25.54296875" style="32" customWidth="1"/>
    <col min="9987" max="9989" width="11.453125" style="32" customWidth="1"/>
    <col min="9990" max="9990" width="13" style="32" customWidth="1"/>
    <col min="9991" max="9992" width="11.453125" style="32" customWidth="1"/>
    <col min="9993" max="9994" width="13.26953125" style="32" customWidth="1"/>
    <col min="9995" max="10239" width="9.26953125" style="32"/>
    <col min="10240" max="10240" width="0" style="32" hidden="1" customWidth="1"/>
    <col min="10241" max="10241" width="2.7265625" style="32" customWidth="1"/>
    <col min="10242" max="10242" width="25.54296875" style="32" customWidth="1"/>
    <col min="10243" max="10245" width="11.453125" style="32" customWidth="1"/>
    <col min="10246" max="10246" width="13" style="32" customWidth="1"/>
    <col min="10247" max="10248" width="11.453125" style="32" customWidth="1"/>
    <col min="10249" max="10250" width="13.26953125" style="32" customWidth="1"/>
    <col min="10251" max="10495" width="9.26953125" style="32"/>
    <col min="10496" max="10496" width="0" style="32" hidden="1" customWidth="1"/>
    <col min="10497" max="10497" width="2.7265625" style="32" customWidth="1"/>
    <col min="10498" max="10498" width="25.54296875" style="32" customWidth="1"/>
    <col min="10499" max="10501" width="11.453125" style="32" customWidth="1"/>
    <col min="10502" max="10502" width="13" style="32" customWidth="1"/>
    <col min="10503" max="10504" width="11.453125" style="32" customWidth="1"/>
    <col min="10505" max="10506" width="13.26953125" style="32" customWidth="1"/>
    <col min="10507" max="10751" width="9.26953125" style="32"/>
    <col min="10752" max="10752" width="0" style="32" hidden="1" customWidth="1"/>
    <col min="10753" max="10753" width="2.7265625" style="32" customWidth="1"/>
    <col min="10754" max="10754" width="25.54296875" style="32" customWidth="1"/>
    <col min="10755" max="10757" width="11.453125" style="32" customWidth="1"/>
    <col min="10758" max="10758" width="13" style="32" customWidth="1"/>
    <col min="10759" max="10760" width="11.453125" style="32" customWidth="1"/>
    <col min="10761" max="10762" width="13.26953125" style="32" customWidth="1"/>
    <col min="10763" max="11007" width="9.26953125" style="32"/>
    <col min="11008" max="11008" width="0" style="32" hidden="1" customWidth="1"/>
    <col min="11009" max="11009" width="2.7265625" style="32" customWidth="1"/>
    <col min="11010" max="11010" width="25.54296875" style="32" customWidth="1"/>
    <col min="11011" max="11013" width="11.453125" style="32" customWidth="1"/>
    <col min="11014" max="11014" width="13" style="32" customWidth="1"/>
    <col min="11015" max="11016" width="11.453125" style="32" customWidth="1"/>
    <col min="11017" max="11018" width="13.26953125" style="32" customWidth="1"/>
    <col min="11019" max="11263" width="9.26953125" style="32"/>
    <col min="11264" max="11264" width="0" style="32" hidden="1" customWidth="1"/>
    <col min="11265" max="11265" width="2.7265625" style="32" customWidth="1"/>
    <col min="11266" max="11266" width="25.54296875" style="32" customWidth="1"/>
    <col min="11267" max="11269" width="11.453125" style="32" customWidth="1"/>
    <col min="11270" max="11270" width="13" style="32" customWidth="1"/>
    <col min="11271" max="11272" width="11.453125" style="32" customWidth="1"/>
    <col min="11273" max="11274" width="13.26953125" style="32" customWidth="1"/>
    <col min="11275" max="11519" width="9.26953125" style="32"/>
    <col min="11520" max="11520" width="0" style="32" hidden="1" customWidth="1"/>
    <col min="11521" max="11521" width="2.7265625" style="32" customWidth="1"/>
    <col min="11522" max="11522" width="25.54296875" style="32" customWidth="1"/>
    <col min="11523" max="11525" width="11.453125" style="32" customWidth="1"/>
    <col min="11526" max="11526" width="13" style="32" customWidth="1"/>
    <col min="11527" max="11528" width="11.453125" style="32" customWidth="1"/>
    <col min="11529" max="11530" width="13.26953125" style="32" customWidth="1"/>
    <col min="11531" max="11775" width="9.26953125" style="32"/>
    <col min="11776" max="11776" width="0" style="32" hidden="1" customWidth="1"/>
    <col min="11777" max="11777" width="2.7265625" style="32" customWidth="1"/>
    <col min="11778" max="11778" width="25.54296875" style="32" customWidth="1"/>
    <col min="11779" max="11781" width="11.453125" style="32" customWidth="1"/>
    <col min="11782" max="11782" width="13" style="32" customWidth="1"/>
    <col min="11783" max="11784" width="11.453125" style="32" customWidth="1"/>
    <col min="11785" max="11786" width="13.26953125" style="32" customWidth="1"/>
    <col min="11787" max="12031" width="9.26953125" style="32"/>
    <col min="12032" max="12032" width="0" style="32" hidden="1" customWidth="1"/>
    <col min="12033" max="12033" width="2.7265625" style="32" customWidth="1"/>
    <col min="12034" max="12034" width="25.54296875" style="32" customWidth="1"/>
    <col min="12035" max="12037" width="11.453125" style="32" customWidth="1"/>
    <col min="12038" max="12038" width="13" style="32" customWidth="1"/>
    <col min="12039" max="12040" width="11.453125" style="32" customWidth="1"/>
    <col min="12041" max="12042" width="13.26953125" style="32" customWidth="1"/>
    <col min="12043" max="12287" width="9.26953125" style="32"/>
    <col min="12288" max="12288" width="0" style="32" hidden="1" customWidth="1"/>
    <col min="12289" max="12289" width="2.7265625" style="32" customWidth="1"/>
    <col min="12290" max="12290" width="25.54296875" style="32" customWidth="1"/>
    <col min="12291" max="12293" width="11.453125" style="32" customWidth="1"/>
    <col min="12294" max="12294" width="13" style="32" customWidth="1"/>
    <col min="12295" max="12296" width="11.453125" style="32" customWidth="1"/>
    <col min="12297" max="12298" width="13.26953125" style="32" customWidth="1"/>
    <col min="12299" max="12543" width="9.26953125" style="32"/>
    <col min="12544" max="12544" width="0" style="32" hidden="1" customWidth="1"/>
    <col min="12545" max="12545" width="2.7265625" style="32" customWidth="1"/>
    <col min="12546" max="12546" width="25.54296875" style="32" customWidth="1"/>
    <col min="12547" max="12549" width="11.453125" style="32" customWidth="1"/>
    <col min="12550" max="12550" width="13" style="32" customWidth="1"/>
    <col min="12551" max="12552" width="11.453125" style="32" customWidth="1"/>
    <col min="12553" max="12554" width="13.26953125" style="32" customWidth="1"/>
    <col min="12555" max="12799" width="9.26953125" style="32"/>
    <col min="12800" max="12800" width="0" style="32" hidden="1" customWidth="1"/>
    <col min="12801" max="12801" width="2.7265625" style="32" customWidth="1"/>
    <col min="12802" max="12802" width="25.54296875" style="32" customWidth="1"/>
    <col min="12803" max="12805" width="11.453125" style="32" customWidth="1"/>
    <col min="12806" max="12806" width="13" style="32" customWidth="1"/>
    <col min="12807" max="12808" width="11.453125" style="32" customWidth="1"/>
    <col min="12809" max="12810" width="13.26953125" style="32" customWidth="1"/>
    <col min="12811" max="13055" width="9.26953125" style="32"/>
    <col min="13056" max="13056" width="0" style="32" hidden="1" customWidth="1"/>
    <col min="13057" max="13057" width="2.7265625" style="32" customWidth="1"/>
    <col min="13058" max="13058" width="25.54296875" style="32" customWidth="1"/>
    <col min="13059" max="13061" width="11.453125" style="32" customWidth="1"/>
    <col min="13062" max="13062" width="13" style="32" customWidth="1"/>
    <col min="13063" max="13064" width="11.453125" style="32" customWidth="1"/>
    <col min="13065" max="13066" width="13.26953125" style="32" customWidth="1"/>
    <col min="13067" max="13311" width="9.26953125" style="32"/>
    <col min="13312" max="13312" width="0" style="32" hidden="1" customWidth="1"/>
    <col min="13313" max="13313" width="2.7265625" style="32" customWidth="1"/>
    <col min="13314" max="13314" width="25.54296875" style="32" customWidth="1"/>
    <col min="13315" max="13317" width="11.453125" style="32" customWidth="1"/>
    <col min="13318" max="13318" width="13" style="32" customWidth="1"/>
    <col min="13319" max="13320" width="11.453125" style="32" customWidth="1"/>
    <col min="13321" max="13322" width="13.26953125" style="32" customWidth="1"/>
    <col min="13323" max="13567" width="9.26953125" style="32"/>
    <col min="13568" max="13568" width="0" style="32" hidden="1" customWidth="1"/>
    <col min="13569" max="13569" width="2.7265625" style="32" customWidth="1"/>
    <col min="13570" max="13570" width="25.54296875" style="32" customWidth="1"/>
    <col min="13571" max="13573" width="11.453125" style="32" customWidth="1"/>
    <col min="13574" max="13574" width="13" style="32" customWidth="1"/>
    <col min="13575" max="13576" width="11.453125" style="32" customWidth="1"/>
    <col min="13577" max="13578" width="13.26953125" style="32" customWidth="1"/>
    <col min="13579" max="13823" width="9.26953125" style="32"/>
    <col min="13824" max="13824" width="0" style="32" hidden="1" customWidth="1"/>
    <col min="13825" max="13825" width="2.7265625" style="32" customWidth="1"/>
    <col min="13826" max="13826" width="25.54296875" style="32" customWidth="1"/>
    <col min="13827" max="13829" width="11.453125" style="32" customWidth="1"/>
    <col min="13830" max="13830" width="13" style="32" customWidth="1"/>
    <col min="13831" max="13832" width="11.453125" style="32" customWidth="1"/>
    <col min="13833" max="13834" width="13.26953125" style="32" customWidth="1"/>
    <col min="13835" max="14079" width="9.26953125" style="32"/>
    <col min="14080" max="14080" width="0" style="32" hidden="1" customWidth="1"/>
    <col min="14081" max="14081" width="2.7265625" style="32" customWidth="1"/>
    <col min="14082" max="14082" width="25.54296875" style="32" customWidth="1"/>
    <col min="14083" max="14085" width="11.453125" style="32" customWidth="1"/>
    <col min="14086" max="14086" width="13" style="32" customWidth="1"/>
    <col min="14087" max="14088" width="11.453125" style="32" customWidth="1"/>
    <col min="14089" max="14090" width="13.26953125" style="32" customWidth="1"/>
    <col min="14091" max="14335" width="9.26953125" style="32"/>
    <col min="14336" max="14336" width="0" style="32" hidden="1" customWidth="1"/>
    <col min="14337" max="14337" width="2.7265625" style="32" customWidth="1"/>
    <col min="14338" max="14338" width="25.54296875" style="32" customWidth="1"/>
    <col min="14339" max="14341" width="11.453125" style="32" customWidth="1"/>
    <col min="14342" max="14342" width="13" style="32" customWidth="1"/>
    <col min="14343" max="14344" width="11.453125" style="32" customWidth="1"/>
    <col min="14345" max="14346" width="13.26953125" style="32" customWidth="1"/>
    <col min="14347" max="14591" width="9.26953125" style="32"/>
    <col min="14592" max="14592" width="0" style="32" hidden="1" customWidth="1"/>
    <col min="14593" max="14593" width="2.7265625" style="32" customWidth="1"/>
    <col min="14594" max="14594" width="25.54296875" style="32" customWidth="1"/>
    <col min="14595" max="14597" width="11.453125" style="32" customWidth="1"/>
    <col min="14598" max="14598" width="13" style="32" customWidth="1"/>
    <col min="14599" max="14600" width="11.453125" style="32" customWidth="1"/>
    <col min="14601" max="14602" width="13.26953125" style="32" customWidth="1"/>
    <col min="14603" max="14847" width="9.26953125" style="32"/>
    <col min="14848" max="14848" width="0" style="32" hidden="1" customWidth="1"/>
    <col min="14849" max="14849" width="2.7265625" style="32" customWidth="1"/>
    <col min="14850" max="14850" width="25.54296875" style="32" customWidth="1"/>
    <col min="14851" max="14853" width="11.453125" style="32" customWidth="1"/>
    <col min="14854" max="14854" width="13" style="32" customWidth="1"/>
    <col min="14855" max="14856" width="11.453125" style="32" customWidth="1"/>
    <col min="14857" max="14858" width="13.26953125" style="32" customWidth="1"/>
    <col min="14859" max="15103" width="9.26953125" style="32"/>
    <col min="15104" max="15104" width="0" style="32" hidden="1" customWidth="1"/>
    <col min="15105" max="15105" width="2.7265625" style="32" customWidth="1"/>
    <col min="15106" max="15106" width="25.54296875" style="32" customWidth="1"/>
    <col min="15107" max="15109" width="11.453125" style="32" customWidth="1"/>
    <col min="15110" max="15110" width="13" style="32" customWidth="1"/>
    <col min="15111" max="15112" width="11.453125" style="32" customWidth="1"/>
    <col min="15113" max="15114" width="13.26953125" style="32" customWidth="1"/>
    <col min="15115" max="15359" width="9.26953125" style="32"/>
    <col min="15360" max="15360" width="0" style="32" hidden="1" customWidth="1"/>
    <col min="15361" max="15361" width="2.7265625" style="32" customWidth="1"/>
    <col min="15362" max="15362" width="25.54296875" style="32" customWidth="1"/>
    <col min="15363" max="15365" width="11.453125" style="32" customWidth="1"/>
    <col min="15366" max="15366" width="13" style="32" customWidth="1"/>
    <col min="15367" max="15368" width="11.453125" style="32" customWidth="1"/>
    <col min="15369" max="15370" width="13.26953125" style="32" customWidth="1"/>
    <col min="15371" max="15615" width="9.26953125" style="32"/>
    <col min="15616" max="15616" width="0" style="32" hidden="1" customWidth="1"/>
    <col min="15617" max="15617" width="2.7265625" style="32" customWidth="1"/>
    <col min="15618" max="15618" width="25.54296875" style="32" customWidth="1"/>
    <col min="15619" max="15621" width="11.453125" style="32" customWidth="1"/>
    <col min="15622" max="15622" width="13" style="32" customWidth="1"/>
    <col min="15623" max="15624" width="11.453125" style="32" customWidth="1"/>
    <col min="15625" max="15626" width="13.26953125" style="32" customWidth="1"/>
    <col min="15627" max="15871" width="9.26953125" style="32"/>
    <col min="15872" max="15872" width="0" style="32" hidden="1" customWidth="1"/>
    <col min="15873" max="15873" width="2.7265625" style="32" customWidth="1"/>
    <col min="15874" max="15874" width="25.54296875" style="32" customWidth="1"/>
    <col min="15875" max="15877" width="11.453125" style="32" customWidth="1"/>
    <col min="15878" max="15878" width="13" style="32" customWidth="1"/>
    <col min="15879" max="15880" width="11.453125" style="32" customWidth="1"/>
    <col min="15881" max="15882" width="13.26953125" style="32" customWidth="1"/>
    <col min="15883" max="16127" width="9.26953125" style="32"/>
    <col min="16128" max="16128" width="0" style="32" hidden="1" customWidth="1"/>
    <col min="16129" max="16129" width="2.7265625" style="32" customWidth="1"/>
    <col min="16130" max="16130" width="25.54296875" style="32" customWidth="1"/>
    <col min="16131" max="16133" width="11.453125" style="32" customWidth="1"/>
    <col min="16134" max="16134" width="13" style="32" customWidth="1"/>
    <col min="16135" max="16136" width="11.453125" style="32" customWidth="1"/>
    <col min="16137" max="16138" width="13.26953125" style="32" customWidth="1"/>
    <col min="16139" max="16384" width="9.26953125" style="32"/>
  </cols>
  <sheetData>
    <row r="1" spans="1:13" ht="40.5" customHeight="1" x14ac:dyDescent="0.3">
      <c r="B1" s="119" t="s">
        <v>86</v>
      </c>
      <c r="C1" s="119"/>
      <c r="D1" s="119"/>
      <c r="E1" s="119"/>
      <c r="F1" s="119"/>
      <c r="G1" s="119"/>
      <c r="H1" s="119"/>
      <c r="I1" s="119"/>
      <c r="J1" s="119"/>
    </row>
    <row r="2" spans="1:13" s="66" customFormat="1" ht="60.75" customHeight="1" x14ac:dyDescent="0.3">
      <c r="B2" s="125"/>
      <c r="C2" s="127" t="s">
        <v>67</v>
      </c>
      <c r="D2" s="123"/>
      <c r="E2" s="124" t="s">
        <v>68</v>
      </c>
      <c r="F2" s="124"/>
      <c r="G2" s="124" t="s">
        <v>69</v>
      </c>
      <c r="H2" s="124"/>
      <c r="I2" s="127" t="s">
        <v>70</v>
      </c>
      <c r="J2" s="123"/>
      <c r="K2" s="32"/>
    </row>
    <row r="3" spans="1:13" s="66" customFormat="1" ht="24" customHeight="1" x14ac:dyDescent="0.35">
      <c r="B3" s="126"/>
      <c r="C3" s="67" t="s">
        <v>71</v>
      </c>
      <c r="D3" s="68" t="s">
        <v>72</v>
      </c>
      <c r="E3" s="67" t="s">
        <v>71</v>
      </c>
      <c r="F3" s="68" t="s">
        <v>72</v>
      </c>
      <c r="G3" s="67" t="s">
        <v>71</v>
      </c>
      <c r="H3" s="68" t="s">
        <v>72</v>
      </c>
      <c r="I3" s="67" t="s">
        <v>71</v>
      </c>
      <c r="J3" s="68" t="s">
        <v>72</v>
      </c>
    </row>
    <row r="4" spans="1:13" s="66" customFormat="1" ht="24" hidden="1" customHeight="1" x14ac:dyDescent="0.35">
      <c r="C4" s="69" t="s">
        <v>73</v>
      </c>
      <c r="D4" s="69" t="s">
        <v>73</v>
      </c>
      <c r="E4" s="70" t="s">
        <v>74</v>
      </c>
      <c r="F4" s="70" t="s">
        <v>74</v>
      </c>
      <c r="G4" s="70" t="s">
        <v>75</v>
      </c>
      <c r="H4" s="70" t="s">
        <v>75</v>
      </c>
      <c r="I4" s="69" t="s">
        <v>76</v>
      </c>
      <c r="J4" s="69" t="s">
        <v>76</v>
      </c>
    </row>
    <row r="5" spans="1:13" s="66" customFormat="1" ht="24" hidden="1" customHeight="1" x14ac:dyDescent="0.35">
      <c r="C5" s="69" t="s">
        <v>71</v>
      </c>
      <c r="D5" s="70" t="s">
        <v>72</v>
      </c>
      <c r="E5" s="69" t="s">
        <v>71</v>
      </c>
      <c r="F5" s="70" t="s">
        <v>72</v>
      </c>
      <c r="G5" s="69" t="s">
        <v>71</v>
      </c>
      <c r="H5" s="70" t="s">
        <v>72</v>
      </c>
      <c r="I5" s="69" t="s">
        <v>71</v>
      </c>
      <c r="J5" s="70" t="s">
        <v>72</v>
      </c>
    </row>
    <row r="6" spans="1:13" s="66" customFormat="1" ht="25.5" customHeight="1" x14ac:dyDescent="0.35">
      <c r="B6" s="71" t="s">
        <v>0</v>
      </c>
      <c r="C6" s="72">
        <v>713796</v>
      </c>
      <c r="D6" s="72">
        <v>951690.58333333337</v>
      </c>
      <c r="E6" s="72">
        <v>272454</v>
      </c>
      <c r="F6" s="72">
        <v>346644.66</v>
      </c>
      <c r="G6" s="72">
        <f>G7+G48</f>
        <v>118201</v>
      </c>
      <c r="H6" s="72">
        <f>H7+H48</f>
        <v>145411</v>
      </c>
      <c r="I6" s="72">
        <v>56113</v>
      </c>
      <c r="J6" s="72">
        <v>44367.89</v>
      </c>
      <c r="K6" s="73"/>
      <c r="L6" s="72"/>
      <c r="M6" s="72"/>
    </row>
    <row r="7" spans="1:13" s="71" customFormat="1" ht="26.25" customHeight="1" x14ac:dyDescent="0.35">
      <c r="A7" s="28"/>
      <c r="B7" s="71" t="s">
        <v>52</v>
      </c>
      <c r="C7" s="74">
        <v>343110</v>
      </c>
      <c r="D7" s="74">
        <v>425790.90333333344</v>
      </c>
      <c r="E7" s="74">
        <v>139732</v>
      </c>
      <c r="F7" s="74">
        <v>156991.97</v>
      </c>
      <c r="G7" s="74">
        <f>SUM(G8:G47)</f>
        <v>75726</v>
      </c>
      <c r="H7" s="74">
        <f>SUM(H8:H47)</f>
        <v>82837</v>
      </c>
      <c r="I7" s="74">
        <v>16511</v>
      </c>
      <c r="J7" s="74">
        <v>15001.89</v>
      </c>
      <c r="L7" s="74"/>
      <c r="M7" s="74"/>
    </row>
    <row r="8" spans="1:13" s="66" customFormat="1" ht="12.5" x14ac:dyDescent="0.35">
      <c r="A8" s="29">
        <v>51</v>
      </c>
      <c r="B8" s="66" t="s">
        <v>5</v>
      </c>
      <c r="C8" s="75">
        <v>10044</v>
      </c>
      <c r="D8" s="75">
        <v>6541</v>
      </c>
      <c r="E8" s="75">
        <v>3676</v>
      </c>
      <c r="F8" s="75">
        <v>2999</v>
      </c>
      <c r="G8" s="75">
        <v>2122</v>
      </c>
      <c r="H8" s="75">
        <v>1931</v>
      </c>
      <c r="I8" s="75">
        <v>163</v>
      </c>
      <c r="J8" s="75" t="s">
        <v>84</v>
      </c>
    </row>
    <row r="9" spans="1:13" s="66" customFormat="1" ht="12.5" x14ac:dyDescent="0.35">
      <c r="A9" s="29">
        <v>52</v>
      </c>
      <c r="B9" s="66" t="s">
        <v>6</v>
      </c>
      <c r="C9" s="75">
        <v>4631</v>
      </c>
      <c r="D9" s="75">
        <v>3548</v>
      </c>
      <c r="E9" s="75">
        <v>597</v>
      </c>
      <c r="F9" s="75">
        <v>438</v>
      </c>
      <c r="G9" s="75" t="s">
        <v>84</v>
      </c>
      <c r="H9" s="75" t="s">
        <v>84</v>
      </c>
      <c r="I9" s="75">
        <v>324</v>
      </c>
      <c r="J9" s="75" t="s">
        <v>84</v>
      </c>
    </row>
    <row r="10" spans="1:13" s="66" customFormat="1" ht="13.5" customHeight="1" x14ac:dyDescent="0.35">
      <c r="A10" s="29">
        <v>86</v>
      </c>
      <c r="B10" s="66" t="s">
        <v>87</v>
      </c>
      <c r="C10" s="75">
        <v>6452</v>
      </c>
      <c r="D10" s="75">
        <v>12908</v>
      </c>
      <c r="E10" s="75">
        <v>1616</v>
      </c>
      <c r="F10" s="75">
        <v>2502</v>
      </c>
      <c r="G10" s="75">
        <v>1236</v>
      </c>
      <c r="H10" s="75">
        <v>3774</v>
      </c>
      <c r="I10" s="75">
        <v>0</v>
      </c>
      <c r="J10" s="75">
        <v>0</v>
      </c>
    </row>
    <row r="11" spans="1:13" s="66" customFormat="1" ht="12.5" x14ac:dyDescent="0.35">
      <c r="A11" s="29">
        <v>53</v>
      </c>
      <c r="B11" s="82" t="s">
        <v>8</v>
      </c>
      <c r="C11" s="75">
        <v>9977</v>
      </c>
      <c r="D11" s="75">
        <v>34754</v>
      </c>
      <c r="E11" s="75">
        <v>5012</v>
      </c>
      <c r="F11" s="75">
        <v>4177</v>
      </c>
      <c r="G11" s="75">
        <v>1378</v>
      </c>
      <c r="H11" s="75">
        <v>1148</v>
      </c>
      <c r="I11" s="75" t="s">
        <v>84</v>
      </c>
      <c r="J11" s="75" t="s">
        <v>84</v>
      </c>
    </row>
    <row r="12" spans="1:13" s="66" customFormat="1" ht="12.5" x14ac:dyDescent="0.35">
      <c r="A12" s="29">
        <v>54</v>
      </c>
      <c r="B12" s="66" t="s">
        <v>9</v>
      </c>
      <c r="C12" s="75">
        <v>9813</v>
      </c>
      <c r="D12" s="75">
        <v>6232</v>
      </c>
      <c r="E12" s="75">
        <v>1938</v>
      </c>
      <c r="F12" s="75">
        <v>1677</v>
      </c>
      <c r="G12" s="75">
        <v>890</v>
      </c>
      <c r="H12" s="75">
        <v>905.75</v>
      </c>
      <c r="I12" s="75">
        <v>127</v>
      </c>
      <c r="J12" s="75">
        <v>34.75</v>
      </c>
    </row>
    <row r="13" spans="1:13" s="66" customFormat="1" ht="12.5" x14ac:dyDescent="0.35">
      <c r="A13" s="29">
        <v>55</v>
      </c>
      <c r="B13" s="66" t="s">
        <v>10</v>
      </c>
      <c r="C13" s="75">
        <v>27017</v>
      </c>
      <c r="D13" s="75">
        <v>14531</v>
      </c>
      <c r="E13" s="75">
        <v>21607</v>
      </c>
      <c r="F13" s="75">
        <v>9775</v>
      </c>
      <c r="G13" s="75">
        <v>7119</v>
      </c>
      <c r="H13" s="75">
        <v>4756</v>
      </c>
      <c r="I13" s="75">
        <v>8</v>
      </c>
      <c r="J13" s="75">
        <v>4</v>
      </c>
    </row>
    <row r="14" spans="1:13" s="66" customFormat="1" ht="14.5" x14ac:dyDescent="0.35">
      <c r="A14" s="29">
        <v>56</v>
      </c>
      <c r="B14" s="82" t="s">
        <v>88</v>
      </c>
      <c r="C14" s="75">
        <v>19025</v>
      </c>
      <c r="D14" s="75">
        <v>9513</v>
      </c>
      <c r="E14" s="75">
        <v>5007</v>
      </c>
      <c r="F14" s="75">
        <v>2504</v>
      </c>
      <c r="G14" s="75">
        <v>1895</v>
      </c>
      <c r="H14" s="75">
        <v>948</v>
      </c>
      <c r="I14" s="75">
        <v>824</v>
      </c>
      <c r="J14" s="75">
        <v>412</v>
      </c>
    </row>
    <row r="15" spans="1:13" s="66" customFormat="1" ht="12.5" x14ac:dyDescent="0.35">
      <c r="A15" s="29">
        <v>57</v>
      </c>
      <c r="B15" s="66" t="s">
        <v>12</v>
      </c>
      <c r="C15" s="75">
        <v>3506</v>
      </c>
      <c r="D15" s="75">
        <v>2235</v>
      </c>
      <c r="E15" s="75" t="s">
        <v>84</v>
      </c>
      <c r="F15" s="75" t="s">
        <v>84</v>
      </c>
      <c r="G15" s="75" t="s">
        <v>84</v>
      </c>
      <c r="H15" s="75" t="s">
        <v>84</v>
      </c>
      <c r="I15" s="75">
        <v>587</v>
      </c>
      <c r="J15" s="75">
        <v>310</v>
      </c>
    </row>
    <row r="16" spans="1:13" s="66" customFormat="1" ht="12.5" x14ac:dyDescent="0.35">
      <c r="A16" s="29">
        <v>59</v>
      </c>
      <c r="B16" s="66" t="s">
        <v>13</v>
      </c>
      <c r="C16" s="75">
        <v>10041</v>
      </c>
      <c r="D16" s="75">
        <v>16844</v>
      </c>
      <c r="E16" s="75">
        <v>2600</v>
      </c>
      <c r="F16" s="75">
        <v>2255</v>
      </c>
      <c r="G16" s="75">
        <v>1341</v>
      </c>
      <c r="H16" s="75">
        <v>1291</v>
      </c>
      <c r="I16" s="75">
        <v>598</v>
      </c>
      <c r="J16" s="75">
        <v>244</v>
      </c>
    </row>
    <row r="17" spans="1:10" s="66" customFormat="1" ht="12.5" x14ac:dyDescent="0.35">
      <c r="A17" s="29">
        <v>60</v>
      </c>
      <c r="B17" s="66" t="s">
        <v>14</v>
      </c>
      <c r="C17" s="75">
        <v>5929</v>
      </c>
      <c r="D17" s="75">
        <v>10296</v>
      </c>
      <c r="E17" s="75">
        <v>2820</v>
      </c>
      <c r="F17" s="75">
        <v>4595</v>
      </c>
      <c r="G17" s="75">
        <v>944</v>
      </c>
      <c r="H17" s="75">
        <v>1707</v>
      </c>
      <c r="I17" s="75">
        <v>6204</v>
      </c>
      <c r="J17" s="75">
        <v>7911</v>
      </c>
    </row>
    <row r="18" spans="1:10" s="66" customFormat="1" ht="14.5" x14ac:dyDescent="0.35">
      <c r="A18" s="29">
        <v>61</v>
      </c>
      <c r="B18" s="77" t="s">
        <v>89</v>
      </c>
      <c r="C18" s="75">
        <v>2923</v>
      </c>
      <c r="D18" s="75">
        <v>4325</v>
      </c>
      <c r="E18" s="75">
        <v>1495</v>
      </c>
      <c r="F18" s="75">
        <v>737</v>
      </c>
      <c r="G18" s="75">
        <v>1425</v>
      </c>
      <c r="H18" s="75">
        <v>861</v>
      </c>
      <c r="I18" s="76">
        <v>0</v>
      </c>
      <c r="J18" s="76">
        <v>0</v>
      </c>
    </row>
    <row r="19" spans="1:10" s="66" customFormat="1" ht="12.5" x14ac:dyDescent="0.35">
      <c r="A19" s="29">
        <v>62</v>
      </c>
      <c r="B19" s="44" t="s">
        <v>126</v>
      </c>
      <c r="C19" s="43" t="s">
        <v>127</v>
      </c>
      <c r="D19" s="43" t="s">
        <v>127</v>
      </c>
      <c r="E19" s="43" t="s">
        <v>127</v>
      </c>
      <c r="F19" s="43" t="s">
        <v>127</v>
      </c>
      <c r="G19" s="43" t="s">
        <v>127</v>
      </c>
      <c r="H19" s="43" t="s">
        <v>127</v>
      </c>
      <c r="I19" s="43" t="s">
        <v>127</v>
      </c>
      <c r="J19" s="43" t="s">
        <v>127</v>
      </c>
    </row>
    <row r="20" spans="1:10" s="66" customFormat="1" ht="12.5" x14ac:dyDescent="0.35">
      <c r="A20" s="29">
        <v>58</v>
      </c>
      <c r="B20" s="66" t="s">
        <v>16</v>
      </c>
      <c r="C20" s="75">
        <v>10300</v>
      </c>
      <c r="D20" s="75">
        <v>14091</v>
      </c>
      <c r="E20" s="75">
        <v>6043</v>
      </c>
      <c r="F20" s="75">
        <v>8391</v>
      </c>
      <c r="G20" s="75">
        <v>2268</v>
      </c>
      <c r="H20" s="75">
        <v>3325</v>
      </c>
      <c r="I20" s="75">
        <v>73</v>
      </c>
      <c r="J20" s="75">
        <v>71</v>
      </c>
    </row>
    <row r="21" spans="1:10" s="66" customFormat="1" ht="14.5" x14ac:dyDescent="0.35">
      <c r="A21" s="29">
        <v>63</v>
      </c>
      <c r="B21" s="66" t="s">
        <v>90</v>
      </c>
      <c r="C21" s="75">
        <v>9842</v>
      </c>
      <c r="D21" s="75">
        <v>7848</v>
      </c>
      <c r="E21" s="76">
        <v>3072</v>
      </c>
      <c r="F21" s="76">
        <v>2304</v>
      </c>
      <c r="G21" s="76">
        <v>201</v>
      </c>
      <c r="H21" s="76">
        <v>151</v>
      </c>
      <c r="I21" s="75">
        <v>0</v>
      </c>
      <c r="J21" s="75">
        <v>0</v>
      </c>
    </row>
    <row r="22" spans="1:10" s="66" customFormat="1" ht="12.5" x14ac:dyDescent="0.35">
      <c r="A22" s="29">
        <v>64</v>
      </c>
      <c r="B22" s="66" t="s">
        <v>18</v>
      </c>
      <c r="C22" s="75">
        <v>9644</v>
      </c>
      <c r="D22" s="75">
        <v>18556.75</v>
      </c>
      <c r="E22" s="75">
        <v>5312</v>
      </c>
      <c r="F22" s="75">
        <v>9479.25</v>
      </c>
      <c r="G22" s="75">
        <v>636</v>
      </c>
      <c r="H22" s="75">
        <v>1186.5</v>
      </c>
      <c r="I22" s="75" t="s">
        <v>84</v>
      </c>
      <c r="J22" s="75" t="s">
        <v>84</v>
      </c>
    </row>
    <row r="23" spans="1:10" s="66" customFormat="1" ht="12.5" x14ac:dyDescent="0.35">
      <c r="A23" s="29">
        <v>65</v>
      </c>
      <c r="B23" s="66" t="s">
        <v>19</v>
      </c>
      <c r="C23" s="75">
        <v>4993</v>
      </c>
      <c r="D23" s="75">
        <v>7331</v>
      </c>
      <c r="E23" s="75">
        <v>2784</v>
      </c>
      <c r="F23" s="75">
        <v>4070</v>
      </c>
      <c r="G23" s="75">
        <v>821</v>
      </c>
      <c r="H23" s="75">
        <v>1193</v>
      </c>
      <c r="I23" s="75">
        <v>524</v>
      </c>
      <c r="J23" s="75">
        <v>129</v>
      </c>
    </row>
    <row r="24" spans="1:10" s="66" customFormat="1" ht="14.5" x14ac:dyDescent="0.35">
      <c r="A24" s="29">
        <v>67</v>
      </c>
      <c r="B24" s="66" t="s">
        <v>91</v>
      </c>
      <c r="C24" s="75">
        <v>2912</v>
      </c>
      <c r="D24" s="75">
        <v>3430.95</v>
      </c>
      <c r="E24" s="75">
        <v>1566</v>
      </c>
      <c r="F24" s="75">
        <v>2056</v>
      </c>
      <c r="G24" s="75">
        <v>779</v>
      </c>
      <c r="H24" s="75">
        <v>1104.75</v>
      </c>
      <c r="I24" s="75">
        <v>0</v>
      </c>
      <c r="J24" s="75">
        <v>0</v>
      </c>
    </row>
    <row r="25" spans="1:10" s="66" customFormat="1" ht="12.5" x14ac:dyDescent="0.35">
      <c r="A25" s="29">
        <v>68</v>
      </c>
      <c r="B25" s="66" t="s">
        <v>23</v>
      </c>
      <c r="C25" s="75">
        <v>10342</v>
      </c>
      <c r="D25" s="75">
        <v>21068</v>
      </c>
      <c r="E25" s="75">
        <v>6054</v>
      </c>
      <c r="F25" s="75">
        <v>11644.5</v>
      </c>
      <c r="G25" s="75" t="s">
        <v>84</v>
      </c>
      <c r="H25" s="75" t="s">
        <v>84</v>
      </c>
      <c r="I25" s="75">
        <v>617</v>
      </c>
      <c r="J25" s="75">
        <v>709</v>
      </c>
    </row>
    <row r="26" spans="1:10" s="66" customFormat="1" ht="14.5" x14ac:dyDescent="0.35">
      <c r="A26" s="29">
        <v>69</v>
      </c>
      <c r="B26" s="66" t="s">
        <v>92</v>
      </c>
      <c r="C26" s="75">
        <v>5363</v>
      </c>
      <c r="D26" s="75">
        <v>5875</v>
      </c>
      <c r="E26" s="75">
        <v>788</v>
      </c>
      <c r="F26" s="75">
        <v>2319</v>
      </c>
      <c r="G26" s="75" t="s">
        <v>84</v>
      </c>
      <c r="H26" s="75" t="s">
        <v>84</v>
      </c>
      <c r="I26" s="75">
        <v>0</v>
      </c>
      <c r="J26" s="75">
        <v>0</v>
      </c>
    </row>
    <row r="27" spans="1:10" s="66" customFormat="1" ht="12.5" x14ac:dyDescent="0.35">
      <c r="A27" s="29">
        <v>70</v>
      </c>
      <c r="B27" s="66" t="s">
        <v>25</v>
      </c>
      <c r="C27" s="75">
        <v>6417</v>
      </c>
      <c r="D27" s="75">
        <v>25428.22333333343</v>
      </c>
      <c r="E27" s="75">
        <v>1411</v>
      </c>
      <c r="F27" s="75">
        <v>589</v>
      </c>
      <c r="G27" s="75">
        <v>521</v>
      </c>
      <c r="H27" s="75">
        <v>280</v>
      </c>
      <c r="I27" s="75">
        <v>1000</v>
      </c>
      <c r="J27" s="75">
        <v>1017.8899999999928</v>
      </c>
    </row>
    <row r="28" spans="1:10" s="66" customFormat="1" ht="12.5" x14ac:dyDescent="0.35">
      <c r="A28" s="29">
        <v>71</v>
      </c>
      <c r="B28" s="66" t="s">
        <v>26</v>
      </c>
      <c r="C28" s="75">
        <v>14524</v>
      </c>
      <c r="D28" s="75">
        <v>24289</v>
      </c>
      <c r="E28" s="75">
        <v>3989</v>
      </c>
      <c r="F28" s="75">
        <v>6662</v>
      </c>
      <c r="G28" s="75">
        <v>2727</v>
      </c>
      <c r="H28" s="75">
        <v>4554</v>
      </c>
      <c r="I28" s="75">
        <v>1186</v>
      </c>
      <c r="J28" s="75">
        <v>952</v>
      </c>
    </row>
    <row r="29" spans="1:10" s="66" customFormat="1" ht="12.5" x14ac:dyDescent="0.35">
      <c r="A29" s="29">
        <v>73</v>
      </c>
      <c r="B29" s="66" t="s">
        <v>55</v>
      </c>
      <c r="C29" s="75">
        <v>337</v>
      </c>
      <c r="D29" s="75">
        <v>135.25</v>
      </c>
      <c r="E29" s="75">
        <v>137</v>
      </c>
      <c r="F29" s="75">
        <v>56.5</v>
      </c>
      <c r="G29" s="75">
        <v>15</v>
      </c>
      <c r="H29" s="75">
        <v>6.75</v>
      </c>
      <c r="I29" s="75">
        <v>39</v>
      </c>
      <c r="J29" s="75">
        <v>22</v>
      </c>
    </row>
    <row r="30" spans="1:10" s="66" customFormat="1" ht="12.5" x14ac:dyDescent="0.35">
      <c r="A30" s="29">
        <v>74</v>
      </c>
      <c r="B30" s="66" t="s">
        <v>29</v>
      </c>
      <c r="C30" s="75">
        <v>10038</v>
      </c>
      <c r="D30" s="75">
        <v>8966</v>
      </c>
      <c r="E30" s="75">
        <v>1627</v>
      </c>
      <c r="F30" s="75">
        <v>1469</v>
      </c>
      <c r="G30" s="75">
        <v>3511</v>
      </c>
      <c r="H30" s="75">
        <v>3244</v>
      </c>
      <c r="I30" s="75">
        <v>78</v>
      </c>
      <c r="J30" s="75" t="s">
        <v>84</v>
      </c>
    </row>
    <row r="31" spans="1:10" s="66" customFormat="1" ht="12.5" x14ac:dyDescent="0.35">
      <c r="A31" s="29">
        <v>75</v>
      </c>
      <c r="B31" s="66" t="s">
        <v>30</v>
      </c>
      <c r="C31" s="75">
        <v>46284</v>
      </c>
      <c r="D31" s="75">
        <v>48192</v>
      </c>
      <c r="E31" s="75">
        <v>19944</v>
      </c>
      <c r="F31" s="75">
        <v>20766</v>
      </c>
      <c r="G31" s="75">
        <v>22891</v>
      </c>
      <c r="H31" s="75">
        <v>23835</v>
      </c>
      <c r="I31" s="75">
        <v>400</v>
      </c>
      <c r="J31" s="75">
        <v>201</v>
      </c>
    </row>
    <row r="32" spans="1:10" s="66" customFormat="1" ht="12.5" x14ac:dyDescent="0.35">
      <c r="A32" s="29">
        <v>76</v>
      </c>
      <c r="B32" s="66" t="s">
        <v>31</v>
      </c>
      <c r="C32" s="75">
        <v>3842</v>
      </c>
      <c r="D32" s="75">
        <v>6723.5</v>
      </c>
      <c r="E32" s="75">
        <v>1362</v>
      </c>
      <c r="F32" s="75">
        <v>2383.52</v>
      </c>
      <c r="G32" s="75">
        <v>685</v>
      </c>
      <c r="H32" s="75">
        <v>1198.75</v>
      </c>
      <c r="I32" s="75">
        <v>791</v>
      </c>
      <c r="J32" s="75">
        <v>1384.25</v>
      </c>
    </row>
    <row r="33" spans="1:12" s="66" customFormat="1" ht="14.5" x14ac:dyDescent="0.35">
      <c r="A33" s="29">
        <v>79</v>
      </c>
      <c r="B33" s="66" t="s">
        <v>93</v>
      </c>
      <c r="C33" s="75">
        <v>8837</v>
      </c>
      <c r="D33" s="75">
        <v>13255</v>
      </c>
      <c r="E33" s="75" t="s">
        <v>84</v>
      </c>
      <c r="F33" s="75" t="s">
        <v>84</v>
      </c>
      <c r="G33" s="75">
        <v>1500</v>
      </c>
      <c r="H33" s="75">
        <v>2250</v>
      </c>
      <c r="I33" s="75">
        <v>0</v>
      </c>
      <c r="J33" s="75">
        <v>0</v>
      </c>
    </row>
    <row r="34" spans="1:12" s="66" customFormat="1" ht="12.5" x14ac:dyDescent="0.35">
      <c r="A34" s="29">
        <v>80</v>
      </c>
      <c r="B34" s="66" t="s">
        <v>34</v>
      </c>
      <c r="C34" s="75">
        <v>2430</v>
      </c>
      <c r="D34" s="75">
        <v>2566</v>
      </c>
      <c r="E34" s="75">
        <v>1797</v>
      </c>
      <c r="F34" s="75">
        <v>1951.5</v>
      </c>
      <c r="G34" s="75" t="s">
        <v>84</v>
      </c>
      <c r="H34" s="75" t="s">
        <v>84</v>
      </c>
      <c r="I34" s="75">
        <v>149</v>
      </c>
      <c r="J34" s="75">
        <v>156</v>
      </c>
    </row>
    <row r="35" spans="1:12" s="66" customFormat="1" ht="12.5" x14ac:dyDescent="0.35">
      <c r="A35" s="29">
        <v>81</v>
      </c>
      <c r="B35" s="66" t="s">
        <v>35</v>
      </c>
      <c r="C35" s="75">
        <v>3314</v>
      </c>
      <c r="D35" s="75">
        <v>4811</v>
      </c>
      <c r="E35" s="75">
        <v>1704</v>
      </c>
      <c r="F35" s="75">
        <v>2492</v>
      </c>
      <c r="G35" s="75" t="s">
        <v>84</v>
      </c>
      <c r="H35" s="75" t="s">
        <v>84</v>
      </c>
      <c r="I35" s="75">
        <v>99</v>
      </c>
      <c r="J35" s="75">
        <v>51</v>
      </c>
    </row>
    <row r="36" spans="1:12" s="66" customFormat="1" ht="12.5" x14ac:dyDescent="0.35">
      <c r="A36" s="29">
        <v>83</v>
      </c>
      <c r="B36" s="66" t="s">
        <v>36</v>
      </c>
      <c r="C36" s="75">
        <v>9677</v>
      </c>
      <c r="D36" s="75">
        <v>4024</v>
      </c>
      <c r="E36" s="75">
        <v>2936</v>
      </c>
      <c r="F36" s="75">
        <v>1164</v>
      </c>
      <c r="G36" s="75">
        <v>570</v>
      </c>
      <c r="H36" s="75">
        <v>154</v>
      </c>
      <c r="I36" s="75">
        <v>484</v>
      </c>
      <c r="J36" s="75">
        <v>453</v>
      </c>
    </row>
    <row r="37" spans="1:12" s="66" customFormat="1" ht="14.5" x14ac:dyDescent="0.35">
      <c r="A37" s="29">
        <v>84</v>
      </c>
      <c r="B37" s="66" t="s">
        <v>94</v>
      </c>
      <c r="C37" s="75">
        <v>9064</v>
      </c>
      <c r="D37" s="75">
        <v>8443.25</v>
      </c>
      <c r="E37" s="75">
        <v>4237</v>
      </c>
      <c r="F37" s="75">
        <v>4032.5</v>
      </c>
      <c r="G37" s="75">
        <v>3116</v>
      </c>
      <c r="H37" s="75">
        <v>2911.25</v>
      </c>
      <c r="I37" s="75">
        <v>0</v>
      </c>
      <c r="J37" s="75">
        <v>0</v>
      </c>
    </row>
    <row r="38" spans="1:12" s="66" customFormat="1" ht="12.5" x14ac:dyDescent="0.35">
      <c r="A38" s="29">
        <v>85</v>
      </c>
      <c r="B38" s="66" t="s">
        <v>38</v>
      </c>
      <c r="C38" s="75">
        <v>3770</v>
      </c>
      <c r="D38" s="75">
        <v>6622</v>
      </c>
      <c r="E38" s="75">
        <v>1683</v>
      </c>
      <c r="F38" s="75">
        <v>2814</v>
      </c>
      <c r="G38" s="75" t="s">
        <v>84</v>
      </c>
      <c r="H38" s="75" t="s">
        <v>84</v>
      </c>
      <c r="I38" s="75">
        <v>350</v>
      </c>
      <c r="J38" s="75">
        <v>360</v>
      </c>
    </row>
    <row r="39" spans="1:12" s="66" customFormat="1" ht="12.5" x14ac:dyDescent="0.35">
      <c r="A39" s="29">
        <v>87</v>
      </c>
      <c r="B39" s="66" t="s">
        <v>39</v>
      </c>
      <c r="C39" s="75">
        <v>2165</v>
      </c>
      <c r="D39" s="75">
        <v>7169</v>
      </c>
      <c r="E39" s="75">
        <v>986</v>
      </c>
      <c r="F39" s="75">
        <v>3905</v>
      </c>
      <c r="G39" s="75" t="s">
        <v>84</v>
      </c>
      <c r="H39" s="75" t="s">
        <v>84</v>
      </c>
      <c r="I39" s="75">
        <v>9</v>
      </c>
      <c r="J39" s="75">
        <v>26</v>
      </c>
    </row>
    <row r="40" spans="1:12" s="66" customFormat="1" ht="12.5" x14ac:dyDescent="0.35">
      <c r="A40" s="29">
        <v>90</v>
      </c>
      <c r="B40" s="66" t="s">
        <v>40</v>
      </c>
      <c r="C40" s="75">
        <v>4388</v>
      </c>
      <c r="D40" s="75">
        <v>8776</v>
      </c>
      <c r="E40" s="75" t="s">
        <v>84</v>
      </c>
      <c r="F40" s="75" t="s">
        <v>84</v>
      </c>
      <c r="G40" s="75" t="s">
        <v>84</v>
      </c>
      <c r="H40" s="75" t="s">
        <v>84</v>
      </c>
      <c r="I40" s="75">
        <v>757</v>
      </c>
      <c r="J40" s="75" t="s">
        <v>84</v>
      </c>
    </row>
    <row r="41" spans="1:12" s="66" customFormat="1" ht="12.5" x14ac:dyDescent="0.35">
      <c r="A41" s="29">
        <v>91</v>
      </c>
      <c r="B41" s="66" t="s">
        <v>42</v>
      </c>
      <c r="C41" s="75">
        <v>32084</v>
      </c>
      <c r="D41" s="75">
        <v>21146</v>
      </c>
      <c r="E41" s="75">
        <v>13582</v>
      </c>
      <c r="F41" s="75">
        <v>17427</v>
      </c>
      <c r="G41" s="75">
        <v>12959</v>
      </c>
      <c r="H41" s="75">
        <v>13103</v>
      </c>
      <c r="I41" s="75" t="s">
        <v>84</v>
      </c>
      <c r="J41" s="75" t="s">
        <v>84</v>
      </c>
    </row>
    <row r="42" spans="1:12" s="66" customFormat="1" ht="14.5" x14ac:dyDescent="0.35">
      <c r="A42" s="29">
        <v>92</v>
      </c>
      <c r="B42" s="66" t="s">
        <v>95</v>
      </c>
      <c r="C42" s="75">
        <v>851</v>
      </c>
      <c r="D42" s="75">
        <v>2746.98</v>
      </c>
      <c r="E42" s="75">
        <v>521</v>
      </c>
      <c r="F42" s="75">
        <v>1609.2</v>
      </c>
      <c r="G42" s="75">
        <v>450</v>
      </c>
      <c r="H42" s="75">
        <v>1370.25</v>
      </c>
      <c r="I42" s="75">
        <v>0</v>
      </c>
      <c r="J42" s="75">
        <v>0</v>
      </c>
    </row>
    <row r="43" spans="1:12" s="66" customFormat="1" ht="12.5" x14ac:dyDescent="0.35">
      <c r="A43" s="29">
        <v>94</v>
      </c>
      <c r="B43" s="66" t="s">
        <v>44</v>
      </c>
      <c r="C43" s="75">
        <v>4870</v>
      </c>
      <c r="D43" s="75">
        <v>6853</v>
      </c>
      <c r="E43" s="75">
        <v>2541</v>
      </c>
      <c r="F43" s="75">
        <v>3564</v>
      </c>
      <c r="G43" s="75">
        <v>836</v>
      </c>
      <c r="H43" s="75">
        <v>1208</v>
      </c>
      <c r="I43" s="75">
        <v>5</v>
      </c>
      <c r="J43" s="75" t="s">
        <v>84</v>
      </c>
    </row>
    <row r="44" spans="1:12" s="66" customFormat="1" ht="12.5" x14ac:dyDescent="0.35">
      <c r="A44" s="29">
        <v>96</v>
      </c>
      <c r="B44" s="66" t="s">
        <v>46</v>
      </c>
      <c r="C44" s="75">
        <v>8488</v>
      </c>
      <c r="D44" s="75">
        <v>11844</v>
      </c>
      <c r="E44" s="75">
        <v>2810</v>
      </c>
      <c r="F44" s="75">
        <v>4232</v>
      </c>
      <c r="G44" s="75">
        <v>723</v>
      </c>
      <c r="H44" s="75">
        <v>1086</v>
      </c>
      <c r="I44" s="75">
        <v>286</v>
      </c>
      <c r="J44" s="75">
        <v>168</v>
      </c>
    </row>
    <row r="45" spans="1:12" s="66" customFormat="1" ht="12.5" x14ac:dyDescent="0.35">
      <c r="A45" s="29">
        <v>98</v>
      </c>
      <c r="B45" s="66" t="s">
        <v>48</v>
      </c>
      <c r="C45" s="75">
        <v>5793</v>
      </c>
      <c r="D45" s="75">
        <v>9370</v>
      </c>
      <c r="E45" s="75">
        <v>4178</v>
      </c>
      <c r="F45" s="75">
        <v>6655</v>
      </c>
      <c r="G45" s="75">
        <v>1545</v>
      </c>
      <c r="H45" s="75">
        <v>2462</v>
      </c>
      <c r="I45" s="75" t="s">
        <v>84</v>
      </c>
      <c r="J45" s="75" t="s">
        <v>84</v>
      </c>
    </row>
    <row r="46" spans="1:12" s="66" customFormat="1" ht="12.5" x14ac:dyDescent="0.35">
      <c r="A46" s="29">
        <v>72</v>
      </c>
      <c r="B46" s="66" t="s">
        <v>50</v>
      </c>
      <c r="C46" s="75">
        <v>3108</v>
      </c>
      <c r="D46" s="75">
        <v>4455</v>
      </c>
      <c r="E46" s="75">
        <v>2300</v>
      </c>
      <c r="F46" s="75">
        <v>3297</v>
      </c>
      <c r="G46" s="75">
        <v>622</v>
      </c>
      <c r="H46" s="75">
        <v>892</v>
      </c>
      <c r="I46" s="75">
        <v>829</v>
      </c>
      <c r="J46" s="75">
        <v>386</v>
      </c>
    </row>
    <row r="47" spans="1:12" s="71" customFormat="1" ht="26.25" customHeight="1" x14ac:dyDescent="0.35">
      <c r="B47" s="66" t="s">
        <v>96</v>
      </c>
      <c r="C47" s="75">
        <v>75</v>
      </c>
      <c r="D47" s="75">
        <v>48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L47" s="66"/>
    </row>
    <row r="48" spans="1:12" s="66" customFormat="1" ht="14" x14ac:dyDescent="0.35">
      <c r="A48" s="29">
        <v>66</v>
      </c>
      <c r="B48" s="71" t="s">
        <v>56</v>
      </c>
      <c r="C48" s="74">
        <v>370686</v>
      </c>
      <c r="D48" s="74">
        <v>525899.68000000005</v>
      </c>
      <c r="E48" s="74">
        <v>132722</v>
      </c>
      <c r="F48" s="74">
        <v>189652.69</v>
      </c>
      <c r="G48" s="74">
        <v>42475</v>
      </c>
      <c r="H48" s="74">
        <v>62574</v>
      </c>
      <c r="I48" s="74">
        <v>39602</v>
      </c>
      <c r="J48" s="74">
        <v>29366</v>
      </c>
    </row>
    <row r="49" spans="1:12" s="66" customFormat="1" ht="14.25" customHeight="1" x14ac:dyDescent="0.35">
      <c r="A49" s="29">
        <v>78</v>
      </c>
      <c r="B49" s="66" t="s">
        <v>22</v>
      </c>
      <c r="C49" s="75">
        <v>67091</v>
      </c>
      <c r="D49" s="78">
        <v>104627.68</v>
      </c>
      <c r="E49" s="75">
        <v>18052</v>
      </c>
      <c r="F49" s="78">
        <v>28230.69</v>
      </c>
      <c r="G49" s="75" t="s">
        <v>84</v>
      </c>
      <c r="H49" s="75" t="s">
        <v>84</v>
      </c>
      <c r="I49" s="75">
        <v>2468</v>
      </c>
      <c r="J49" s="78">
        <v>2376</v>
      </c>
    </row>
    <row r="50" spans="1:12" s="66" customFormat="1" ht="15.75" customHeight="1" x14ac:dyDescent="0.35">
      <c r="A50" s="29">
        <v>89</v>
      </c>
      <c r="B50" s="66" t="s">
        <v>33</v>
      </c>
      <c r="C50" s="75">
        <v>71972</v>
      </c>
      <c r="D50" s="75">
        <v>112276</v>
      </c>
      <c r="E50" s="75">
        <v>25862</v>
      </c>
      <c r="F50" s="75">
        <v>38793</v>
      </c>
      <c r="G50" s="75">
        <v>8224</v>
      </c>
      <c r="H50" s="75">
        <v>12336</v>
      </c>
      <c r="I50" s="75">
        <v>14976</v>
      </c>
      <c r="J50" s="75">
        <v>22456</v>
      </c>
    </row>
    <row r="51" spans="1:12" s="66" customFormat="1" ht="12.5" x14ac:dyDescent="0.35">
      <c r="A51" s="29">
        <v>93</v>
      </c>
      <c r="B51" s="66" t="s">
        <v>41</v>
      </c>
      <c r="C51" s="75">
        <v>24985</v>
      </c>
      <c r="D51" s="75">
        <v>20404</v>
      </c>
      <c r="E51" s="75">
        <v>8510</v>
      </c>
      <c r="F51" s="75">
        <v>6950</v>
      </c>
      <c r="G51" s="75">
        <v>4837</v>
      </c>
      <c r="H51" s="75">
        <v>3918</v>
      </c>
      <c r="I51" s="75">
        <v>57</v>
      </c>
      <c r="J51" s="75">
        <v>57</v>
      </c>
    </row>
    <row r="52" spans="1:12" s="66" customFormat="1" ht="12.5" x14ac:dyDescent="0.35">
      <c r="A52" s="29">
        <v>95</v>
      </c>
      <c r="B52" s="66" t="s">
        <v>57</v>
      </c>
      <c r="C52" s="75">
        <v>30004</v>
      </c>
      <c r="D52" s="75">
        <v>12888</v>
      </c>
      <c r="E52" s="75">
        <v>10723</v>
      </c>
      <c r="F52" s="75">
        <v>4924</v>
      </c>
      <c r="G52" s="75">
        <v>3800</v>
      </c>
      <c r="H52" s="75">
        <v>2250</v>
      </c>
      <c r="I52" s="75">
        <v>20048</v>
      </c>
      <c r="J52" s="75">
        <v>4023</v>
      </c>
    </row>
    <row r="53" spans="1:12" s="66" customFormat="1" ht="14" x14ac:dyDescent="0.35">
      <c r="A53" s="29">
        <v>97</v>
      </c>
      <c r="B53" s="66" t="s">
        <v>47</v>
      </c>
      <c r="C53" s="75">
        <v>33592</v>
      </c>
      <c r="D53" s="75">
        <v>134368</v>
      </c>
      <c r="E53" s="75">
        <v>13272</v>
      </c>
      <c r="F53" s="75">
        <v>53088</v>
      </c>
      <c r="G53" s="75">
        <v>5580</v>
      </c>
      <c r="H53" s="75">
        <v>22320</v>
      </c>
      <c r="I53" s="75" t="s">
        <v>84</v>
      </c>
      <c r="J53" s="75" t="s">
        <v>84</v>
      </c>
      <c r="L53" s="71"/>
    </row>
    <row r="54" spans="1:12" s="66" customFormat="1" ht="12.5" x14ac:dyDescent="0.35">
      <c r="A54" s="45">
        <v>77</v>
      </c>
      <c r="B54" s="66" t="s">
        <v>49</v>
      </c>
      <c r="C54" s="75">
        <v>65664</v>
      </c>
      <c r="D54" s="75">
        <v>64725</v>
      </c>
      <c r="E54" s="75">
        <v>26061</v>
      </c>
      <c r="F54" s="75">
        <v>27731</v>
      </c>
      <c r="G54" s="75">
        <v>5130</v>
      </c>
      <c r="H54" s="75">
        <v>7047</v>
      </c>
      <c r="I54" s="75">
        <v>472</v>
      </c>
      <c r="J54" s="75">
        <v>454</v>
      </c>
    </row>
    <row r="55" spans="1:12" s="66" customFormat="1" ht="6" customHeight="1" x14ac:dyDescent="0.35">
      <c r="B55" s="79" t="s">
        <v>21</v>
      </c>
      <c r="C55" s="80">
        <v>77378</v>
      </c>
      <c r="D55" s="80">
        <v>76611</v>
      </c>
      <c r="E55" s="80">
        <v>30242</v>
      </c>
      <c r="F55" s="80">
        <v>29936</v>
      </c>
      <c r="G55" s="80">
        <v>14904</v>
      </c>
      <c r="H55" s="80">
        <v>14703</v>
      </c>
      <c r="I55" s="80">
        <v>1581</v>
      </c>
      <c r="J55" s="80" t="s">
        <v>84</v>
      </c>
    </row>
    <row r="56" spans="1:12" s="66" customFormat="1" ht="11.25" customHeight="1" x14ac:dyDescent="0.35">
      <c r="B56" s="81"/>
      <c r="J56" s="82"/>
    </row>
    <row r="57" spans="1:12" s="66" customFormat="1" ht="12.5" x14ac:dyDescent="0.35">
      <c r="B57" s="82" t="s">
        <v>97</v>
      </c>
      <c r="J57" s="82"/>
    </row>
    <row r="58" spans="1:12" s="66" customFormat="1" ht="12.5" x14ac:dyDescent="0.35">
      <c r="B58" s="88" t="s">
        <v>98</v>
      </c>
      <c r="J58" s="82"/>
    </row>
    <row r="59" spans="1:12" s="66" customFormat="1" ht="12.5" x14ac:dyDescent="0.35">
      <c r="B59" s="82" t="s">
        <v>99</v>
      </c>
      <c r="J59" s="82"/>
    </row>
    <row r="60" spans="1:12" s="66" customFormat="1" ht="12.5" x14ac:dyDescent="0.35">
      <c r="B60" s="82" t="s">
        <v>100</v>
      </c>
      <c r="J60" s="82"/>
    </row>
    <row r="61" spans="1:12" s="66" customFormat="1" ht="12.5" x14ac:dyDescent="0.35">
      <c r="B61" s="82"/>
      <c r="J61" s="82"/>
    </row>
    <row r="62" spans="1:12" s="66" customFormat="1" ht="12.5" x14ac:dyDescent="0.35">
      <c r="J62" s="82"/>
    </row>
    <row r="63" spans="1:12" s="66" customFormat="1" ht="12.5" x14ac:dyDescent="0.35">
      <c r="B63" s="66" t="s">
        <v>78</v>
      </c>
      <c r="J63" s="82"/>
    </row>
    <row r="64" spans="1:12" s="66" customFormat="1" ht="12.5" x14ac:dyDescent="0.35">
      <c r="J64" s="82"/>
    </row>
    <row r="65" spans="2:10" x14ac:dyDescent="0.3">
      <c r="B65" s="83" t="s">
        <v>79</v>
      </c>
      <c r="C65" s="66"/>
      <c r="D65" s="66"/>
      <c r="E65" s="66"/>
      <c r="F65" s="66"/>
      <c r="G65" s="66"/>
      <c r="H65" s="66"/>
      <c r="I65" s="66"/>
      <c r="J65" s="84"/>
    </row>
    <row r="67" spans="2:10" ht="9.75" customHeight="1" x14ac:dyDescent="0.3"/>
  </sheetData>
  <mergeCells count="6">
    <mergeCell ref="B1:J1"/>
    <mergeCell ref="B2:B3"/>
    <mergeCell ref="C2:D2"/>
    <mergeCell ref="E2:F2"/>
    <mergeCell ref="G2:H2"/>
    <mergeCell ref="I2:J2"/>
  </mergeCells>
  <pageMargins left="0.48" right="0.31" top="1" bottom="1" header="0.5" footer="0.5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2"/>
  </sheetPr>
  <dimension ref="A1:IZ60"/>
  <sheetViews>
    <sheetView showGridLines="0" zoomScale="85" zoomScaleNormal="85" workbookViewId="0">
      <pane xSplit="2" ySplit="3" topLeftCell="C10" activePane="bottomRight" state="frozen"/>
      <selection sqref="A1:IV65536"/>
      <selection pane="topRight" sqref="A1:IV65536"/>
      <selection pane="bottomLeft" sqref="A1:IV65536"/>
      <selection pane="bottomRight" activeCell="J34" sqref="J34"/>
    </sheetView>
  </sheetViews>
  <sheetFormatPr defaultColWidth="0" defaultRowHeight="13" x14ac:dyDescent="0.3"/>
  <cols>
    <col min="1" max="1" width="2.7265625" style="32" hidden="1" customWidth="1"/>
    <col min="2" max="2" width="25.54296875" style="32" customWidth="1"/>
    <col min="3" max="3" width="11.453125" style="32" customWidth="1"/>
    <col min="4" max="5" width="11.453125" style="52" customWidth="1"/>
    <col min="6" max="6" width="13" style="52" customWidth="1"/>
    <col min="7" max="8" width="11.453125" style="52" customWidth="1"/>
    <col min="9" max="10" width="13.26953125" style="52" customWidth="1"/>
    <col min="11" max="11" width="9.26953125" style="32" customWidth="1"/>
    <col min="12" max="256" width="0" style="32" hidden="1"/>
    <col min="257" max="257" width="0" style="32" hidden="1" customWidth="1"/>
    <col min="258" max="258" width="25.54296875" style="32" customWidth="1"/>
    <col min="259" max="261" width="11.453125" style="32" customWidth="1"/>
    <col min="262" max="262" width="13" style="32" customWidth="1"/>
    <col min="263" max="264" width="11.453125" style="32" customWidth="1"/>
    <col min="265" max="266" width="13.26953125" style="32" customWidth="1"/>
    <col min="267" max="267" width="9.26953125" style="32" customWidth="1"/>
    <col min="268" max="512" width="0" style="32" hidden="1"/>
    <col min="513" max="513" width="0" style="32" hidden="1" customWidth="1"/>
    <col min="514" max="514" width="25.54296875" style="32" customWidth="1"/>
    <col min="515" max="517" width="11.453125" style="32" customWidth="1"/>
    <col min="518" max="518" width="13" style="32" customWidth="1"/>
    <col min="519" max="520" width="11.453125" style="32" customWidth="1"/>
    <col min="521" max="522" width="13.26953125" style="32" customWidth="1"/>
    <col min="523" max="523" width="9.26953125" style="32" customWidth="1"/>
    <col min="524" max="768" width="0" style="32" hidden="1"/>
    <col min="769" max="769" width="0" style="32" hidden="1" customWidth="1"/>
    <col min="770" max="770" width="25.54296875" style="32" customWidth="1"/>
    <col min="771" max="773" width="11.453125" style="32" customWidth="1"/>
    <col min="774" max="774" width="13" style="32" customWidth="1"/>
    <col min="775" max="776" width="11.453125" style="32" customWidth="1"/>
    <col min="777" max="778" width="13.26953125" style="32" customWidth="1"/>
    <col min="779" max="779" width="9.26953125" style="32" customWidth="1"/>
    <col min="780" max="1024" width="0" style="32" hidden="1"/>
    <col min="1025" max="1025" width="0" style="32" hidden="1" customWidth="1"/>
    <col min="1026" max="1026" width="25.54296875" style="32" customWidth="1"/>
    <col min="1027" max="1029" width="11.453125" style="32" customWidth="1"/>
    <col min="1030" max="1030" width="13" style="32" customWidth="1"/>
    <col min="1031" max="1032" width="11.453125" style="32" customWidth="1"/>
    <col min="1033" max="1034" width="13.26953125" style="32" customWidth="1"/>
    <col min="1035" max="1035" width="9.26953125" style="32" customWidth="1"/>
    <col min="1036" max="1280" width="0" style="32" hidden="1"/>
    <col min="1281" max="1281" width="0" style="32" hidden="1" customWidth="1"/>
    <col min="1282" max="1282" width="25.54296875" style="32" customWidth="1"/>
    <col min="1283" max="1285" width="11.453125" style="32" customWidth="1"/>
    <col min="1286" max="1286" width="13" style="32" customWidth="1"/>
    <col min="1287" max="1288" width="11.453125" style="32" customWidth="1"/>
    <col min="1289" max="1290" width="13.26953125" style="32" customWidth="1"/>
    <col min="1291" max="1291" width="9.26953125" style="32" customWidth="1"/>
    <col min="1292" max="1536" width="0" style="32" hidden="1"/>
    <col min="1537" max="1537" width="0" style="32" hidden="1" customWidth="1"/>
    <col min="1538" max="1538" width="25.54296875" style="32" customWidth="1"/>
    <col min="1539" max="1541" width="11.453125" style="32" customWidth="1"/>
    <col min="1542" max="1542" width="13" style="32" customWidth="1"/>
    <col min="1543" max="1544" width="11.453125" style="32" customWidth="1"/>
    <col min="1545" max="1546" width="13.26953125" style="32" customWidth="1"/>
    <col min="1547" max="1547" width="9.26953125" style="32" customWidth="1"/>
    <col min="1548" max="1792" width="0" style="32" hidden="1"/>
    <col min="1793" max="1793" width="0" style="32" hidden="1" customWidth="1"/>
    <col min="1794" max="1794" width="25.54296875" style="32" customWidth="1"/>
    <col min="1795" max="1797" width="11.453125" style="32" customWidth="1"/>
    <col min="1798" max="1798" width="13" style="32" customWidth="1"/>
    <col min="1799" max="1800" width="11.453125" style="32" customWidth="1"/>
    <col min="1801" max="1802" width="13.26953125" style="32" customWidth="1"/>
    <col min="1803" max="1803" width="9.26953125" style="32" customWidth="1"/>
    <col min="1804" max="2048" width="0" style="32" hidden="1"/>
    <col min="2049" max="2049" width="0" style="32" hidden="1" customWidth="1"/>
    <col min="2050" max="2050" width="25.54296875" style="32" customWidth="1"/>
    <col min="2051" max="2053" width="11.453125" style="32" customWidth="1"/>
    <col min="2054" max="2054" width="13" style="32" customWidth="1"/>
    <col min="2055" max="2056" width="11.453125" style="32" customWidth="1"/>
    <col min="2057" max="2058" width="13.26953125" style="32" customWidth="1"/>
    <col min="2059" max="2059" width="9.26953125" style="32" customWidth="1"/>
    <col min="2060" max="2304" width="0" style="32" hidden="1"/>
    <col min="2305" max="2305" width="0" style="32" hidden="1" customWidth="1"/>
    <col min="2306" max="2306" width="25.54296875" style="32" customWidth="1"/>
    <col min="2307" max="2309" width="11.453125" style="32" customWidth="1"/>
    <col min="2310" max="2310" width="13" style="32" customWidth="1"/>
    <col min="2311" max="2312" width="11.453125" style="32" customWidth="1"/>
    <col min="2313" max="2314" width="13.26953125" style="32" customWidth="1"/>
    <col min="2315" max="2315" width="9.26953125" style="32" customWidth="1"/>
    <col min="2316" max="2560" width="0" style="32" hidden="1"/>
    <col min="2561" max="2561" width="0" style="32" hidden="1" customWidth="1"/>
    <col min="2562" max="2562" width="25.54296875" style="32" customWidth="1"/>
    <col min="2563" max="2565" width="11.453125" style="32" customWidth="1"/>
    <col min="2566" max="2566" width="13" style="32" customWidth="1"/>
    <col min="2567" max="2568" width="11.453125" style="32" customWidth="1"/>
    <col min="2569" max="2570" width="13.26953125" style="32" customWidth="1"/>
    <col min="2571" max="2571" width="9.26953125" style="32" customWidth="1"/>
    <col min="2572" max="2816" width="0" style="32" hidden="1"/>
    <col min="2817" max="2817" width="0" style="32" hidden="1" customWidth="1"/>
    <col min="2818" max="2818" width="25.54296875" style="32" customWidth="1"/>
    <col min="2819" max="2821" width="11.453125" style="32" customWidth="1"/>
    <col min="2822" max="2822" width="13" style="32" customWidth="1"/>
    <col min="2823" max="2824" width="11.453125" style="32" customWidth="1"/>
    <col min="2825" max="2826" width="13.26953125" style="32" customWidth="1"/>
    <col min="2827" max="2827" width="9.26953125" style="32" customWidth="1"/>
    <col min="2828" max="3072" width="0" style="32" hidden="1"/>
    <col min="3073" max="3073" width="0" style="32" hidden="1" customWidth="1"/>
    <col min="3074" max="3074" width="25.54296875" style="32" customWidth="1"/>
    <col min="3075" max="3077" width="11.453125" style="32" customWidth="1"/>
    <col min="3078" max="3078" width="13" style="32" customWidth="1"/>
    <col min="3079" max="3080" width="11.453125" style="32" customWidth="1"/>
    <col min="3081" max="3082" width="13.26953125" style="32" customWidth="1"/>
    <col min="3083" max="3083" width="9.26953125" style="32" customWidth="1"/>
    <col min="3084" max="3328" width="0" style="32" hidden="1"/>
    <col min="3329" max="3329" width="0" style="32" hidden="1" customWidth="1"/>
    <col min="3330" max="3330" width="25.54296875" style="32" customWidth="1"/>
    <col min="3331" max="3333" width="11.453125" style="32" customWidth="1"/>
    <col min="3334" max="3334" width="13" style="32" customWidth="1"/>
    <col min="3335" max="3336" width="11.453125" style="32" customWidth="1"/>
    <col min="3337" max="3338" width="13.26953125" style="32" customWidth="1"/>
    <col min="3339" max="3339" width="9.26953125" style="32" customWidth="1"/>
    <col min="3340" max="3584" width="0" style="32" hidden="1"/>
    <col min="3585" max="3585" width="0" style="32" hidden="1" customWidth="1"/>
    <col min="3586" max="3586" width="25.54296875" style="32" customWidth="1"/>
    <col min="3587" max="3589" width="11.453125" style="32" customWidth="1"/>
    <col min="3590" max="3590" width="13" style="32" customWidth="1"/>
    <col min="3591" max="3592" width="11.453125" style="32" customWidth="1"/>
    <col min="3593" max="3594" width="13.26953125" style="32" customWidth="1"/>
    <col min="3595" max="3595" width="9.26953125" style="32" customWidth="1"/>
    <col min="3596" max="3840" width="0" style="32" hidden="1"/>
    <col min="3841" max="3841" width="0" style="32" hidden="1" customWidth="1"/>
    <col min="3842" max="3842" width="25.54296875" style="32" customWidth="1"/>
    <col min="3843" max="3845" width="11.453125" style="32" customWidth="1"/>
    <col min="3846" max="3846" width="13" style="32" customWidth="1"/>
    <col min="3847" max="3848" width="11.453125" style="32" customWidth="1"/>
    <col min="3849" max="3850" width="13.26953125" style="32" customWidth="1"/>
    <col min="3851" max="3851" width="9.26953125" style="32" customWidth="1"/>
    <col min="3852" max="4096" width="0" style="32" hidden="1"/>
    <col min="4097" max="4097" width="0" style="32" hidden="1" customWidth="1"/>
    <col min="4098" max="4098" width="25.54296875" style="32" customWidth="1"/>
    <col min="4099" max="4101" width="11.453125" style="32" customWidth="1"/>
    <col min="4102" max="4102" width="13" style="32" customWidth="1"/>
    <col min="4103" max="4104" width="11.453125" style="32" customWidth="1"/>
    <col min="4105" max="4106" width="13.26953125" style="32" customWidth="1"/>
    <col min="4107" max="4107" width="9.26953125" style="32" customWidth="1"/>
    <col min="4108" max="4352" width="0" style="32" hidden="1"/>
    <col min="4353" max="4353" width="0" style="32" hidden="1" customWidth="1"/>
    <col min="4354" max="4354" width="25.54296875" style="32" customWidth="1"/>
    <col min="4355" max="4357" width="11.453125" style="32" customWidth="1"/>
    <col min="4358" max="4358" width="13" style="32" customWidth="1"/>
    <col min="4359" max="4360" width="11.453125" style="32" customWidth="1"/>
    <col min="4361" max="4362" width="13.26953125" style="32" customWidth="1"/>
    <col min="4363" max="4363" width="9.26953125" style="32" customWidth="1"/>
    <col min="4364" max="4608" width="0" style="32" hidden="1"/>
    <col min="4609" max="4609" width="0" style="32" hidden="1" customWidth="1"/>
    <col min="4610" max="4610" width="25.54296875" style="32" customWidth="1"/>
    <col min="4611" max="4613" width="11.453125" style="32" customWidth="1"/>
    <col min="4614" max="4614" width="13" style="32" customWidth="1"/>
    <col min="4615" max="4616" width="11.453125" style="32" customWidth="1"/>
    <col min="4617" max="4618" width="13.26953125" style="32" customWidth="1"/>
    <col min="4619" max="4619" width="9.26953125" style="32" customWidth="1"/>
    <col min="4620" max="4864" width="0" style="32" hidden="1"/>
    <col min="4865" max="4865" width="0" style="32" hidden="1" customWidth="1"/>
    <col min="4866" max="4866" width="25.54296875" style="32" customWidth="1"/>
    <col min="4867" max="4869" width="11.453125" style="32" customWidth="1"/>
    <col min="4870" max="4870" width="13" style="32" customWidth="1"/>
    <col min="4871" max="4872" width="11.453125" style="32" customWidth="1"/>
    <col min="4873" max="4874" width="13.26953125" style="32" customWidth="1"/>
    <col min="4875" max="4875" width="9.26953125" style="32" customWidth="1"/>
    <col min="4876" max="5120" width="0" style="32" hidden="1"/>
    <col min="5121" max="5121" width="0" style="32" hidden="1" customWidth="1"/>
    <col min="5122" max="5122" width="25.54296875" style="32" customWidth="1"/>
    <col min="5123" max="5125" width="11.453125" style="32" customWidth="1"/>
    <col min="5126" max="5126" width="13" style="32" customWidth="1"/>
    <col min="5127" max="5128" width="11.453125" style="32" customWidth="1"/>
    <col min="5129" max="5130" width="13.26953125" style="32" customWidth="1"/>
    <col min="5131" max="5131" width="9.26953125" style="32" customWidth="1"/>
    <col min="5132" max="5376" width="0" style="32" hidden="1"/>
    <col min="5377" max="5377" width="0" style="32" hidden="1" customWidth="1"/>
    <col min="5378" max="5378" width="25.54296875" style="32" customWidth="1"/>
    <col min="5379" max="5381" width="11.453125" style="32" customWidth="1"/>
    <col min="5382" max="5382" width="13" style="32" customWidth="1"/>
    <col min="5383" max="5384" width="11.453125" style="32" customWidth="1"/>
    <col min="5385" max="5386" width="13.26953125" style="32" customWidth="1"/>
    <col min="5387" max="5387" width="9.26953125" style="32" customWidth="1"/>
    <col min="5388" max="5632" width="0" style="32" hidden="1"/>
    <col min="5633" max="5633" width="0" style="32" hidden="1" customWidth="1"/>
    <col min="5634" max="5634" width="25.54296875" style="32" customWidth="1"/>
    <col min="5635" max="5637" width="11.453125" style="32" customWidth="1"/>
    <col min="5638" max="5638" width="13" style="32" customWidth="1"/>
    <col min="5639" max="5640" width="11.453125" style="32" customWidth="1"/>
    <col min="5641" max="5642" width="13.26953125" style="32" customWidth="1"/>
    <col min="5643" max="5643" width="9.26953125" style="32" customWidth="1"/>
    <col min="5644" max="5888" width="0" style="32" hidden="1"/>
    <col min="5889" max="5889" width="0" style="32" hidden="1" customWidth="1"/>
    <col min="5890" max="5890" width="25.54296875" style="32" customWidth="1"/>
    <col min="5891" max="5893" width="11.453125" style="32" customWidth="1"/>
    <col min="5894" max="5894" width="13" style="32" customWidth="1"/>
    <col min="5895" max="5896" width="11.453125" style="32" customWidth="1"/>
    <col min="5897" max="5898" width="13.26953125" style="32" customWidth="1"/>
    <col min="5899" max="5899" width="9.26953125" style="32" customWidth="1"/>
    <col min="5900" max="6144" width="0" style="32" hidden="1"/>
    <col min="6145" max="6145" width="0" style="32" hidden="1" customWidth="1"/>
    <col min="6146" max="6146" width="25.54296875" style="32" customWidth="1"/>
    <col min="6147" max="6149" width="11.453125" style="32" customWidth="1"/>
    <col min="6150" max="6150" width="13" style="32" customWidth="1"/>
    <col min="6151" max="6152" width="11.453125" style="32" customWidth="1"/>
    <col min="6153" max="6154" width="13.26953125" style="32" customWidth="1"/>
    <col min="6155" max="6155" width="9.26953125" style="32" customWidth="1"/>
    <col min="6156" max="6400" width="0" style="32" hidden="1"/>
    <col min="6401" max="6401" width="0" style="32" hidden="1" customWidth="1"/>
    <col min="6402" max="6402" width="25.54296875" style="32" customWidth="1"/>
    <col min="6403" max="6405" width="11.453125" style="32" customWidth="1"/>
    <col min="6406" max="6406" width="13" style="32" customWidth="1"/>
    <col min="6407" max="6408" width="11.453125" style="32" customWidth="1"/>
    <col min="6409" max="6410" width="13.26953125" style="32" customWidth="1"/>
    <col min="6411" max="6411" width="9.26953125" style="32" customWidth="1"/>
    <col min="6412" max="6656" width="0" style="32" hidden="1"/>
    <col min="6657" max="6657" width="0" style="32" hidden="1" customWidth="1"/>
    <col min="6658" max="6658" width="25.54296875" style="32" customWidth="1"/>
    <col min="6659" max="6661" width="11.453125" style="32" customWidth="1"/>
    <col min="6662" max="6662" width="13" style="32" customWidth="1"/>
    <col min="6663" max="6664" width="11.453125" style="32" customWidth="1"/>
    <col min="6665" max="6666" width="13.26953125" style="32" customWidth="1"/>
    <col min="6667" max="6667" width="9.26953125" style="32" customWidth="1"/>
    <col min="6668" max="6912" width="0" style="32" hidden="1"/>
    <col min="6913" max="6913" width="0" style="32" hidden="1" customWidth="1"/>
    <col min="6914" max="6914" width="25.54296875" style="32" customWidth="1"/>
    <col min="6915" max="6917" width="11.453125" style="32" customWidth="1"/>
    <col min="6918" max="6918" width="13" style="32" customWidth="1"/>
    <col min="6919" max="6920" width="11.453125" style="32" customWidth="1"/>
    <col min="6921" max="6922" width="13.26953125" style="32" customWidth="1"/>
    <col min="6923" max="6923" width="9.26953125" style="32" customWidth="1"/>
    <col min="6924" max="7168" width="0" style="32" hidden="1"/>
    <col min="7169" max="7169" width="0" style="32" hidden="1" customWidth="1"/>
    <col min="7170" max="7170" width="25.54296875" style="32" customWidth="1"/>
    <col min="7171" max="7173" width="11.453125" style="32" customWidth="1"/>
    <col min="7174" max="7174" width="13" style="32" customWidth="1"/>
    <col min="7175" max="7176" width="11.453125" style="32" customWidth="1"/>
    <col min="7177" max="7178" width="13.26953125" style="32" customWidth="1"/>
    <col min="7179" max="7179" width="9.26953125" style="32" customWidth="1"/>
    <col min="7180" max="7424" width="0" style="32" hidden="1"/>
    <col min="7425" max="7425" width="0" style="32" hidden="1" customWidth="1"/>
    <col min="7426" max="7426" width="25.54296875" style="32" customWidth="1"/>
    <col min="7427" max="7429" width="11.453125" style="32" customWidth="1"/>
    <col min="7430" max="7430" width="13" style="32" customWidth="1"/>
    <col min="7431" max="7432" width="11.453125" style="32" customWidth="1"/>
    <col min="7433" max="7434" width="13.26953125" style="32" customWidth="1"/>
    <col min="7435" max="7435" width="9.26953125" style="32" customWidth="1"/>
    <col min="7436" max="7680" width="0" style="32" hidden="1"/>
    <col min="7681" max="7681" width="0" style="32" hidden="1" customWidth="1"/>
    <col min="7682" max="7682" width="25.54296875" style="32" customWidth="1"/>
    <col min="7683" max="7685" width="11.453125" style="32" customWidth="1"/>
    <col min="7686" max="7686" width="13" style="32" customWidth="1"/>
    <col min="7687" max="7688" width="11.453125" style="32" customWidth="1"/>
    <col min="7689" max="7690" width="13.26953125" style="32" customWidth="1"/>
    <col min="7691" max="7691" width="9.26953125" style="32" customWidth="1"/>
    <col min="7692" max="7936" width="0" style="32" hidden="1"/>
    <col min="7937" max="7937" width="0" style="32" hidden="1" customWidth="1"/>
    <col min="7938" max="7938" width="25.54296875" style="32" customWidth="1"/>
    <col min="7939" max="7941" width="11.453125" style="32" customWidth="1"/>
    <col min="7942" max="7942" width="13" style="32" customWidth="1"/>
    <col min="7943" max="7944" width="11.453125" style="32" customWidth="1"/>
    <col min="7945" max="7946" width="13.26953125" style="32" customWidth="1"/>
    <col min="7947" max="7947" width="9.26953125" style="32" customWidth="1"/>
    <col min="7948" max="8192" width="0" style="32" hidden="1"/>
    <col min="8193" max="8193" width="0" style="32" hidden="1" customWidth="1"/>
    <col min="8194" max="8194" width="25.54296875" style="32" customWidth="1"/>
    <col min="8195" max="8197" width="11.453125" style="32" customWidth="1"/>
    <col min="8198" max="8198" width="13" style="32" customWidth="1"/>
    <col min="8199" max="8200" width="11.453125" style="32" customWidth="1"/>
    <col min="8201" max="8202" width="13.26953125" style="32" customWidth="1"/>
    <col min="8203" max="8203" width="9.26953125" style="32" customWidth="1"/>
    <col min="8204" max="8448" width="0" style="32" hidden="1"/>
    <col min="8449" max="8449" width="0" style="32" hidden="1" customWidth="1"/>
    <col min="8450" max="8450" width="25.54296875" style="32" customWidth="1"/>
    <col min="8451" max="8453" width="11.453125" style="32" customWidth="1"/>
    <col min="8454" max="8454" width="13" style="32" customWidth="1"/>
    <col min="8455" max="8456" width="11.453125" style="32" customWidth="1"/>
    <col min="8457" max="8458" width="13.26953125" style="32" customWidth="1"/>
    <col min="8459" max="8459" width="9.26953125" style="32" customWidth="1"/>
    <col min="8460" max="8704" width="0" style="32" hidden="1"/>
    <col min="8705" max="8705" width="0" style="32" hidden="1" customWidth="1"/>
    <col min="8706" max="8706" width="25.54296875" style="32" customWidth="1"/>
    <col min="8707" max="8709" width="11.453125" style="32" customWidth="1"/>
    <col min="8710" max="8710" width="13" style="32" customWidth="1"/>
    <col min="8711" max="8712" width="11.453125" style="32" customWidth="1"/>
    <col min="8713" max="8714" width="13.26953125" style="32" customWidth="1"/>
    <col min="8715" max="8715" width="9.26953125" style="32" customWidth="1"/>
    <col min="8716" max="8960" width="0" style="32" hidden="1"/>
    <col min="8961" max="8961" width="0" style="32" hidden="1" customWidth="1"/>
    <col min="8962" max="8962" width="25.54296875" style="32" customWidth="1"/>
    <col min="8963" max="8965" width="11.453125" style="32" customWidth="1"/>
    <col min="8966" max="8966" width="13" style="32" customWidth="1"/>
    <col min="8967" max="8968" width="11.453125" style="32" customWidth="1"/>
    <col min="8969" max="8970" width="13.26953125" style="32" customWidth="1"/>
    <col min="8971" max="8971" width="9.26953125" style="32" customWidth="1"/>
    <col min="8972" max="9216" width="0" style="32" hidden="1"/>
    <col min="9217" max="9217" width="0" style="32" hidden="1" customWidth="1"/>
    <col min="9218" max="9218" width="25.54296875" style="32" customWidth="1"/>
    <col min="9219" max="9221" width="11.453125" style="32" customWidth="1"/>
    <col min="9222" max="9222" width="13" style="32" customWidth="1"/>
    <col min="9223" max="9224" width="11.453125" style="32" customWidth="1"/>
    <col min="9225" max="9226" width="13.26953125" style="32" customWidth="1"/>
    <col min="9227" max="9227" width="9.26953125" style="32" customWidth="1"/>
    <col min="9228" max="9472" width="0" style="32" hidden="1"/>
    <col min="9473" max="9473" width="0" style="32" hidden="1" customWidth="1"/>
    <col min="9474" max="9474" width="25.54296875" style="32" customWidth="1"/>
    <col min="9475" max="9477" width="11.453125" style="32" customWidth="1"/>
    <col min="9478" max="9478" width="13" style="32" customWidth="1"/>
    <col min="9479" max="9480" width="11.453125" style="32" customWidth="1"/>
    <col min="9481" max="9482" width="13.26953125" style="32" customWidth="1"/>
    <col min="9483" max="9483" width="9.26953125" style="32" customWidth="1"/>
    <col min="9484" max="9728" width="0" style="32" hidden="1"/>
    <col min="9729" max="9729" width="0" style="32" hidden="1" customWidth="1"/>
    <col min="9730" max="9730" width="25.54296875" style="32" customWidth="1"/>
    <col min="9731" max="9733" width="11.453125" style="32" customWidth="1"/>
    <col min="9734" max="9734" width="13" style="32" customWidth="1"/>
    <col min="9735" max="9736" width="11.453125" style="32" customWidth="1"/>
    <col min="9737" max="9738" width="13.26953125" style="32" customWidth="1"/>
    <col min="9739" max="9739" width="9.26953125" style="32" customWidth="1"/>
    <col min="9740" max="9984" width="0" style="32" hidden="1"/>
    <col min="9985" max="9985" width="0" style="32" hidden="1" customWidth="1"/>
    <col min="9986" max="9986" width="25.54296875" style="32" customWidth="1"/>
    <col min="9987" max="9989" width="11.453125" style="32" customWidth="1"/>
    <col min="9990" max="9990" width="13" style="32" customWidth="1"/>
    <col min="9991" max="9992" width="11.453125" style="32" customWidth="1"/>
    <col min="9993" max="9994" width="13.26953125" style="32" customWidth="1"/>
    <col min="9995" max="9995" width="9.26953125" style="32" customWidth="1"/>
    <col min="9996" max="10240" width="0" style="32" hidden="1"/>
    <col min="10241" max="10241" width="0" style="32" hidden="1" customWidth="1"/>
    <col min="10242" max="10242" width="25.54296875" style="32" customWidth="1"/>
    <col min="10243" max="10245" width="11.453125" style="32" customWidth="1"/>
    <col min="10246" max="10246" width="13" style="32" customWidth="1"/>
    <col min="10247" max="10248" width="11.453125" style="32" customWidth="1"/>
    <col min="10249" max="10250" width="13.26953125" style="32" customWidth="1"/>
    <col min="10251" max="10251" width="9.26953125" style="32" customWidth="1"/>
    <col min="10252" max="10496" width="0" style="32" hidden="1"/>
    <col min="10497" max="10497" width="0" style="32" hidden="1" customWidth="1"/>
    <col min="10498" max="10498" width="25.54296875" style="32" customWidth="1"/>
    <col min="10499" max="10501" width="11.453125" style="32" customWidth="1"/>
    <col min="10502" max="10502" width="13" style="32" customWidth="1"/>
    <col min="10503" max="10504" width="11.453125" style="32" customWidth="1"/>
    <col min="10505" max="10506" width="13.26953125" style="32" customWidth="1"/>
    <col min="10507" max="10507" width="9.26953125" style="32" customWidth="1"/>
    <col min="10508" max="10752" width="0" style="32" hidden="1"/>
    <col min="10753" max="10753" width="0" style="32" hidden="1" customWidth="1"/>
    <col min="10754" max="10754" width="25.54296875" style="32" customWidth="1"/>
    <col min="10755" max="10757" width="11.453125" style="32" customWidth="1"/>
    <col min="10758" max="10758" width="13" style="32" customWidth="1"/>
    <col min="10759" max="10760" width="11.453125" style="32" customWidth="1"/>
    <col min="10761" max="10762" width="13.26953125" style="32" customWidth="1"/>
    <col min="10763" max="10763" width="9.26953125" style="32" customWidth="1"/>
    <col min="10764" max="11008" width="0" style="32" hidden="1"/>
    <col min="11009" max="11009" width="0" style="32" hidden="1" customWidth="1"/>
    <col min="11010" max="11010" width="25.54296875" style="32" customWidth="1"/>
    <col min="11011" max="11013" width="11.453125" style="32" customWidth="1"/>
    <col min="11014" max="11014" width="13" style="32" customWidth="1"/>
    <col min="11015" max="11016" width="11.453125" style="32" customWidth="1"/>
    <col min="11017" max="11018" width="13.26953125" style="32" customWidth="1"/>
    <col min="11019" max="11019" width="9.26953125" style="32" customWidth="1"/>
    <col min="11020" max="11264" width="0" style="32" hidden="1"/>
    <col min="11265" max="11265" width="0" style="32" hidden="1" customWidth="1"/>
    <col min="11266" max="11266" width="25.54296875" style="32" customWidth="1"/>
    <col min="11267" max="11269" width="11.453125" style="32" customWidth="1"/>
    <col min="11270" max="11270" width="13" style="32" customWidth="1"/>
    <col min="11271" max="11272" width="11.453125" style="32" customWidth="1"/>
    <col min="11273" max="11274" width="13.26953125" style="32" customWidth="1"/>
    <col min="11275" max="11275" width="9.26953125" style="32" customWidth="1"/>
    <col min="11276" max="11520" width="0" style="32" hidden="1"/>
    <col min="11521" max="11521" width="0" style="32" hidden="1" customWidth="1"/>
    <col min="11522" max="11522" width="25.54296875" style="32" customWidth="1"/>
    <col min="11523" max="11525" width="11.453125" style="32" customWidth="1"/>
    <col min="11526" max="11526" width="13" style="32" customWidth="1"/>
    <col min="11527" max="11528" width="11.453125" style="32" customWidth="1"/>
    <col min="11529" max="11530" width="13.26953125" style="32" customWidth="1"/>
    <col min="11531" max="11531" width="9.26953125" style="32" customWidth="1"/>
    <col min="11532" max="11776" width="0" style="32" hidden="1"/>
    <col min="11777" max="11777" width="0" style="32" hidden="1" customWidth="1"/>
    <col min="11778" max="11778" width="25.54296875" style="32" customWidth="1"/>
    <col min="11779" max="11781" width="11.453125" style="32" customWidth="1"/>
    <col min="11782" max="11782" width="13" style="32" customWidth="1"/>
    <col min="11783" max="11784" width="11.453125" style="32" customWidth="1"/>
    <col min="11785" max="11786" width="13.26953125" style="32" customWidth="1"/>
    <col min="11787" max="11787" width="9.26953125" style="32" customWidth="1"/>
    <col min="11788" max="12032" width="0" style="32" hidden="1"/>
    <col min="12033" max="12033" width="0" style="32" hidden="1" customWidth="1"/>
    <col min="12034" max="12034" width="25.54296875" style="32" customWidth="1"/>
    <col min="12035" max="12037" width="11.453125" style="32" customWidth="1"/>
    <col min="12038" max="12038" width="13" style="32" customWidth="1"/>
    <col min="12039" max="12040" width="11.453125" style="32" customWidth="1"/>
    <col min="12041" max="12042" width="13.26953125" style="32" customWidth="1"/>
    <col min="12043" max="12043" width="9.26953125" style="32" customWidth="1"/>
    <col min="12044" max="12288" width="0" style="32" hidden="1"/>
    <col min="12289" max="12289" width="0" style="32" hidden="1" customWidth="1"/>
    <col min="12290" max="12290" width="25.54296875" style="32" customWidth="1"/>
    <col min="12291" max="12293" width="11.453125" style="32" customWidth="1"/>
    <col min="12294" max="12294" width="13" style="32" customWidth="1"/>
    <col min="12295" max="12296" width="11.453125" style="32" customWidth="1"/>
    <col min="12297" max="12298" width="13.26953125" style="32" customWidth="1"/>
    <col min="12299" max="12299" width="9.26953125" style="32" customWidth="1"/>
    <col min="12300" max="12544" width="0" style="32" hidden="1"/>
    <col min="12545" max="12545" width="0" style="32" hidden="1" customWidth="1"/>
    <col min="12546" max="12546" width="25.54296875" style="32" customWidth="1"/>
    <col min="12547" max="12549" width="11.453125" style="32" customWidth="1"/>
    <col min="12550" max="12550" width="13" style="32" customWidth="1"/>
    <col min="12551" max="12552" width="11.453125" style="32" customWidth="1"/>
    <col min="12553" max="12554" width="13.26953125" style="32" customWidth="1"/>
    <col min="12555" max="12555" width="9.26953125" style="32" customWidth="1"/>
    <col min="12556" max="12800" width="0" style="32" hidden="1"/>
    <col min="12801" max="12801" width="0" style="32" hidden="1" customWidth="1"/>
    <col min="12802" max="12802" width="25.54296875" style="32" customWidth="1"/>
    <col min="12803" max="12805" width="11.453125" style="32" customWidth="1"/>
    <col min="12806" max="12806" width="13" style="32" customWidth="1"/>
    <col min="12807" max="12808" width="11.453125" style="32" customWidth="1"/>
    <col min="12809" max="12810" width="13.26953125" style="32" customWidth="1"/>
    <col min="12811" max="12811" width="9.26953125" style="32" customWidth="1"/>
    <col min="12812" max="13056" width="0" style="32" hidden="1"/>
    <col min="13057" max="13057" width="0" style="32" hidden="1" customWidth="1"/>
    <col min="13058" max="13058" width="25.54296875" style="32" customWidth="1"/>
    <col min="13059" max="13061" width="11.453125" style="32" customWidth="1"/>
    <col min="13062" max="13062" width="13" style="32" customWidth="1"/>
    <col min="13063" max="13064" width="11.453125" style="32" customWidth="1"/>
    <col min="13065" max="13066" width="13.26953125" style="32" customWidth="1"/>
    <col min="13067" max="13067" width="9.26953125" style="32" customWidth="1"/>
    <col min="13068" max="13312" width="0" style="32" hidden="1"/>
    <col min="13313" max="13313" width="0" style="32" hidden="1" customWidth="1"/>
    <col min="13314" max="13314" width="25.54296875" style="32" customWidth="1"/>
    <col min="13315" max="13317" width="11.453125" style="32" customWidth="1"/>
    <col min="13318" max="13318" width="13" style="32" customWidth="1"/>
    <col min="13319" max="13320" width="11.453125" style="32" customWidth="1"/>
    <col min="13321" max="13322" width="13.26953125" style="32" customWidth="1"/>
    <col min="13323" max="13323" width="9.26953125" style="32" customWidth="1"/>
    <col min="13324" max="13568" width="0" style="32" hidden="1"/>
    <col min="13569" max="13569" width="0" style="32" hidden="1" customWidth="1"/>
    <col min="13570" max="13570" width="25.54296875" style="32" customWidth="1"/>
    <col min="13571" max="13573" width="11.453125" style="32" customWidth="1"/>
    <col min="13574" max="13574" width="13" style="32" customWidth="1"/>
    <col min="13575" max="13576" width="11.453125" style="32" customWidth="1"/>
    <col min="13577" max="13578" width="13.26953125" style="32" customWidth="1"/>
    <col min="13579" max="13579" width="9.26953125" style="32" customWidth="1"/>
    <col min="13580" max="13824" width="0" style="32" hidden="1"/>
    <col min="13825" max="13825" width="0" style="32" hidden="1" customWidth="1"/>
    <col min="13826" max="13826" width="25.54296875" style="32" customWidth="1"/>
    <col min="13827" max="13829" width="11.453125" style="32" customWidth="1"/>
    <col min="13830" max="13830" width="13" style="32" customWidth="1"/>
    <col min="13831" max="13832" width="11.453125" style="32" customWidth="1"/>
    <col min="13833" max="13834" width="13.26953125" style="32" customWidth="1"/>
    <col min="13835" max="13835" width="9.26953125" style="32" customWidth="1"/>
    <col min="13836" max="14080" width="0" style="32" hidden="1"/>
    <col min="14081" max="14081" width="0" style="32" hidden="1" customWidth="1"/>
    <col min="14082" max="14082" width="25.54296875" style="32" customWidth="1"/>
    <col min="14083" max="14085" width="11.453125" style="32" customWidth="1"/>
    <col min="14086" max="14086" width="13" style="32" customWidth="1"/>
    <col min="14087" max="14088" width="11.453125" style="32" customWidth="1"/>
    <col min="14089" max="14090" width="13.26953125" style="32" customWidth="1"/>
    <col min="14091" max="14091" width="9.26953125" style="32" customWidth="1"/>
    <col min="14092" max="14336" width="0" style="32" hidden="1"/>
    <col min="14337" max="14337" width="0" style="32" hidden="1" customWidth="1"/>
    <col min="14338" max="14338" width="25.54296875" style="32" customWidth="1"/>
    <col min="14339" max="14341" width="11.453125" style="32" customWidth="1"/>
    <col min="14342" max="14342" width="13" style="32" customWidth="1"/>
    <col min="14343" max="14344" width="11.453125" style="32" customWidth="1"/>
    <col min="14345" max="14346" width="13.26953125" style="32" customWidth="1"/>
    <col min="14347" max="14347" width="9.26953125" style="32" customWidth="1"/>
    <col min="14348" max="14592" width="0" style="32" hidden="1"/>
    <col min="14593" max="14593" width="0" style="32" hidden="1" customWidth="1"/>
    <col min="14594" max="14594" width="25.54296875" style="32" customWidth="1"/>
    <col min="14595" max="14597" width="11.453125" style="32" customWidth="1"/>
    <col min="14598" max="14598" width="13" style="32" customWidth="1"/>
    <col min="14599" max="14600" width="11.453125" style="32" customWidth="1"/>
    <col min="14601" max="14602" width="13.26953125" style="32" customWidth="1"/>
    <col min="14603" max="14603" width="9.26953125" style="32" customWidth="1"/>
    <col min="14604" max="14848" width="0" style="32" hidden="1"/>
    <col min="14849" max="14849" width="0" style="32" hidden="1" customWidth="1"/>
    <col min="14850" max="14850" width="25.54296875" style="32" customWidth="1"/>
    <col min="14851" max="14853" width="11.453125" style="32" customWidth="1"/>
    <col min="14854" max="14854" width="13" style="32" customWidth="1"/>
    <col min="14855" max="14856" width="11.453125" style="32" customWidth="1"/>
    <col min="14857" max="14858" width="13.26953125" style="32" customWidth="1"/>
    <col min="14859" max="14859" width="9.26953125" style="32" customWidth="1"/>
    <col min="14860" max="15104" width="0" style="32" hidden="1"/>
    <col min="15105" max="15105" width="0" style="32" hidden="1" customWidth="1"/>
    <col min="15106" max="15106" width="25.54296875" style="32" customWidth="1"/>
    <col min="15107" max="15109" width="11.453125" style="32" customWidth="1"/>
    <col min="15110" max="15110" width="13" style="32" customWidth="1"/>
    <col min="15111" max="15112" width="11.453125" style="32" customWidth="1"/>
    <col min="15113" max="15114" width="13.26953125" style="32" customWidth="1"/>
    <col min="15115" max="15115" width="9.26953125" style="32" customWidth="1"/>
    <col min="15116" max="15360" width="0" style="32" hidden="1"/>
    <col min="15361" max="15361" width="0" style="32" hidden="1" customWidth="1"/>
    <col min="15362" max="15362" width="25.54296875" style="32" customWidth="1"/>
    <col min="15363" max="15365" width="11.453125" style="32" customWidth="1"/>
    <col min="15366" max="15366" width="13" style="32" customWidth="1"/>
    <col min="15367" max="15368" width="11.453125" style="32" customWidth="1"/>
    <col min="15369" max="15370" width="13.26953125" style="32" customWidth="1"/>
    <col min="15371" max="15371" width="9.26953125" style="32" customWidth="1"/>
    <col min="15372" max="15616" width="0" style="32" hidden="1"/>
    <col min="15617" max="15617" width="0" style="32" hidden="1" customWidth="1"/>
    <col min="15618" max="15618" width="25.54296875" style="32" customWidth="1"/>
    <col min="15619" max="15621" width="11.453125" style="32" customWidth="1"/>
    <col min="15622" max="15622" width="13" style="32" customWidth="1"/>
    <col min="15623" max="15624" width="11.453125" style="32" customWidth="1"/>
    <col min="15625" max="15626" width="13.26953125" style="32" customWidth="1"/>
    <col min="15627" max="15627" width="9.26953125" style="32" customWidth="1"/>
    <col min="15628" max="15872" width="0" style="32" hidden="1"/>
    <col min="15873" max="15873" width="0" style="32" hidden="1" customWidth="1"/>
    <col min="15874" max="15874" width="25.54296875" style="32" customWidth="1"/>
    <col min="15875" max="15877" width="11.453125" style="32" customWidth="1"/>
    <col min="15878" max="15878" width="13" style="32" customWidth="1"/>
    <col min="15879" max="15880" width="11.453125" style="32" customWidth="1"/>
    <col min="15881" max="15882" width="13.26953125" style="32" customWidth="1"/>
    <col min="15883" max="15883" width="9.26953125" style="32" customWidth="1"/>
    <col min="15884" max="16128" width="0" style="32" hidden="1"/>
    <col min="16129" max="16129" width="0" style="32" hidden="1" customWidth="1"/>
    <col min="16130" max="16130" width="25.54296875" style="32" customWidth="1"/>
    <col min="16131" max="16133" width="11.453125" style="32" customWidth="1"/>
    <col min="16134" max="16134" width="13" style="32" customWidth="1"/>
    <col min="16135" max="16136" width="11.453125" style="32" customWidth="1"/>
    <col min="16137" max="16138" width="13.26953125" style="32" customWidth="1"/>
    <col min="16139" max="16139" width="9.26953125" style="32" customWidth="1"/>
    <col min="16140" max="16384" width="0" style="32" hidden="1"/>
  </cols>
  <sheetData>
    <row r="1" spans="1:260" ht="40.5" customHeight="1" x14ac:dyDescent="0.3">
      <c r="B1" s="128" t="s">
        <v>85</v>
      </c>
      <c r="C1" s="129"/>
      <c r="D1" s="129"/>
      <c r="E1" s="129"/>
      <c r="F1" s="129"/>
      <c r="G1" s="129"/>
      <c r="H1" s="129"/>
      <c r="I1" s="129"/>
      <c r="J1" s="130"/>
    </row>
    <row r="2" spans="1:260" s="66" customFormat="1" ht="60.75" customHeight="1" x14ac:dyDescent="0.3">
      <c r="B2" s="125"/>
      <c r="C2" s="127" t="s">
        <v>67</v>
      </c>
      <c r="D2" s="123"/>
      <c r="E2" s="124" t="s">
        <v>68</v>
      </c>
      <c r="F2" s="124"/>
      <c r="G2" s="124" t="s">
        <v>69</v>
      </c>
      <c r="H2" s="124"/>
      <c r="I2" s="127" t="s">
        <v>70</v>
      </c>
      <c r="J2" s="123"/>
      <c r="K2" s="32"/>
      <c r="L2" s="127"/>
      <c r="M2" s="123"/>
      <c r="N2" s="124"/>
      <c r="O2" s="124"/>
      <c r="P2" s="124"/>
      <c r="Q2" s="124"/>
      <c r="R2" s="127"/>
      <c r="S2" s="123"/>
    </row>
    <row r="3" spans="1:260" s="66" customFormat="1" ht="24" customHeight="1" x14ac:dyDescent="0.35">
      <c r="B3" s="126"/>
      <c r="C3" s="67" t="s">
        <v>71</v>
      </c>
      <c r="D3" s="68" t="s">
        <v>72</v>
      </c>
      <c r="E3" s="67" t="s">
        <v>71</v>
      </c>
      <c r="F3" s="68" t="s">
        <v>72</v>
      </c>
      <c r="G3" s="67" t="s">
        <v>71</v>
      </c>
      <c r="H3" s="68" t="s">
        <v>72</v>
      </c>
      <c r="I3" s="67" t="s">
        <v>71</v>
      </c>
      <c r="J3" s="68" t="s">
        <v>72</v>
      </c>
      <c r="L3" s="67"/>
      <c r="M3" s="68"/>
      <c r="N3" s="67"/>
      <c r="O3" s="68"/>
      <c r="P3" s="67"/>
      <c r="Q3" s="68"/>
      <c r="R3" s="67"/>
      <c r="S3" s="68"/>
    </row>
    <row r="4" spans="1:260" s="66" customFormat="1" ht="24" hidden="1" customHeight="1" x14ac:dyDescent="0.35">
      <c r="C4" s="69" t="s">
        <v>73</v>
      </c>
      <c r="D4" s="69" t="s">
        <v>73</v>
      </c>
      <c r="E4" s="70" t="s">
        <v>74</v>
      </c>
      <c r="F4" s="70" t="s">
        <v>74</v>
      </c>
      <c r="G4" s="70" t="s">
        <v>75</v>
      </c>
      <c r="H4" s="70" t="s">
        <v>75</v>
      </c>
      <c r="I4" s="69" t="s">
        <v>76</v>
      </c>
      <c r="J4" s="69" t="s">
        <v>76</v>
      </c>
    </row>
    <row r="5" spans="1:260" s="66" customFormat="1" ht="24" hidden="1" customHeight="1" x14ac:dyDescent="0.35">
      <c r="C5" s="69" t="s">
        <v>71</v>
      </c>
      <c r="D5" s="70" t="s">
        <v>72</v>
      </c>
      <c r="E5" s="69" t="s">
        <v>71</v>
      </c>
      <c r="F5" s="70" t="s">
        <v>72</v>
      </c>
      <c r="G5" s="69" t="s">
        <v>71</v>
      </c>
      <c r="H5" s="70" t="s">
        <v>72</v>
      </c>
      <c r="I5" s="69" t="s">
        <v>71</v>
      </c>
      <c r="J5" s="70" t="s">
        <v>72</v>
      </c>
    </row>
    <row r="6" spans="1:260" s="66" customFormat="1" ht="25.5" customHeight="1" x14ac:dyDescent="0.35">
      <c r="B6" s="71" t="s">
        <v>0</v>
      </c>
      <c r="C6" s="72">
        <v>701621</v>
      </c>
      <c r="D6" s="72">
        <v>805201.71251626778</v>
      </c>
      <c r="E6" s="72">
        <v>274457</v>
      </c>
      <c r="F6" s="72">
        <v>307048.36622429459</v>
      </c>
      <c r="G6" s="72">
        <f>G7+G48</f>
        <v>113997</v>
      </c>
      <c r="H6" s="72">
        <f>H7+H48</f>
        <v>140662.72550215208</v>
      </c>
      <c r="I6" s="72">
        <v>46369</v>
      </c>
      <c r="J6" s="72">
        <v>34470.583333333336</v>
      </c>
      <c r="K6" s="73"/>
      <c r="L6" s="85"/>
      <c r="M6" s="85"/>
      <c r="N6" s="85"/>
      <c r="O6" s="85"/>
      <c r="P6" s="85"/>
      <c r="Q6" s="85"/>
      <c r="R6" s="85"/>
      <c r="S6" s="85"/>
      <c r="T6" s="85"/>
      <c r="U6" s="85"/>
      <c r="IY6" s="72"/>
      <c r="IZ6" s="72"/>
    </row>
    <row r="7" spans="1:260" s="71" customFormat="1" ht="26.25" customHeight="1" x14ac:dyDescent="0.35">
      <c r="A7" s="28"/>
      <c r="B7" s="71" t="s">
        <v>52</v>
      </c>
      <c r="C7" s="74">
        <v>339645</v>
      </c>
      <c r="D7" s="74">
        <v>396795.88251626777</v>
      </c>
      <c r="E7" s="74">
        <v>151205</v>
      </c>
      <c r="F7" s="74">
        <v>157675.20622429458</v>
      </c>
      <c r="G7" s="74">
        <f>SUM(G8:G47)</f>
        <v>59293</v>
      </c>
      <c r="H7" s="74">
        <f>SUM(H8:H47)</f>
        <v>66303.645502152081</v>
      </c>
      <c r="I7" s="74">
        <v>16133</v>
      </c>
      <c r="J7" s="74">
        <v>14660.583333333334</v>
      </c>
      <c r="L7" s="85"/>
      <c r="M7" s="85"/>
      <c r="N7" s="85"/>
      <c r="O7" s="85"/>
      <c r="P7" s="85"/>
      <c r="Q7" s="85"/>
      <c r="R7" s="85"/>
      <c r="S7" s="85"/>
      <c r="T7" s="85"/>
      <c r="U7" s="85"/>
      <c r="IY7" s="74"/>
      <c r="IZ7" s="74"/>
    </row>
    <row r="8" spans="1:260" s="66" customFormat="1" ht="12.5" x14ac:dyDescent="0.35">
      <c r="A8" s="29">
        <v>51</v>
      </c>
      <c r="B8" s="66" t="s">
        <v>5</v>
      </c>
      <c r="C8" s="75">
        <v>6685</v>
      </c>
      <c r="D8" s="75">
        <v>4421.25</v>
      </c>
      <c r="E8" s="75">
        <v>3452</v>
      </c>
      <c r="F8" s="75">
        <v>2445.25</v>
      </c>
      <c r="G8" s="75">
        <v>2236</v>
      </c>
      <c r="H8" s="75">
        <v>1696.25</v>
      </c>
      <c r="I8" s="75">
        <v>405</v>
      </c>
      <c r="J8" s="75">
        <v>198.5</v>
      </c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1:260" s="66" customFormat="1" ht="12.5" x14ac:dyDescent="0.35">
      <c r="A9" s="29">
        <v>52</v>
      </c>
      <c r="B9" s="66" t="s">
        <v>6</v>
      </c>
      <c r="C9" s="75">
        <v>3806</v>
      </c>
      <c r="D9" s="75">
        <v>3263</v>
      </c>
      <c r="E9" s="75">
        <v>616</v>
      </c>
      <c r="F9" s="75">
        <v>391</v>
      </c>
      <c r="G9" s="75">
        <v>0</v>
      </c>
      <c r="H9" s="75">
        <v>0</v>
      </c>
      <c r="I9" s="75">
        <v>0</v>
      </c>
      <c r="J9" s="75">
        <v>218</v>
      </c>
      <c r="L9" s="85"/>
      <c r="M9" s="85"/>
      <c r="N9" s="85"/>
      <c r="O9" s="85"/>
      <c r="P9" s="85"/>
      <c r="Q9" s="85"/>
      <c r="R9" s="85"/>
      <c r="S9" s="85"/>
      <c r="T9" s="85"/>
      <c r="U9" s="85"/>
    </row>
    <row r="10" spans="1:260" s="66" customFormat="1" ht="13.5" customHeight="1" x14ac:dyDescent="0.35">
      <c r="A10" s="29">
        <v>86</v>
      </c>
      <c r="B10" s="66" t="s">
        <v>7</v>
      </c>
      <c r="C10" s="75">
        <v>6248</v>
      </c>
      <c r="D10" s="75">
        <v>13636</v>
      </c>
      <c r="E10" s="75">
        <v>3224</v>
      </c>
      <c r="F10" s="75">
        <v>4836</v>
      </c>
      <c r="G10" s="75">
        <v>1523</v>
      </c>
      <c r="H10" s="75">
        <v>2284</v>
      </c>
      <c r="I10" s="75">
        <v>0</v>
      </c>
      <c r="J10" s="75">
        <v>0</v>
      </c>
      <c r="L10" s="85"/>
      <c r="M10" s="85"/>
      <c r="N10" s="85"/>
      <c r="O10" s="85"/>
      <c r="P10" s="85"/>
      <c r="Q10" s="85"/>
      <c r="R10" s="85"/>
      <c r="S10" s="85"/>
      <c r="T10" s="85"/>
      <c r="U10" s="85"/>
    </row>
    <row r="11" spans="1:260" s="66" customFormat="1" ht="12.5" x14ac:dyDescent="0.35">
      <c r="A11" s="29">
        <v>53</v>
      </c>
      <c r="B11" s="82" t="s">
        <v>8</v>
      </c>
      <c r="C11" s="75">
        <v>8400</v>
      </c>
      <c r="D11" s="75">
        <v>35000</v>
      </c>
      <c r="E11" s="75">
        <v>2342</v>
      </c>
      <c r="F11" s="75">
        <v>9766</v>
      </c>
      <c r="G11" s="75">
        <v>810</v>
      </c>
      <c r="H11" s="75">
        <v>3378</v>
      </c>
      <c r="I11" s="75">
        <v>0</v>
      </c>
      <c r="J11" s="75">
        <v>0</v>
      </c>
      <c r="L11" s="85"/>
      <c r="M11" s="85"/>
      <c r="N11" s="85"/>
      <c r="O11" s="85"/>
      <c r="P11" s="85"/>
      <c r="Q11" s="85"/>
      <c r="R11" s="85"/>
      <c r="S11" s="85"/>
      <c r="T11" s="85"/>
      <c r="U11" s="85"/>
    </row>
    <row r="12" spans="1:260" s="66" customFormat="1" ht="12.5" x14ac:dyDescent="0.35">
      <c r="A12" s="29">
        <v>54</v>
      </c>
      <c r="B12" s="66" t="s">
        <v>9</v>
      </c>
      <c r="C12" s="75">
        <v>2927</v>
      </c>
      <c r="D12" s="75">
        <v>3688</v>
      </c>
      <c r="E12" s="75">
        <v>1656</v>
      </c>
      <c r="F12" s="75">
        <v>2205.5</v>
      </c>
      <c r="G12" s="75">
        <v>1389</v>
      </c>
      <c r="H12" s="75">
        <v>1909.25</v>
      </c>
      <c r="I12" s="75">
        <v>0</v>
      </c>
      <c r="J12" s="75">
        <v>0</v>
      </c>
      <c r="L12" s="85"/>
      <c r="M12" s="85"/>
      <c r="N12" s="85"/>
      <c r="O12" s="85"/>
      <c r="P12" s="85"/>
      <c r="Q12" s="85"/>
      <c r="R12" s="85"/>
      <c r="S12" s="85"/>
      <c r="T12" s="85"/>
      <c r="U12" s="85"/>
    </row>
    <row r="13" spans="1:260" s="66" customFormat="1" ht="12.5" x14ac:dyDescent="0.35">
      <c r="A13" s="29">
        <v>55</v>
      </c>
      <c r="B13" s="66" t="s">
        <v>10</v>
      </c>
      <c r="C13" s="75">
        <v>27181</v>
      </c>
      <c r="D13" s="75">
        <v>14860</v>
      </c>
      <c r="E13" s="75">
        <v>22412</v>
      </c>
      <c r="F13" s="75">
        <v>9771</v>
      </c>
      <c r="G13" s="75">
        <v>8076</v>
      </c>
      <c r="H13" s="75">
        <v>5593</v>
      </c>
      <c r="I13" s="75">
        <v>0</v>
      </c>
      <c r="J13" s="75">
        <v>0</v>
      </c>
      <c r="L13" s="85"/>
      <c r="M13" s="85"/>
      <c r="N13" s="85"/>
      <c r="O13" s="85"/>
      <c r="P13" s="85"/>
      <c r="Q13" s="85"/>
      <c r="R13" s="85"/>
      <c r="S13" s="85"/>
      <c r="T13" s="85"/>
      <c r="U13" s="85"/>
    </row>
    <row r="14" spans="1:260" s="66" customFormat="1" ht="12.5" x14ac:dyDescent="0.35">
      <c r="A14" s="29">
        <v>56</v>
      </c>
      <c r="B14" s="82" t="s">
        <v>11</v>
      </c>
      <c r="C14" s="75">
        <v>23590</v>
      </c>
      <c r="D14" s="94">
        <v>11795.619973718793</v>
      </c>
      <c r="E14" s="75">
        <v>5871</v>
      </c>
      <c r="F14" s="75">
        <v>0</v>
      </c>
      <c r="G14" s="75">
        <v>1049</v>
      </c>
      <c r="H14" s="75">
        <v>0</v>
      </c>
      <c r="I14" s="75">
        <v>967</v>
      </c>
      <c r="J14" s="75">
        <v>0</v>
      </c>
      <c r="L14" s="85"/>
      <c r="M14" s="85"/>
      <c r="N14" s="85"/>
      <c r="O14" s="85"/>
      <c r="P14" s="85"/>
      <c r="Q14" s="85"/>
      <c r="R14" s="85"/>
      <c r="S14" s="85"/>
      <c r="T14" s="85"/>
      <c r="U14" s="85"/>
    </row>
    <row r="15" spans="1:260" s="66" customFormat="1" ht="12.5" x14ac:dyDescent="0.35">
      <c r="A15" s="29">
        <v>57</v>
      </c>
      <c r="B15" s="66" t="s">
        <v>12</v>
      </c>
      <c r="C15" s="75">
        <v>3661</v>
      </c>
      <c r="D15" s="75">
        <v>2335</v>
      </c>
      <c r="E15" s="75">
        <v>0</v>
      </c>
      <c r="F15" s="75">
        <v>0</v>
      </c>
      <c r="G15" s="75">
        <v>0</v>
      </c>
      <c r="H15" s="75">
        <v>0</v>
      </c>
      <c r="I15" s="75">
        <v>1542</v>
      </c>
      <c r="J15" s="75">
        <v>335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</row>
    <row r="16" spans="1:260" s="66" customFormat="1" ht="12.5" x14ac:dyDescent="0.35">
      <c r="A16" s="29">
        <v>59</v>
      </c>
      <c r="B16" s="66" t="s">
        <v>13</v>
      </c>
      <c r="C16" s="75">
        <v>16628</v>
      </c>
      <c r="D16" s="75">
        <v>14027.966666666667</v>
      </c>
      <c r="E16" s="75">
        <v>3912</v>
      </c>
      <c r="F16" s="75">
        <v>3443.3</v>
      </c>
      <c r="G16" s="75">
        <v>0</v>
      </c>
      <c r="H16" s="75">
        <v>0</v>
      </c>
      <c r="I16" s="75">
        <v>997</v>
      </c>
      <c r="J16" s="75">
        <v>821.75</v>
      </c>
      <c r="L16" s="85"/>
      <c r="M16" s="85"/>
      <c r="N16" s="85"/>
      <c r="O16" s="85"/>
      <c r="P16" s="85"/>
      <c r="Q16" s="85"/>
      <c r="R16" s="85"/>
      <c r="S16" s="85"/>
      <c r="T16" s="85"/>
      <c r="U16" s="85"/>
    </row>
    <row r="17" spans="1:21" s="66" customFormat="1" ht="12.5" x14ac:dyDescent="0.35">
      <c r="A17" s="29">
        <v>60</v>
      </c>
      <c r="B17" s="66" t="s">
        <v>14</v>
      </c>
      <c r="C17" s="75">
        <v>9639</v>
      </c>
      <c r="D17" s="75">
        <v>15092</v>
      </c>
      <c r="E17" s="75">
        <v>5295</v>
      </c>
      <c r="F17" s="75">
        <v>8046</v>
      </c>
      <c r="G17" s="75">
        <v>1567</v>
      </c>
      <c r="H17" s="75">
        <v>2725</v>
      </c>
      <c r="I17" s="75">
        <v>6917</v>
      </c>
      <c r="J17" s="75">
        <v>8646</v>
      </c>
      <c r="L17" s="85"/>
      <c r="M17" s="85"/>
      <c r="N17" s="85"/>
      <c r="O17" s="85"/>
      <c r="P17" s="85"/>
      <c r="Q17" s="85"/>
      <c r="R17" s="85"/>
      <c r="S17" s="85"/>
      <c r="T17" s="85"/>
      <c r="U17" s="85"/>
    </row>
    <row r="18" spans="1:21" s="66" customFormat="1" ht="12.5" x14ac:dyDescent="0.35">
      <c r="A18" s="29">
        <v>61</v>
      </c>
      <c r="B18" s="77" t="s">
        <v>53</v>
      </c>
      <c r="C18" s="75">
        <v>3278</v>
      </c>
      <c r="D18" s="75">
        <v>5017</v>
      </c>
      <c r="E18" s="75">
        <v>1752</v>
      </c>
      <c r="F18" s="75">
        <v>2870</v>
      </c>
      <c r="G18" s="75">
        <v>1801</v>
      </c>
      <c r="H18" s="75">
        <v>2798</v>
      </c>
      <c r="I18" s="75">
        <v>0</v>
      </c>
      <c r="J18" s="75">
        <v>0</v>
      </c>
      <c r="L18" s="85"/>
      <c r="M18" s="85"/>
      <c r="N18" s="85"/>
      <c r="O18" s="85"/>
      <c r="P18" s="85"/>
      <c r="Q18" s="85"/>
      <c r="R18" s="85"/>
      <c r="S18" s="85"/>
      <c r="T18" s="85"/>
      <c r="U18" s="85"/>
    </row>
    <row r="19" spans="1:21" s="66" customFormat="1" ht="12.5" x14ac:dyDescent="0.35">
      <c r="A19" s="29">
        <v>62</v>
      </c>
      <c r="B19" s="44" t="s">
        <v>126</v>
      </c>
      <c r="C19" s="43" t="s">
        <v>127</v>
      </c>
      <c r="D19" s="43" t="s">
        <v>127</v>
      </c>
      <c r="E19" s="43" t="s">
        <v>127</v>
      </c>
      <c r="F19" s="43" t="s">
        <v>127</v>
      </c>
      <c r="G19" s="43" t="s">
        <v>127</v>
      </c>
      <c r="H19" s="43" t="s">
        <v>127</v>
      </c>
      <c r="I19" s="43" t="s">
        <v>127</v>
      </c>
      <c r="J19" s="43" t="s">
        <v>127</v>
      </c>
      <c r="L19" s="85"/>
      <c r="M19" s="85"/>
      <c r="N19" s="85"/>
      <c r="O19" s="85"/>
      <c r="P19" s="85"/>
      <c r="Q19" s="85"/>
      <c r="R19" s="85"/>
      <c r="S19" s="85"/>
      <c r="T19" s="85"/>
      <c r="U19" s="85"/>
    </row>
    <row r="20" spans="1:21" s="66" customFormat="1" ht="12.5" x14ac:dyDescent="0.35">
      <c r="A20" s="29">
        <v>58</v>
      </c>
      <c r="B20" s="66" t="s">
        <v>16</v>
      </c>
      <c r="C20" s="75">
        <v>11219</v>
      </c>
      <c r="D20" s="75">
        <v>15964</v>
      </c>
      <c r="E20" s="75">
        <v>7017</v>
      </c>
      <c r="F20" s="75">
        <v>9679</v>
      </c>
      <c r="G20" s="75">
        <v>0</v>
      </c>
      <c r="H20" s="75">
        <v>0</v>
      </c>
      <c r="I20" s="75">
        <v>59</v>
      </c>
      <c r="J20" s="75">
        <v>58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</row>
    <row r="21" spans="1:21" s="66" customFormat="1" ht="12.5" x14ac:dyDescent="0.35">
      <c r="A21" s="29">
        <v>63</v>
      </c>
      <c r="B21" s="66" t="s">
        <v>17</v>
      </c>
      <c r="C21" s="75">
        <v>13311</v>
      </c>
      <c r="D21" s="75">
        <v>9927</v>
      </c>
      <c r="E21" s="75">
        <v>4029</v>
      </c>
      <c r="F21" s="75">
        <v>3022</v>
      </c>
      <c r="G21" s="75">
        <v>247</v>
      </c>
      <c r="H21" s="75">
        <v>185</v>
      </c>
      <c r="I21" s="75">
        <v>0</v>
      </c>
      <c r="J21" s="75">
        <v>0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</row>
    <row r="22" spans="1:21" s="66" customFormat="1" ht="12.5" x14ac:dyDescent="0.35">
      <c r="A22" s="29">
        <v>64</v>
      </c>
      <c r="B22" s="66" t="s">
        <v>18</v>
      </c>
      <c r="C22" s="75">
        <v>10221</v>
      </c>
      <c r="D22" s="75">
        <v>20958</v>
      </c>
      <c r="E22" s="75">
        <v>6021</v>
      </c>
      <c r="F22" s="75">
        <v>11685.75</v>
      </c>
      <c r="G22" s="75">
        <v>4385</v>
      </c>
      <c r="H22" s="75">
        <v>8386.5</v>
      </c>
      <c r="I22" s="75">
        <v>0</v>
      </c>
      <c r="J22" s="75">
        <v>0</v>
      </c>
      <c r="L22" s="85"/>
      <c r="M22" s="85"/>
      <c r="N22" s="85"/>
      <c r="O22" s="85"/>
      <c r="P22" s="85"/>
      <c r="Q22" s="85"/>
      <c r="R22" s="85"/>
      <c r="S22" s="85"/>
      <c r="T22" s="85"/>
      <c r="U22" s="85"/>
    </row>
    <row r="23" spans="1:21" s="66" customFormat="1" ht="12.5" x14ac:dyDescent="0.35">
      <c r="A23" s="29">
        <v>65</v>
      </c>
      <c r="B23" s="66" t="s">
        <v>19</v>
      </c>
      <c r="C23" s="75">
        <v>1963</v>
      </c>
      <c r="D23" s="75">
        <v>2759.75</v>
      </c>
      <c r="E23" s="75">
        <v>862</v>
      </c>
      <c r="F23" s="75">
        <v>1221.07</v>
      </c>
      <c r="G23" s="75">
        <v>492</v>
      </c>
      <c r="H23" s="75">
        <v>705.79</v>
      </c>
      <c r="I23" s="75">
        <v>290</v>
      </c>
      <c r="J23" s="75">
        <v>482</v>
      </c>
      <c r="L23" s="85"/>
      <c r="M23" s="85"/>
      <c r="N23" s="85"/>
      <c r="O23" s="85"/>
      <c r="P23" s="85"/>
      <c r="Q23" s="85"/>
      <c r="R23" s="85"/>
      <c r="S23" s="85"/>
      <c r="T23" s="85"/>
      <c r="U23" s="85"/>
    </row>
    <row r="24" spans="1:21" s="66" customFormat="1" ht="12.5" x14ac:dyDescent="0.35">
      <c r="A24" s="29">
        <v>67</v>
      </c>
      <c r="B24" s="66" t="s">
        <v>20</v>
      </c>
      <c r="C24" s="75">
        <v>2975</v>
      </c>
      <c r="D24" s="75">
        <v>3090</v>
      </c>
      <c r="E24" s="75">
        <v>1625</v>
      </c>
      <c r="F24" s="75">
        <v>1928</v>
      </c>
      <c r="G24" s="75">
        <v>851</v>
      </c>
      <c r="H24" s="75">
        <v>1265</v>
      </c>
      <c r="I24" s="75">
        <v>0</v>
      </c>
      <c r="J24" s="75">
        <v>0</v>
      </c>
      <c r="L24" s="85"/>
      <c r="M24" s="85"/>
      <c r="N24" s="85"/>
      <c r="O24" s="85"/>
      <c r="P24" s="85"/>
      <c r="Q24" s="85"/>
      <c r="R24" s="85"/>
      <c r="S24" s="85"/>
      <c r="T24" s="85"/>
      <c r="U24" s="85"/>
    </row>
    <row r="25" spans="1:21" s="66" customFormat="1" ht="12.5" x14ac:dyDescent="0.35">
      <c r="A25" s="29">
        <v>68</v>
      </c>
      <c r="B25" s="66" t="s">
        <v>23</v>
      </c>
      <c r="C25" s="75">
        <v>10513</v>
      </c>
      <c r="D25" s="75">
        <v>19196</v>
      </c>
      <c r="E25" s="75">
        <v>6677</v>
      </c>
      <c r="F25" s="75">
        <v>14817</v>
      </c>
      <c r="G25" s="75">
        <v>0</v>
      </c>
      <c r="H25" s="75">
        <v>0</v>
      </c>
      <c r="I25" s="75">
        <v>650</v>
      </c>
      <c r="J25" s="75">
        <v>886</v>
      </c>
      <c r="L25" s="85"/>
      <c r="M25" s="85"/>
      <c r="N25" s="85"/>
      <c r="O25" s="85"/>
      <c r="P25" s="85"/>
      <c r="Q25" s="85"/>
      <c r="R25" s="85"/>
      <c r="S25" s="85"/>
      <c r="T25" s="85"/>
      <c r="U25" s="85"/>
    </row>
    <row r="26" spans="1:21" s="66" customFormat="1" ht="12.5" x14ac:dyDescent="0.35">
      <c r="A26" s="29">
        <v>69</v>
      </c>
      <c r="B26" s="66" t="s">
        <v>54</v>
      </c>
      <c r="C26" s="75">
        <v>4816</v>
      </c>
      <c r="D26" s="75">
        <v>8267</v>
      </c>
      <c r="E26" s="75">
        <v>2134</v>
      </c>
      <c r="F26" s="75">
        <v>3663</v>
      </c>
      <c r="G26" s="75">
        <v>1250</v>
      </c>
      <c r="H26" s="75">
        <v>2365</v>
      </c>
      <c r="I26" s="75">
        <v>0</v>
      </c>
      <c r="J26" s="75">
        <v>0</v>
      </c>
      <c r="L26" s="85"/>
      <c r="M26" s="85"/>
      <c r="N26" s="85"/>
      <c r="O26" s="85"/>
      <c r="P26" s="85"/>
      <c r="Q26" s="85"/>
      <c r="R26" s="85"/>
      <c r="S26" s="85"/>
      <c r="T26" s="85"/>
      <c r="U26" s="85"/>
    </row>
    <row r="27" spans="1:21" s="66" customFormat="1" ht="12.5" x14ac:dyDescent="0.35">
      <c r="A27" s="29">
        <v>70</v>
      </c>
      <c r="B27" s="66" t="s">
        <v>25</v>
      </c>
      <c r="C27" s="75">
        <v>5585</v>
      </c>
      <c r="D27" s="75">
        <v>8377.5</v>
      </c>
      <c r="E27" s="75">
        <v>2257</v>
      </c>
      <c r="F27" s="75">
        <v>0</v>
      </c>
      <c r="G27" s="75">
        <v>561</v>
      </c>
      <c r="H27" s="75">
        <v>0</v>
      </c>
      <c r="I27" s="75">
        <v>428</v>
      </c>
      <c r="J27" s="75">
        <v>642</v>
      </c>
      <c r="L27" s="85"/>
      <c r="M27" s="85"/>
      <c r="N27" s="85"/>
      <c r="O27" s="85"/>
      <c r="P27" s="85"/>
      <c r="Q27" s="85"/>
      <c r="R27" s="85"/>
      <c r="S27" s="85"/>
      <c r="T27" s="85"/>
      <c r="U27" s="85"/>
    </row>
    <row r="28" spans="1:21" s="66" customFormat="1" ht="12.5" x14ac:dyDescent="0.35">
      <c r="A28" s="29">
        <v>71</v>
      </c>
      <c r="B28" s="66" t="s">
        <v>26</v>
      </c>
      <c r="C28" s="75">
        <v>9465</v>
      </c>
      <c r="D28" s="75">
        <v>8948</v>
      </c>
      <c r="E28" s="75">
        <v>3991</v>
      </c>
      <c r="F28" s="75">
        <v>3853.75</v>
      </c>
      <c r="G28" s="75">
        <v>1946</v>
      </c>
      <c r="H28" s="75">
        <v>2001</v>
      </c>
      <c r="I28" s="75">
        <v>0</v>
      </c>
      <c r="J28" s="75">
        <v>0</v>
      </c>
      <c r="L28" s="85"/>
      <c r="M28" s="85"/>
      <c r="N28" s="85"/>
      <c r="O28" s="85"/>
      <c r="P28" s="85"/>
      <c r="Q28" s="85"/>
      <c r="R28" s="85"/>
      <c r="S28" s="85"/>
      <c r="T28" s="85"/>
      <c r="U28" s="85"/>
    </row>
    <row r="29" spans="1:21" s="66" customFormat="1" ht="12.5" x14ac:dyDescent="0.35">
      <c r="A29" s="29">
        <v>73</v>
      </c>
      <c r="B29" s="66" t="s">
        <v>55</v>
      </c>
      <c r="C29" s="75">
        <v>423</v>
      </c>
      <c r="D29" s="75">
        <v>300</v>
      </c>
      <c r="E29" s="75">
        <v>85</v>
      </c>
      <c r="F29" s="75">
        <v>61.5</v>
      </c>
      <c r="G29" s="75">
        <v>25</v>
      </c>
      <c r="H29" s="75">
        <v>20.5</v>
      </c>
      <c r="I29" s="75">
        <v>77</v>
      </c>
      <c r="J29" s="75">
        <v>77</v>
      </c>
      <c r="L29" s="85"/>
      <c r="M29" s="85"/>
      <c r="N29" s="85"/>
      <c r="O29" s="85"/>
      <c r="P29" s="85"/>
      <c r="Q29" s="85"/>
      <c r="R29" s="85"/>
      <c r="S29" s="85"/>
      <c r="T29" s="85"/>
      <c r="U29" s="85"/>
    </row>
    <row r="30" spans="1:21" s="66" customFormat="1" ht="12.5" x14ac:dyDescent="0.35">
      <c r="A30" s="29">
        <v>74</v>
      </c>
      <c r="B30" s="66" t="s">
        <v>29</v>
      </c>
      <c r="C30" s="75">
        <v>10503</v>
      </c>
      <c r="D30" s="75">
        <v>8847</v>
      </c>
      <c r="E30" s="75">
        <v>1595</v>
      </c>
      <c r="F30" s="75">
        <v>1353</v>
      </c>
      <c r="G30" s="75">
        <v>4134</v>
      </c>
      <c r="H30" s="75">
        <v>3517</v>
      </c>
      <c r="I30" s="75">
        <v>638</v>
      </c>
      <c r="J30" s="75">
        <v>0</v>
      </c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1:21" s="66" customFormat="1" ht="12.5" x14ac:dyDescent="0.35">
      <c r="A31" s="29">
        <v>75</v>
      </c>
      <c r="B31" s="66" t="s">
        <v>30</v>
      </c>
      <c r="C31" s="75">
        <v>44473</v>
      </c>
      <c r="D31" s="75">
        <v>50114</v>
      </c>
      <c r="E31" s="75">
        <v>20032</v>
      </c>
      <c r="F31" s="75">
        <v>23808</v>
      </c>
      <c r="G31" s="75">
        <v>10504</v>
      </c>
      <c r="H31" s="75">
        <v>16906</v>
      </c>
      <c r="I31" s="75">
        <v>174</v>
      </c>
      <c r="J31" s="75">
        <v>128</v>
      </c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1:21" s="66" customFormat="1" ht="12.5" x14ac:dyDescent="0.35">
      <c r="A32" s="29">
        <v>76</v>
      </c>
      <c r="B32" s="66" t="s">
        <v>31</v>
      </c>
      <c r="C32" s="75">
        <v>3966</v>
      </c>
      <c r="D32" s="75">
        <v>6940.5</v>
      </c>
      <c r="E32" s="75">
        <v>2217</v>
      </c>
      <c r="F32" s="75">
        <v>3880</v>
      </c>
      <c r="G32" s="75">
        <v>898</v>
      </c>
      <c r="H32" s="75">
        <v>1572</v>
      </c>
      <c r="I32" s="75">
        <v>549</v>
      </c>
      <c r="J32" s="75">
        <v>960.75</v>
      </c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1:21" s="66" customFormat="1" ht="12.5" x14ac:dyDescent="0.35">
      <c r="A33" s="29">
        <v>79</v>
      </c>
      <c r="B33" s="66" t="s">
        <v>32</v>
      </c>
      <c r="C33" s="75">
        <v>11337</v>
      </c>
      <c r="D33" s="75">
        <v>17005</v>
      </c>
      <c r="E33" s="75">
        <v>4644</v>
      </c>
      <c r="F33" s="75">
        <v>6966</v>
      </c>
      <c r="G33" s="75">
        <v>1196</v>
      </c>
      <c r="H33" s="75">
        <v>1794</v>
      </c>
      <c r="I33" s="75">
        <v>0</v>
      </c>
      <c r="J33" s="75">
        <v>0</v>
      </c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1:21" s="66" customFormat="1" ht="12.5" x14ac:dyDescent="0.35">
      <c r="A34" s="29">
        <v>80</v>
      </c>
      <c r="B34" s="66" t="s">
        <v>34</v>
      </c>
      <c r="C34" s="75">
        <v>3560</v>
      </c>
      <c r="D34" s="75">
        <v>3874</v>
      </c>
      <c r="E34" s="75">
        <v>2135</v>
      </c>
      <c r="F34" s="75">
        <v>2449</v>
      </c>
      <c r="G34" s="75">
        <v>0</v>
      </c>
      <c r="H34" s="75">
        <v>0</v>
      </c>
      <c r="I34" s="75">
        <v>38</v>
      </c>
      <c r="J34" s="75">
        <v>38</v>
      </c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s="66" customFormat="1" ht="12.5" x14ac:dyDescent="0.35">
      <c r="A35" s="29">
        <v>81</v>
      </c>
      <c r="B35" s="66" t="s">
        <v>35</v>
      </c>
      <c r="C35" s="75">
        <v>2973</v>
      </c>
      <c r="D35" s="75">
        <v>3907</v>
      </c>
      <c r="E35" s="75">
        <v>1319</v>
      </c>
      <c r="F35" s="75">
        <v>1750</v>
      </c>
      <c r="G35" s="75">
        <v>0</v>
      </c>
      <c r="H35" s="75">
        <v>0</v>
      </c>
      <c r="I35" s="75">
        <v>65</v>
      </c>
      <c r="J35" s="75">
        <v>32</v>
      </c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:21" s="66" customFormat="1" ht="12.5" x14ac:dyDescent="0.35">
      <c r="A36" s="29">
        <v>83</v>
      </c>
      <c r="B36" s="66" t="s">
        <v>36</v>
      </c>
      <c r="C36" s="75">
        <v>9952</v>
      </c>
      <c r="D36" s="75">
        <v>6527</v>
      </c>
      <c r="E36" s="75">
        <v>3088</v>
      </c>
      <c r="F36" s="75">
        <v>2058</v>
      </c>
      <c r="G36" s="75">
        <v>1138</v>
      </c>
      <c r="H36" s="75">
        <v>759</v>
      </c>
      <c r="I36" s="75">
        <v>271</v>
      </c>
      <c r="J36" s="75">
        <v>179</v>
      </c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s="66" customFormat="1" ht="12.5" x14ac:dyDescent="0.35">
      <c r="A37" s="29">
        <v>84</v>
      </c>
      <c r="B37" s="66" t="s">
        <v>37</v>
      </c>
      <c r="C37" s="75">
        <v>10086</v>
      </c>
      <c r="D37" s="75">
        <v>9647</v>
      </c>
      <c r="E37" s="75">
        <v>5061</v>
      </c>
      <c r="F37" s="75">
        <v>4894</v>
      </c>
      <c r="G37" s="75">
        <v>709</v>
      </c>
      <c r="H37" s="75">
        <v>736</v>
      </c>
      <c r="I37" s="75">
        <v>0</v>
      </c>
      <c r="J37" s="75">
        <v>0</v>
      </c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1:21" s="66" customFormat="1" ht="12.5" x14ac:dyDescent="0.35">
      <c r="A38" s="29">
        <v>85</v>
      </c>
      <c r="B38" s="66" t="s">
        <v>38</v>
      </c>
      <c r="C38" s="75">
        <v>3442</v>
      </c>
      <c r="D38" s="75">
        <v>6328.85</v>
      </c>
      <c r="E38" s="75">
        <v>1480</v>
      </c>
      <c r="F38" s="75">
        <v>2580</v>
      </c>
      <c r="G38" s="75">
        <v>1117</v>
      </c>
      <c r="H38" s="75">
        <v>2141.1666666666665</v>
      </c>
      <c r="I38" s="75">
        <v>426</v>
      </c>
      <c r="J38" s="75">
        <v>507.58333333333331</v>
      </c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s="66" customFormat="1" ht="12.5" x14ac:dyDescent="0.35">
      <c r="A39" s="29">
        <v>87</v>
      </c>
      <c r="B39" s="66" t="s">
        <v>39</v>
      </c>
      <c r="C39" s="75">
        <v>2618</v>
      </c>
      <c r="D39" s="75">
        <v>7904</v>
      </c>
      <c r="E39" s="75">
        <v>1238</v>
      </c>
      <c r="F39" s="75">
        <v>3534</v>
      </c>
      <c r="G39" s="75" t="s">
        <v>84</v>
      </c>
      <c r="H39" s="75" t="s">
        <v>84</v>
      </c>
      <c r="I39" s="75">
        <v>9</v>
      </c>
      <c r="J39" s="75">
        <v>25</v>
      </c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21" s="66" customFormat="1" ht="12.5" x14ac:dyDescent="0.35">
      <c r="A40" s="29">
        <v>90</v>
      </c>
      <c r="B40" s="66" t="s">
        <v>40</v>
      </c>
      <c r="C40" s="75">
        <v>5629</v>
      </c>
      <c r="D40" s="75">
        <v>7845</v>
      </c>
      <c r="E40" s="75">
        <v>0</v>
      </c>
      <c r="F40" s="75">
        <v>0</v>
      </c>
      <c r="G40" s="75">
        <v>0</v>
      </c>
      <c r="H40" s="75">
        <v>0</v>
      </c>
      <c r="I40" s="75">
        <v>767</v>
      </c>
      <c r="J40" s="75">
        <v>0</v>
      </c>
      <c r="L40" s="85"/>
      <c r="M40" s="85"/>
      <c r="N40" s="85"/>
      <c r="O40" s="85"/>
      <c r="P40" s="85"/>
      <c r="Q40" s="85"/>
      <c r="R40" s="85"/>
      <c r="S40" s="85"/>
      <c r="T40" s="85"/>
      <c r="U40" s="85"/>
    </row>
    <row r="41" spans="1:21" s="66" customFormat="1" ht="12.5" x14ac:dyDescent="0.35">
      <c r="A41" s="29">
        <v>91</v>
      </c>
      <c r="B41" s="66" t="s">
        <v>42</v>
      </c>
      <c r="C41" s="75">
        <v>29630</v>
      </c>
      <c r="D41" s="64" t="s">
        <v>77</v>
      </c>
      <c r="E41" s="75">
        <v>13768</v>
      </c>
      <c r="F41" s="75">
        <v>0</v>
      </c>
      <c r="G41" s="75">
        <v>7400</v>
      </c>
      <c r="H41" s="75">
        <v>0</v>
      </c>
      <c r="I41" s="75">
        <v>0</v>
      </c>
      <c r="J41" s="75">
        <v>0</v>
      </c>
      <c r="L41" s="85"/>
      <c r="M41" s="85"/>
      <c r="N41" s="85"/>
      <c r="O41" s="85"/>
      <c r="P41" s="85"/>
      <c r="Q41" s="85"/>
      <c r="R41" s="85"/>
      <c r="S41" s="85"/>
      <c r="T41" s="85"/>
      <c r="U41" s="85"/>
    </row>
    <row r="42" spans="1:21" s="66" customFormat="1" ht="12.5" x14ac:dyDescent="0.35">
      <c r="A42" s="29">
        <v>92</v>
      </c>
      <c r="B42" s="66" t="s">
        <v>43</v>
      </c>
      <c r="C42" s="75">
        <v>1732</v>
      </c>
      <c r="D42" s="75">
        <v>4704.58</v>
      </c>
      <c r="E42" s="75">
        <v>981</v>
      </c>
      <c r="F42" s="75">
        <v>3105.37</v>
      </c>
      <c r="G42" s="75">
        <v>159</v>
      </c>
      <c r="H42" s="75">
        <v>376.28</v>
      </c>
      <c r="I42" s="75">
        <v>0</v>
      </c>
      <c r="J42" s="75">
        <v>0</v>
      </c>
      <c r="L42" s="85"/>
      <c r="M42" s="85"/>
      <c r="N42" s="85"/>
      <c r="O42" s="85"/>
      <c r="P42" s="85"/>
      <c r="Q42" s="85"/>
      <c r="R42" s="85"/>
      <c r="S42" s="85"/>
      <c r="T42" s="85"/>
      <c r="U42" s="85"/>
    </row>
    <row r="43" spans="1:21" s="66" customFormat="1" ht="12.5" x14ac:dyDescent="0.35">
      <c r="A43" s="29">
        <v>94</v>
      </c>
      <c r="B43" s="66" t="s">
        <v>44</v>
      </c>
      <c r="C43" s="75">
        <v>3340</v>
      </c>
      <c r="D43" s="64" t="s">
        <v>77</v>
      </c>
      <c r="E43" s="75">
        <v>1922</v>
      </c>
      <c r="F43" s="75">
        <v>0</v>
      </c>
      <c r="G43" s="75">
        <v>1326</v>
      </c>
      <c r="H43" s="75">
        <v>0</v>
      </c>
      <c r="I43" s="75">
        <v>89</v>
      </c>
      <c r="J43" s="75">
        <v>0</v>
      </c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spans="1:21" s="66" customFormat="1" ht="12.5" x14ac:dyDescent="0.35">
      <c r="A44" s="29">
        <v>96</v>
      </c>
      <c r="B44" s="66" t="s">
        <v>46</v>
      </c>
      <c r="C44" s="75">
        <v>3758</v>
      </c>
      <c r="D44" s="75">
        <v>3758</v>
      </c>
      <c r="E44" s="75">
        <v>2012</v>
      </c>
      <c r="F44" s="75">
        <v>2012</v>
      </c>
      <c r="G44" s="75">
        <v>527</v>
      </c>
      <c r="H44" s="75">
        <v>527</v>
      </c>
      <c r="I44" s="75">
        <v>164</v>
      </c>
      <c r="J44" s="75">
        <v>164</v>
      </c>
      <c r="L44" s="85"/>
      <c r="M44" s="85"/>
      <c r="N44" s="85"/>
      <c r="O44" s="85"/>
      <c r="P44" s="85"/>
      <c r="Q44" s="85"/>
      <c r="R44" s="85"/>
      <c r="S44" s="85"/>
      <c r="T44" s="85"/>
      <c r="U44" s="85"/>
    </row>
    <row r="45" spans="1:21" s="66" customFormat="1" ht="12.5" x14ac:dyDescent="0.35">
      <c r="A45" s="29">
        <v>98</v>
      </c>
      <c r="B45" s="66" t="s">
        <v>48</v>
      </c>
      <c r="C45" s="75">
        <v>5823</v>
      </c>
      <c r="D45" s="75">
        <v>10167</v>
      </c>
      <c r="E45" s="75">
        <v>2370</v>
      </c>
      <c r="F45" s="75">
        <v>3555</v>
      </c>
      <c r="G45" s="75">
        <v>1418</v>
      </c>
      <c r="H45" s="75">
        <v>2127</v>
      </c>
      <c r="I45" s="75">
        <v>0</v>
      </c>
      <c r="J45" s="75">
        <v>0</v>
      </c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1:21" s="66" customFormat="1" ht="12.5" x14ac:dyDescent="0.35">
      <c r="A46" s="29">
        <v>72</v>
      </c>
      <c r="B46" s="66" t="s">
        <v>50</v>
      </c>
      <c r="C46" s="75">
        <v>4182</v>
      </c>
      <c r="D46" s="75">
        <v>4009.25</v>
      </c>
      <c r="E46" s="75">
        <v>2113</v>
      </c>
      <c r="F46" s="75">
        <v>2025.7162242945958</v>
      </c>
      <c r="G46" s="75">
        <v>559</v>
      </c>
      <c r="H46" s="75">
        <v>535.90883548541365</v>
      </c>
      <c r="I46" s="75">
        <v>611</v>
      </c>
      <c r="J46" s="75">
        <v>262</v>
      </c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1:21" s="71" customFormat="1" ht="26.25" customHeight="1" x14ac:dyDescent="0.35">
      <c r="B47" s="66" t="s">
        <v>28</v>
      </c>
      <c r="C47" s="75">
        <v>107</v>
      </c>
      <c r="D47" s="75">
        <v>66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1:21" s="66" customFormat="1" ht="14" x14ac:dyDescent="0.35">
      <c r="A48" s="29">
        <v>66</v>
      </c>
      <c r="B48" s="71" t="s">
        <v>56</v>
      </c>
      <c r="C48" s="74">
        <v>361976</v>
      </c>
      <c r="D48" s="74">
        <v>408405.83</v>
      </c>
      <c r="E48" s="74">
        <v>123252</v>
      </c>
      <c r="F48" s="74">
        <v>149373.16</v>
      </c>
      <c r="G48" s="74">
        <v>54704</v>
      </c>
      <c r="H48" s="74">
        <v>74359.08</v>
      </c>
      <c r="I48" s="74">
        <v>30236</v>
      </c>
      <c r="J48" s="74">
        <v>19810</v>
      </c>
      <c r="L48" s="85"/>
      <c r="M48" s="85"/>
      <c r="N48" s="85"/>
      <c r="O48" s="85"/>
      <c r="P48" s="85"/>
      <c r="Q48" s="85"/>
      <c r="R48" s="85"/>
      <c r="S48" s="85"/>
      <c r="T48" s="85"/>
      <c r="U48" s="85"/>
    </row>
    <row r="49" spans="1:21" s="66" customFormat="1" ht="14.25" customHeight="1" x14ac:dyDescent="0.35">
      <c r="A49" s="29">
        <v>78</v>
      </c>
      <c r="B49" s="66" t="s">
        <v>22</v>
      </c>
      <c r="C49" s="75">
        <v>77008</v>
      </c>
      <c r="D49" s="75">
        <v>73676</v>
      </c>
      <c r="E49" s="75">
        <v>9928</v>
      </c>
      <c r="F49" s="75">
        <v>10868</v>
      </c>
      <c r="G49" s="75">
        <v>0</v>
      </c>
      <c r="H49" s="75">
        <v>0</v>
      </c>
      <c r="I49" s="75">
        <v>884</v>
      </c>
      <c r="J49" s="75">
        <v>956</v>
      </c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1:21" s="66" customFormat="1" ht="15.75" customHeight="1" x14ac:dyDescent="0.35">
      <c r="A50" s="29">
        <v>89</v>
      </c>
      <c r="B50" s="66" t="s">
        <v>33</v>
      </c>
      <c r="C50" s="75">
        <v>65412</v>
      </c>
      <c r="D50" s="75">
        <v>101311</v>
      </c>
      <c r="E50" s="75">
        <v>25299</v>
      </c>
      <c r="F50" s="75">
        <v>38095</v>
      </c>
      <c r="G50" s="75">
        <v>10089</v>
      </c>
      <c r="H50" s="75">
        <v>15738</v>
      </c>
      <c r="I50" s="75">
        <v>9264</v>
      </c>
      <c r="J50" s="75">
        <v>14822</v>
      </c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s="66" customFormat="1" ht="12.5" x14ac:dyDescent="0.35">
      <c r="A51" s="29">
        <v>93</v>
      </c>
      <c r="B51" s="66" t="s">
        <v>41</v>
      </c>
      <c r="C51" s="75">
        <v>27515</v>
      </c>
      <c r="D51" s="75">
        <v>18343.330000000002</v>
      </c>
      <c r="E51" s="75">
        <v>9895</v>
      </c>
      <c r="F51" s="75">
        <v>6596.66</v>
      </c>
      <c r="G51" s="75">
        <v>5618</v>
      </c>
      <c r="H51" s="75">
        <v>3745.33</v>
      </c>
      <c r="I51" s="75">
        <v>3</v>
      </c>
      <c r="J51" s="75">
        <v>2</v>
      </c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 s="66" customFormat="1" ht="12.5" x14ac:dyDescent="0.35">
      <c r="A52" s="29">
        <v>95</v>
      </c>
      <c r="B52" s="66" t="s">
        <v>57</v>
      </c>
      <c r="C52" s="75">
        <v>30578</v>
      </c>
      <c r="D52" s="75">
        <v>13499</v>
      </c>
      <c r="E52" s="75">
        <v>12484</v>
      </c>
      <c r="F52" s="75">
        <v>5823</v>
      </c>
      <c r="G52" s="75">
        <v>4616</v>
      </c>
      <c r="H52" s="75">
        <v>2571</v>
      </c>
      <c r="I52" s="75">
        <v>19304</v>
      </c>
      <c r="J52" s="75">
        <v>3884</v>
      </c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 s="66" customFormat="1" ht="12.5" x14ac:dyDescent="0.35">
      <c r="A53" s="29">
        <v>97</v>
      </c>
      <c r="B53" s="66" t="s">
        <v>47</v>
      </c>
      <c r="C53" s="75">
        <v>22636</v>
      </c>
      <c r="D53" s="75">
        <v>90544</v>
      </c>
      <c r="E53" s="75">
        <v>10854</v>
      </c>
      <c r="F53" s="75">
        <v>43416</v>
      </c>
      <c r="G53" s="75">
        <v>7727</v>
      </c>
      <c r="H53" s="75">
        <v>30908</v>
      </c>
      <c r="I53" s="75">
        <v>0</v>
      </c>
      <c r="J53" s="75">
        <v>0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</row>
    <row r="54" spans="1:21" s="66" customFormat="1" ht="12.5" x14ac:dyDescent="0.35">
      <c r="A54" s="45">
        <v>77</v>
      </c>
      <c r="B54" s="66" t="s">
        <v>49</v>
      </c>
      <c r="C54" s="75">
        <v>55149</v>
      </c>
      <c r="D54" s="75">
        <v>48274</v>
      </c>
      <c r="E54" s="75">
        <v>20514</v>
      </c>
      <c r="F54" s="75">
        <v>18866</v>
      </c>
      <c r="G54" s="75">
        <v>3505</v>
      </c>
      <c r="H54" s="75">
        <v>4035</v>
      </c>
      <c r="I54" s="75">
        <v>133</v>
      </c>
      <c r="J54" s="75">
        <v>146</v>
      </c>
      <c r="L54" s="85"/>
      <c r="M54" s="85"/>
      <c r="N54" s="85"/>
      <c r="O54" s="85"/>
      <c r="P54" s="85"/>
      <c r="Q54" s="85"/>
      <c r="R54" s="85"/>
      <c r="S54" s="85"/>
      <c r="T54" s="85"/>
      <c r="U54" s="85"/>
    </row>
    <row r="55" spans="1:21" s="66" customFormat="1" ht="6" customHeight="1" x14ac:dyDescent="0.35">
      <c r="B55" s="79" t="s">
        <v>21</v>
      </c>
      <c r="C55" s="80">
        <v>83678</v>
      </c>
      <c r="D55" s="80">
        <v>62758.5</v>
      </c>
      <c r="E55" s="80">
        <v>34278</v>
      </c>
      <c r="F55" s="80">
        <v>25708.5</v>
      </c>
      <c r="G55" s="80">
        <v>23149</v>
      </c>
      <c r="H55" s="80">
        <v>17361.75</v>
      </c>
      <c r="I55" s="80">
        <v>648</v>
      </c>
      <c r="J55" s="80">
        <v>0</v>
      </c>
    </row>
    <row r="56" spans="1:21" s="66" customFormat="1" x14ac:dyDescent="0.35">
      <c r="B56" s="81"/>
      <c r="J56" s="82"/>
    </row>
    <row r="57" spans="1:21" s="66" customFormat="1" ht="15.5" x14ac:dyDescent="0.35">
      <c r="C57" s="86"/>
      <c r="D57" s="87"/>
      <c r="E57" s="87"/>
      <c r="J57" s="82"/>
    </row>
    <row r="58" spans="1:21" ht="15.5" x14ac:dyDescent="0.3">
      <c r="B58" s="83" t="s">
        <v>79</v>
      </c>
      <c r="C58" s="86"/>
      <c r="D58" s="87"/>
      <c r="E58" s="87"/>
      <c r="F58" s="66"/>
      <c r="G58" s="66"/>
      <c r="H58" s="66"/>
      <c r="I58" s="66"/>
      <c r="J58" s="84"/>
    </row>
    <row r="60" spans="1:21" ht="9.75" customHeight="1" x14ac:dyDescent="0.3"/>
  </sheetData>
  <mergeCells count="10">
    <mergeCell ref="L2:M2"/>
    <mergeCell ref="N2:O2"/>
    <mergeCell ref="P2:Q2"/>
    <mergeCell ref="R2:S2"/>
    <mergeCell ref="B1:J1"/>
    <mergeCell ref="B2:B3"/>
    <mergeCell ref="C2:D2"/>
    <mergeCell ref="E2:F2"/>
    <mergeCell ref="G2:H2"/>
    <mergeCell ref="I2:J2"/>
  </mergeCells>
  <conditionalFormatting sqref="L6:U54">
    <cfRule type="cellIs" dxfId="1" priority="1" stopIfTrue="1" operator="lessThan">
      <formula>-0.5</formula>
    </cfRule>
    <cfRule type="cellIs" dxfId="0" priority="2" stopIfTrue="1" operator="greaterThan">
      <formula>0.5</formula>
    </cfRule>
  </conditionalFormatting>
  <pageMargins left="0.48" right="0.31" top="1" bottom="1" header="0.5" footer="0.5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22"/>
  </sheetPr>
  <dimension ref="A1:T61"/>
  <sheetViews>
    <sheetView showGridLines="0" zoomScale="70" zoomScaleNormal="70" workbookViewId="0">
      <pane xSplit="2" ySplit="3" topLeftCell="C4" activePane="bottomRight" state="frozen"/>
      <selection activeCell="G18" sqref="G18"/>
      <selection pane="topRight" activeCell="G18" sqref="G18"/>
      <selection pane="bottomLeft" activeCell="G18" sqref="G18"/>
      <selection pane="bottomRight" activeCell="N21" sqref="N21"/>
    </sheetView>
  </sheetViews>
  <sheetFormatPr defaultRowHeight="13" x14ac:dyDescent="0.3"/>
  <cols>
    <col min="1" max="1" width="2.7265625" style="32" hidden="1" customWidth="1"/>
    <col min="2" max="2" width="25.54296875" style="32" customWidth="1"/>
    <col min="3" max="3" width="11.453125" style="32" customWidth="1"/>
    <col min="4" max="5" width="11.453125" style="52" customWidth="1"/>
    <col min="6" max="6" width="13" style="52" customWidth="1"/>
    <col min="7" max="8" width="11.453125" style="52" customWidth="1"/>
    <col min="9" max="10" width="13.26953125" style="52" customWidth="1"/>
    <col min="11" max="256" width="9.26953125" style="32"/>
    <col min="257" max="257" width="0" style="32" hidden="1" customWidth="1"/>
    <col min="258" max="258" width="25.54296875" style="32" customWidth="1"/>
    <col min="259" max="261" width="11.453125" style="32" customWidth="1"/>
    <col min="262" max="262" width="13" style="32" customWidth="1"/>
    <col min="263" max="264" width="11.453125" style="32" customWidth="1"/>
    <col min="265" max="266" width="13.26953125" style="32" customWidth="1"/>
    <col min="267" max="512" width="9.26953125" style="32"/>
    <col min="513" max="513" width="0" style="32" hidden="1" customWidth="1"/>
    <col min="514" max="514" width="25.54296875" style="32" customWidth="1"/>
    <col min="515" max="517" width="11.453125" style="32" customWidth="1"/>
    <col min="518" max="518" width="13" style="32" customWidth="1"/>
    <col min="519" max="520" width="11.453125" style="32" customWidth="1"/>
    <col min="521" max="522" width="13.26953125" style="32" customWidth="1"/>
    <col min="523" max="768" width="9.26953125" style="32"/>
    <col min="769" max="769" width="0" style="32" hidden="1" customWidth="1"/>
    <col min="770" max="770" width="25.54296875" style="32" customWidth="1"/>
    <col min="771" max="773" width="11.453125" style="32" customWidth="1"/>
    <col min="774" max="774" width="13" style="32" customWidth="1"/>
    <col min="775" max="776" width="11.453125" style="32" customWidth="1"/>
    <col min="777" max="778" width="13.26953125" style="32" customWidth="1"/>
    <col min="779" max="1024" width="9.26953125" style="32"/>
    <col min="1025" max="1025" width="0" style="32" hidden="1" customWidth="1"/>
    <col min="1026" max="1026" width="25.54296875" style="32" customWidth="1"/>
    <col min="1027" max="1029" width="11.453125" style="32" customWidth="1"/>
    <col min="1030" max="1030" width="13" style="32" customWidth="1"/>
    <col min="1031" max="1032" width="11.453125" style="32" customWidth="1"/>
    <col min="1033" max="1034" width="13.26953125" style="32" customWidth="1"/>
    <col min="1035" max="1280" width="9.26953125" style="32"/>
    <col min="1281" max="1281" width="0" style="32" hidden="1" customWidth="1"/>
    <col min="1282" max="1282" width="25.54296875" style="32" customWidth="1"/>
    <col min="1283" max="1285" width="11.453125" style="32" customWidth="1"/>
    <col min="1286" max="1286" width="13" style="32" customWidth="1"/>
    <col min="1287" max="1288" width="11.453125" style="32" customWidth="1"/>
    <col min="1289" max="1290" width="13.26953125" style="32" customWidth="1"/>
    <col min="1291" max="1536" width="9.26953125" style="32"/>
    <col min="1537" max="1537" width="0" style="32" hidden="1" customWidth="1"/>
    <col min="1538" max="1538" width="25.54296875" style="32" customWidth="1"/>
    <col min="1539" max="1541" width="11.453125" style="32" customWidth="1"/>
    <col min="1542" max="1542" width="13" style="32" customWidth="1"/>
    <col min="1543" max="1544" width="11.453125" style="32" customWidth="1"/>
    <col min="1545" max="1546" width="13.26953125" style="32" customWidth="1"/>
    <col min="1547" max="1792" width="9.26953125" style="32"/>
    <col min="1793" max="1793" width="0" style="32" hidden="1" customWidth="1"/>
    <col min="1794" max="1794" width="25.54296875" style="32" customWidth="1"/>
    <col min="1795" max="1797" width="11.453125" style="32" customWidth="1"/>
    <col min="1798" max="1798" width="13" style="32" customWidth="1"/>
    <col min="1799" max="1800" width="11.453125" style="32" customWidth="1"/>
    <col min="1801" max="1802" width="13.26953125" style="32" customWidth="1"/>
    <col min="1803" max="2048" width="9.26953125" style="32"/>
    <col min="2049" max="2049" width="0" style="32" hidden="1" customWidth="1"/>
    <col min="2050" max="2050" width="25.54296875" style="32" customWidth="1"/>
    <col min="2051" max="2053" width="11.453125" style="32" customWidth="1"/>
    <col min="2054" max="2054" width="13" style="32" customWidth="1"/>
    <col min="2055" max="2056" width="11.453125" style="32" customWidth="1"/>
    <col min="2057" max="2058" width="13.26953125" style="32" customWidth="1"/>
    <col min="2059" max="2304" width="9.26953125" style="32"/>
    <col min="2305" max="2305" width="0" style="32" hidden="1" customWidth="1"/>
    <col min="2306" max="2306" width="25.54296875" style="32" customWidth="1"/>
    <col min="2307" max="2309" width="11.453125" style="32" customWidth="1"/>
    <col min="2310" max="2310" width="13" style="32" customWidth="1"/>
    <col min="2311" max="2312" width="11.453125" style="32" customWidth="1"/>
    <col min="2313" max="2314" width="13.26953125" style="32" customWidth="1"/>
    <col min="2315" max="2560" width="9.26953125" style="32"/>
    <col min="2561" max="2561" width="0" style="32" hidden="1" customWidth="1"/>
    <col min="2562" max="2562" width="25.54296875" style="32" customWidth="1"/>
    <col min="2563" max="2565" width="11.453125" style="32" customWidth="1"/>
    <col min="2566" max="2566" width="13" style="32" customWidth="1"/>
    <col min="2567" max="2568" width="11.453125" style="32" customWidth="1"/>
    <col min="2569" max="2570" width="13.26953125" style="32" customWidth="1"/>
    <col min="2571" max="2816" width="9.26953125" style="32"/>
    <col min="2817" max="2817" width="0" style="32" hidden="1" customWidth="1"/>
    <col min="2818" max="2818" width="25.54296875" style="32" customWidth="1"/>
    <col min="2819" max="2821" width="11.453125" style="32" customWidth="1"/>
    <col min="2822" max="2822" width="13" style="32" customWidth="1"/>
    <col min="2823" max="2824" width="11.453125" style="32" customWidth="1"/>
    <col min="2825" max="2826" width="13.26953125" style="32" customWidth="1"/>
    <col min="2827" max="3072" width="9.26953125" style="32"/>
    <col min="3073" max="3073" width="0" style="32" hidden="1" customWidth="1"/>
    <col min="3074" max="3074" width="25.54296875" style="32" customWidth="1"/>
    <col min="3075" max="3077" width="11.453125" style="32" customWidth="1"/>
    <col min="3078" max="3078" width="13" style="32" customWidth="1"/>
    <col min="3079" max="3080" width="11.453125" style="32" customWidth="1"/>
    <col min="3081" max="3082" width="13.26953125" style="32" customWidth="1"/>
    <col min="3083" max="3328" width="9.26953125" style="32"/>
    <col min="3329" max="3329" width="0" style="32" hidden="1" customWidth="1"/>
    <col min="3330" max="3330" width="25.54296875" style="32" customWidth="1"/>
    <col min="3331" max="3333" width="11.453125" style="32" customWidth="1"/>
    <col min="3334" max="3334" width="13" style="32" customWidth="1"/>
    <col min="3335" max="3336" width="11.453125" style="32" customWidth="1"/>
    <col min="3337" max="3338" width="13.26953125" style="32" customWidth="1"/>
    <col min="3339" max="3584" width="9.26953125" style="32"/>
    <col min="3585" max="3585" width="0" style="32" hidden="1" customWidth="1"/>
    <col min="3586" max="3586" width="25.54296875" style="32" customWidth="1"/>
    <col min="3587" max="3589" width="11.453125" style="32" customWidth="1"/>
    <col min="3590" max="3590" width="13" style="32" customWidth="1"/>
    <col min="3591" max="3592" width="11.453125" style="32" customWidth="1"/>
    <col min="3593" max="3594" width="13.26953125" style="32" customWidth="1"/>
    <col min="3595" max="3840" width="9.26953125" style="32"/>
    <col min="3841" max="3841" width="0" style="32" hidden="1" customWidth="1"/>
    <col min="3842" max="3842" width="25.54296875" style="32" customWidth="1"/>
    <col min="3843" max="3845" width="11.453125" style="32" customWidth="1"/>
    <col min="3846" max="3846" width="13" style="32" customWidth="1"/>
    <col min="3847" max="3848" width="11.453125" style="32" customWidth="1"/>
    <col min="3849" max="3850" width="13.26953125" style="32" customWidth="1"/>
    <col min="3851" max="4096" width="9.26953125" style="32"/>
    <col min="4097" max="4097" width="0" style="32" hidden="1" customWidth="1"/>
    <col min="4098" max="4098" width="25.54296875" style="32" customWidth="1"/>
    <col min="4099" max="4101" width="11.453125" style="32" customWidth="1"/>
    <col min="4102" max="4102" width="13" style="32" customWidth="1"/>
    <col min="4103" max="4104" width="11.453125" style="32" customWidth="1"/>
    <col min="4105" max="4106" width="13.26953125" style="32" customWidth="1"/>
    <col min="4107" max="4352" width="9.26953125" style="32"/>
    <col min="4353" max="4353" width="0" style="32" hidden="1" customWidth="1"/>
    <col min="4354" max="4354" width="25.54296875" style="32" customWidth="1"/>
    <col min="4355" max="4357" width="11.453125" style="32" customWidth="1"/>
    <col min="4358" max="4358" width="13" style="32" customWidth="1"/>
    <col min="4359" max="4360" width="11.453125" style="32" customWidth="1"/>
    <col min="4361" max="4362" width="13.26953125" style="32" customWidth="1"/>
    <col min="4363" max="4608" width="9.26953125" style="32"/>
    <col min="4609" max="4609" width="0" style="32" hidden="1" customWidth="1"/>
    <col min="4610" max="4610" width="25.54296875" style="32" customWidth="1"/>
    <col min="4611" max="4613" width="11.453125" style="32" customWidth="1"/>
    <col min="4614" max="4614" width="13" style="32" customWidth="1"/>
    <col min="4615" max="4616" width="11.453125" style="32" customWidth="1"/>
    <col min="4617" max="4618" width="13.26953125" style="32" customWidth="1"/>
    <col min="4619" max="4864" width="9.26953125" style="32"/>
    <col min="4865" max="4865" width="0" style="32" hidden="1" customWidth="1"/>
    <col min="4866" max="4866" width="25.54296875" style="32" customWidth="1"/>
    <col min="4867" max="4869" width="11.453125" style="32" customWidth="1"/>
    <col min="4870" max="4870" width="13" style="32" customWidth="1"/>
    <col min="4871" max="4872" width="11.453125" style="32" customWidth="1"/>
    <col min="4873" max="4874" width="13.26953125" style="32" customWidth="1"/>
    <col min="4875" max="5120" width="9.26953125" style="32"/>
    <col min="5121" max="5121" width="0" style="32" hidden="1" customWidth="1"/>
    <col min="5122" max="5122" width="25.54296875" style="32" customWidth="1"/>
    <col min="5123" max="5125" width="11.453125" style="32" customWidth="1"/>
    <col min="5126" max="5126" width="13" style="32" customWidth="1"/>
    <col min="5127" max="5128" width="11.453125" style="32" customWidth="1"/>
    <col min="5129" max="5130" width="13.26953125" style="32" customWidth="1"/>
    <col min="5131" max="5376" width="9.26953125" style="32"/>
    <col min="5377" max="5377" width="0" style="32" hidden="1" customWidth="1"/>
    <col min="5378" max="5378" width="25.54296875" style="32" customWidth="1"/>
    <col min="5379" max="5381" width="11.453125" style="32" customWidth="1"/>
    <col min="5382" max="5382" width="13" style="32" customWidth="1"/>
    <col min="5383" max="5384" width="11.453125" style="32" customWidth="1"/>
    <col min="5385" max="5386" width="13.26953125" style="32" customWidth="1"/>
    <col min="5387" max="5632" width="9.26953125" style="32"/>
    <col min="5633" max="5633" width="0" style="32" hidden="1" customWidth="1"/>
    <col min="5634" max="5634" width="25.54296875" style="32" customWidth="1"/>
    <col min="5635" max="5637" width="11.453125" style="32" customWidth="1"/>
    <col min="5638" max="5638" width="13" style="32" customWidth="1"/>
    <col min="5639" max="5640" width="11.453125" style="32" customWidth="1"/>
    <col min="5641" max="5642" width="13.26953125" style="32" customWidth="1"/>
    <col min="5643" max="5888" width="9.26953125" style="32"/>
    <col min="5889" max="5889" width="0" style="32" hidden="1" customWidth="1"/>
    <col min="5890" max="5890" width="25.54296875" style="32" customWidth="1"/>
    <col min="5891" max="5893" width="11.453125" style="32" customWidth="1"/>
    <col min="5894" max="5894" width="13" style="32" customWidth="1"/>
    <col min="5895" max="5896" width="11.453125" style="32" customWidth="1"/>
    <col min="5897" max="5898" width="13.26953125" style="32" customWidth="1"/>
    <col min="5899" max="6144" width="9.26953125" style="32"/>
    <col min="6145" max="6145" width="0" style="32" hidden="1" customWidth="1"/>
    <col min="6146" max="6146" width="25.54296875" style="32" customWidth="1"/>
    <col min="6147" max="6149" width="11.453125" style="32" customWidth="1"/>
    <col min="6150" max="6150" width="13" style="32" customWidth="1"/>
    <col min="6151" max="6152" width="11.453125" style="32" customWidth="1"/>
    <col min="6153" max="6154" width="13.26953125" style="32" customWidth="1"/>
    <col min="6155" max="6400" width="9.26953125" style="32"/>
    <col min="6401" max="6401" width="0" style="32" hidden="1" customWidth="1"/>
    <col min="6402" max="6402" width="25.54296875" style="32" customWidth="1"/>
    <col min="6403" max="6405" width="11.453125" style="32" customWidth="1"/>
    <col min="6406" max="6406" width="13" style="32" customWidth="1"/>
    <col min="6407" max="6408" width="11.453125" style="32" customWidth="1"/>
    <col min="6409" max="6410" width="13.26953125" style="32" customWidth="1"/>
    <col min="6411" max="6656" width="9.26953125" style="32"/>
    <col min="6657" max="6657" width="0" style="32" hidden="1" customWidth="1"/>
    <col min="6658" max="6658" width="25.54296875" style="32" customWidth="1"/>
    <col min="6659" max="6661" width="11.453125" style="32" customWidth="1"/>
    <col min="6662" max="6662" width="13" style="32" customWidth="1"/>
    <col min="6663" max="6664" width="11.453125" style="32" customWidth="1"/>
    <col min="6665" max="6666" width="13.26953125" style="32" customWidth="1"/>
    <col min="6667" max="6912" width="9.26953125" style="32"/>
    <col min="6913" max="6913" width="0" style="32" hidden="1" customWidth="1"/>
    <col min="6914" max="6914" width="25.54296875" style="32" customWidth="1"/>
    <col min="6915" max="6917" width="11.453125" style="32" customWidth="1"/>
    <col min="6918" max="6918" width="13" style="32" customWidth="1"/>
    <col min="6919" max="6920" width="11.453125" style="32" customWidth="1"/>
    <col min="6921" max="6922" width="13.26953125" style="32" customWidth="1"/>
    <col min="6923" max="7168" width="9.26953125" style="32"/>
    <col min="7169" max="7169" width="0" style="32" hidden="1" customWidth="1"/>
    <col min="7170" max="7170" width="25.54296875" style="32" customWidth="1"/>
    <col min="7171" max="7173" width="11.453125" style="32" customWidth="1"/>
    <col min="7174" max="7174" width="13" style="32" customWidth="1"/>
    <col min="7175" max="7176" width="11.453125" style="32" customWidth="1"/>
    <col min="7177" max="7178" width="13.26953125" style="32" customWidth="1"/>
    <col min="7179" max="7424" width="9.26953125" style="32"/>
    <col min="7425" max="7425" width="0" style="32" hidden="1" customWidth="1"/>
    <col min="7426" max="7426" width="25.54296875" style="32" customWidth="1"/>
    <col min="7427" max="7429" width="11.453125" style="32" customWidth="1"/>
    <col min="7430" max="7430" width="13" style="32" customWidth="1"/>
    <col min="7431" max="7432" width="11.453125" style="32" customWidth="1"/>
    <col min="7433" max="7434" width="13.26953125" style="32" customWidth="1"/>
    <col min="7435" max="7680" width="9.26953125" style="32"/>
    <col min="7681" max="7681" width="0" style="32" hidden="1" customWidth="1"/>
    <col min="7682" max="7682" width="25.54296875" style="32" customWidth="1"/>
    <col min="7683" max="7685" width="11.453125" style="32" customWidth="1"/>
    <col min="7686" max="7686" width="13" style="32" customWidth="1"/>
    <col min="7687" max="7688" width="11.453125" style="32" customWidth="1"/>
    <col min="7689" max="7690" width="13.26953125" style="32" customWidth="1"/>
    <col min="7691" max="7936" width="9.26953125" style="32"/>
    <col min="7937" max="7937" width="0" style="32" hidden="1" customWidth="1"/>
    <col min="7938" max="7938" width="25.54296875" style="32" customWidth="1"/>
    <col min="7939" max="7941" width="11.453125" style="32" customWidth="1"/>
    <col min="7942" max="7942" width="13" style="32" customWidth="1"/>
    <col min="7943" max="7944" width="11.453125" style="32" customWidth="1"/>
    <col min="7945" max="7946" width="13.26953125" style="32" customWidth="1"/>
    <col min="7947" max="8192" width="9.26953125" style="32"/>
    <col min="8193" max="8193" width="0" style="32" hidden="1" customWidth="1"/>
    <col min="8194" max="8194" width="25.54296875" style="32" customWidth="1"/>
    <col min="8195" max="8197" width="11.453125" style="32" customWidth="1"/>
    <col min="8198" max="8198" width="13" style="32" customWidth="1"/>
    <col min="8199" max="8200" width="11.453125" style="32" customWidth="1"/>
    <col min="8201" max="8202" width="13.26953125" style="32" customWidth="1"/>
    <col min="8203" max="8448" width="9.26953125" style="32"/>
    <col min="8449" max="8449" width="0" style="32" hidden="1" customWidth="1"/>
    <col min="8450" max="8450" width="25.54296875" style="32" customWidth="1"/>
    <col min="8451" max="8453" width="11.453125" style="32" customWidth="1"/>
    <col min="8454" max="8454" width="13" style="32" customWidth="1"/>
    <col min="8455" max="8456" width="11.453125" style="32" customWidth="1"/>
    <col min="8457" max="8458" width="13.26953125" style="32" customWidth="1"/>
    <col min="8459" max="8704" width="9.26953125" style="32"/>
    <col min="8705" max="8705" width="0" style="32" hidden="1" customWidth="1"/>
    <col min="8706" max="8706" width="25.54296875" style="32" customWidth="1"/>
    <col min="8707" max="8709" width="11.453125" style="32" customWidth="1"/>
    <col min="8710" max="8710" width="13" style="32" customWidth="1"/>
    <col min="8711" max="8712" width="11.453125" style="32" customWidth="1"/>
    <col min="8713" max="8714" width="13.26953125" style="32" customWidth="1"/>
    <col min="8715" max="8960" width="9.26953125" style="32"/>
    <col min="8961" max="8961" width="0" style="32" hidden="1" customWidth="1"/>
    <col min="8962" max="8962" width="25.54296875" style="32" customWidth="1"/>
    <col min="8963" max="8965" width="11.453125" style="32" customWidth="1"/>
    <col min="8966" max="8966" width="13" style="32" customWidth="1"/>
    <col min="8967" max="8968" width="11.453125" style="32" customWidth="1"/>
    <col min="8969" max="8970" width="13.26953125" style="32" customWidth="1"/>
    <col min="8971" max="9216" width="9.26953125" style="32"/>
    <col min="9217" max="9217" width="0" style="32" hidden="1" customWidth="1"/>
    <col min="9218" max="9218" width="25.54296875" style="32" customWidth="1"/>
    <col min="9219" max="9221" width="11.453125" style="32" customWidth="1"/>
    <col min="9222" max="9222" width="13" style="32" customWidth="1"/>
    <col min="9223" max="9224" width="11.453125" style="32" customWidth="1"/>
    <col min="9225" max="9226" width="13.26953125" style="32" customWidth="1"/>
    <col min="9227" max="9472" width="9.26953125" style="32"/>
    <col min="9473" max="9473" width="0" style="32" hidden="1" customWidth="1"/>
    <col min="9474" max="9474" width="25.54296875" style="32" customWidth="1"/>
    <col min="9475" max="9477" width="11.453125" style="32" customWidth="1"/>
    <col min="9478" max="9478" width="13" style="32" customWidth="1"/>
    <col min="9479" max="9480" width="11.453125" style="32" customWidth="1"/>
    <col min="9481" max="9482" width="13.26953125" style="32" customWidth="1"/>
    <col min="9483" max="9728" width="9.26953125" style="32"/>
    <col min="9729" max="9729" width="0" style="32" hidden="1" customWidth="1"/>
    <col min="9730" max="9730" width="25.54296875" style="32" customWidth="1"/>
    <col min="9731" max="9733" width="11.453125" style="32" customWidth="1"/>
    <col min="9734" max="9734" width="13" style="32" customWidth="1"/>
    <col min="9735" max="9736" width="11.453125" style="32" customWidth="1"/>
    <col min="9737" max="9738" width="13.26953125" style="32" customWidth="1"/>
    <col min="9739" max="9984" width="9.26953125" style="32"/>
    <col min="9985" max="9985" width="0" style="32" hidden="1" customWidth="1"/>
    <col min="9986" max="9986" width="25.54296875" style="32" customWidth="1"/>
    <col min="9987" max="9989" width="11.453125" style="32" customWidth="1"/>
    <col min="9990" max="9990" width="13" style="32" customWidth="1"/>
    <col min="9991" max="9992" width="11.453125" style="32" customWidth="1"/>
    <col min="9993" max="9994" width="13.26953125" style="32" customWidth="1"/>
    <col min="9995" max="10240" width="9.26953125" style="32"/>
    <col min="10241" max="10241" width="0" style="32" hidden="1" customWidth="1"/>
    <col min="10242" max="10242" width="25.54296875" style="32" customWidth="1"/>
    <col min="10243" max="10245" width="11.453125" style="32" customWidth="1"/>
    <col min="10246" max="10246" width="13" style="32" customWidth="1"/>
    <col min="10247" max="10248" width="11.453125" style="32" customWidth="1"/>
    <col min="10249" max="10250" width="13.26953125" style="32" customWidth="1"/>
    <col min="10251" max="10496" width="9.26953125" style="32"/>
    <col min="10497" max="10497" width="0" style="32" hidden="1" customWidth="1"/>
    <col min="10498" max="10498" width="25.54296875" style="32" customWidth="1"/>
    <col min="10499" max="10501" width="11.453125" style="32" customWidth="1"/>
    <col min="10502" max="10502" width="13" style="32" customWidth="1"/>
    <col min="10503" max="10504" width="11.453125" style="32" customWidth="1"/>
    <col min="10505" max="10506" width="13.26953125" style="32" customWidth="1"/>
    <col min="10507" max="10752" width="9.26953125" style="32"/>
    <col min="10753" max="10753" width="0" style="32" hidden="1" customWidth="1"/>
    <col min="10754" max="10754" width="25.54296875" style="32" customWidth="1"/>
    <col min="10755" max="10757" width="11.453125" style="32" customWidth="1"/>
    <col min="10758" max="10758" width="13" style="32" customWidth="1"/>
    <col min="10759" max="10760" width="11.453125" style="32" customWidth="1"/>
    <col min="10761" max="10762" width="13.26953125" style="32" customWidth="1"/>
    <col min="10763" max="11008" width="9.26953125" style="32"/>
    <col min="11009" max="11009" width="0" style="32" hidden="1" customWidth="1"/>
    <col min="11010" max="11010" width="25.54296875" style="32" customWidth="1"/>
    <col min="11011" max="11013" width="11.453125" style="32" customWidth="1"/>
    <col min="11014" max="11014" width="13" style="32" customWidth="1"/>
    <col min="11015" max="11016" width="11.453125" style="32" customWidth="1"/>
    <col min="11017" max="11018" width="13.26953125" style="32" customWidth="1"/>
    <col min="11019" max="11264" width="9.26953125" style="32"/>
    <col min="11265" max="11265" width="0" style="32" hidden="1" customWidth="1"/>
    <col min="11266" max="11266" width="25.54296875" style="32" customWidth="1"/>
    <col min="11267" max="11269" width="11.453125" style="32" customWidth="1"/>
    <col min="11270" max="11270" width="13" style="32" customWidth="1"/>
    <col min="11271" max="11272" width="11.453125" style="32" customWidth="1"/>
    <col min="11273" max="11274" width="13.26953125" style="32" customWidth="1"/>
    <col min="11275" max="11520" width="9.26953125" style="32"/>
    <col min="11521" max="11521" width="0" style="32" hidden="1" customWidth="1"/>
    <col min="11522" max="11522" width="25.54296875" style="32" customWidth="1"/>
    <col min="11523" max="11525" width="11.453125" style="32" customWidth="1"/>
    <col min="11526" max="11526" width="13" style="32" customWidth="1"/>
    <col min="11527" max="11528" width="11.453125" style="32" customWidth="1"/>
    <col min="11529" max="11530" width="13.26953125" style="32" customWidth="1"/>
    <col min="11531" max="11776" width="9.26953125" style="32"/>
    <col min="11777" max="11777" width="0" style="32" hidden="1" customWidth="1"/>
    <col min="11778" max="11778" width="25.54296875" style="32" customWidth="1"/>
    <col min="11779" max="11781" width="11.453125" style="32" customWidth="1"/>
    <col min="11782" max="11782" width="13" style="32" customWidth="1"/>
    <col min="11783" max="11784" width="11.453125" style="32" customWidth="1"/>
    <col min="11785" max="11786" width="13.26953125" style="32" customWidth="1"/>
    <col min="11787" max="12032" width="9.26953125" style="32"/>
    <col min="12033" max="12033" width="0" style="32" hidden="1" customWidth="1"/>
    <col min="12034" max="12034" width="25.54296875" style="32" customWidth="1"/>
    <col min="12035" max="12037" width="11.453125" style="32" customWidth="1"/>
    <col min="12038" max="12038" width="13" style="32" customWidth="1"/>
    <col min="12039" max="12040" width="11.453125" style="32" customWidth="1"/>
    <col min="12041" max="12042" width="13.26953125" style="32" customWidth="1"/>
    <col min="12043" max="12288" width="9.26953125" style="32"/>
    <col min="12289" max="12289" width="0" style="32" hidden="1" customWidth="1"/>
    <col min="12290" max="12290" width="25.54296875" style="32" customWidth="1"/>
    <col min="12291" max="12293" width="11.453125" style="32" customWidth="1"/>
    <col min="12294" max="12294" width="13" style="32" customWidth="1"/>
    <col min="12295" max="12296" width="11.453125" style="32" customWidth="1"/>
    <col min="12297" max="12298" width="13.26953125" style="32" customWidth="1"/>
    <col min="12299" max="12544" width="9.26953125" style="32"/>
    <col min="12545" max="12545" width="0" style="32" hidden="1" customWidth="1"/>
    <col min="12546" max="12546" width="25.54296875" style="32" customWidth="1"/>
    <col min="12547" max="12549" width="11.453125" style="32" customWidth="1"/>
    <col min="12550" max="12550" width="13" style="32" customWidth="1"/>
    <col min="12551" max="12552" width="11.453125" style="32" customWidth="1"/>
    <col min="12553" max="12554" width="13.26953125" style="32" customWidth="1"/>
    <col min="12555" max="12800" width="9.26953125" style="32"/>
    <col min="12801" max="12801" width="0" style="32" hidden="1" customWidth="1"/>
    <col min="12802" max="12802" width="25.54296875" style="32" customWidth="1"/>
    <col min="12803" max="12805" width="11.453125" style="32" customWidth="1"/>
    <col min="12806" max="12806" width="13" style="32" customWidth="1"/>
    <col min="12807" max="12808" width="11.453125" style="32" customWidth="1"/>
    <col min="12809" max="12810" width="13.26953125" style="32" customWidth="1"/>
    <col min="12811" max="13056" width="9.26953125" style="32"/>
    <col min="13057" max="13057" width="0" style="32" hidden="1" customWidth="1"/>
    <col min="13058" max="13058" width="25.54296875" style="32" customWidth="1"/>
    <col min="13059" max="13061" width="11.453125" style="32" customWidth="1"/>
    <col min="13062" max="13062" width="13" style="32" customWidth="1"/>
    <col min="13063" max="13064" width="11.453125" style="32" customWidth="1"/>
    <col min="13065" max="13066" width="13.26953125" style="32" customWidth="1"/>
    <col min="13067" max="13312" width="9.26953125" style="32"/>
    <col min="13313" max="13313" width="0" style="32" hidden="1" customWidth="1"/>
    <col min="13314" max="13314" width="25.54296875" style="32" customWidth="1"/>
    <col min="13315" max="13317" width="11.453125" style="32" customWidth="1"/>
    <col min="13318" max="13318" width="13" style="32" customWidth="1"/>
    <col min="13319" max="13320" width="11.453125" style="32" customWidth="1"/>
    <col min="13321" max="13322" width="13.26953125" style="32" customWidth="1"/>
    <col min="13323" max="13568" width="9.26953125" style="32"/>
    <col min="13569" max="13569" width="0" style="32" hidden="1" customWidth="1"/>
    <col min="13570" max="13570" width="25.54296875" style="32" customWidth="1"/>
    <col min="13571" max="13573" width="11.453125" style="32" customWidth="1"/>
    <col min="13574" max="13574" width="13" style="32" customWidth="1"/>
    <col min="13575" max="13576" width="11.453125" style="32" customWidth="1"/>
    <col min="13577" max="13578" width="13.26953125" style="32" customWidth="1"/>
    <col min="13579" max="13824" width="9.26953125" style="32"/>
    <col min="13825" max="13825" width="0" style="32" hidden="1" customWidth="1"/>
    <col min="13826" max="13826" width="25.54296875" style="32" customWidth="1"/>
    <col min="13827" max="13829" width="11.453125" style="32" customWidth="1"/>
    <col min="13830" max="13830" width="13" style="32" customWidth="1"/>
    <col min="13831" max="13832" width="11.453125" style="32" customWidth="1"/>
    <col min="13833" max="13834" width="13.26953125" style="32" customWidth="1"/>
    <col min="13835" max="14080" width="9.26953125" style="32"/>
    <col min="14081" max="14081" width="0" style="32" hidden="1" customWidth="1"/>
    <col min="14082" max="14082" width="25.54296875" style="32" customWidth="1"/>
    <col min="14083" max="14085" width="11.453125" style="32" customWidth="1"/>
    <col min="14086" max="14086" width="13" style="32" customWidth="1"/>
    <col min="14087" max="14088" width="11.453125" style="32" customWidth="1"/>
    <col min="14089" max="14090" width="13.26953125" style="32" customWidth="1"/>
    <col min="14091" max="14336" width="9.26953125" style="32"/>
    <col min="14337" max="14337" width="0" style="32" hidden="1" customWidth="1"/>
    <col min="14338" max="14338" width="25.54296875" style="32" customWidth="1"/>
    <col min="14339" max="14341" width="11.453125" style="32" customWidth="1"/>
    <col min="14342" max="14342" width="13" style="32" customWidth="1"/>
    <col min="14343" max="14344" width="11.453125" style="32" customWidth="1"/>
    <col min="14345" max="14346" width="13.26953125" style="32" customWidth="1"/>
    <col min="14347" max="14592" width="9.26953125" style="32"/>
    <col min="14593" max="14593" width="0" style="32" hidden="1" customWidth="1"/>
    <col min="14594" max="14594" width="25.54296875" style="32" customWidth="1"/>
    <col min="14595" max="14597" width="11.453125" style="32" customWidth="1"/>
    <col min="14598" max="14598" width="13" style="32" customWidth="1"/>
    <col min="14599" max="14600" width="11.453125" style="32" customWidth="1"/>
    <col min="14601" max="14602" width="13.26953125" style="32" customWidth="1"/>
    <col min="14603" max="14848" width="9.26953125" style="32"/>
    <col min="14849" max="14849" width="0" style="32" hidden="1" customWidth="1"/>
    <col min="14850" max="14850" width="25.54296875" style="32" customWidth="1"/>
    <col min="14851" max="14853" width="11.453125" style="32" customWidth="1"/>
    <col min="14854" max="14854" width="13" style="32" customWidth="1"/>
    <col min="14855" max="14856" width="11.453125" style="32" customWidth="1"/>
    <col min="14857" max="14858" width="13.26953125" style="32" customWidth="1"/>
    <col min="14859" max="15104" width="9.26953125" style="32"/>
    <col min="15105" max="15105" width="0" style="32" hidden="1" customWidth="1"/>
    <col min="15106" max="15106" width="25.54296875" style="32" customWidth="1"/>
    <col min="15107" max="15109" width="11.453125" style="32" customWidth="1"/>
    <col min="15110" max="15110" width="13" style="32" customWidth="1"/>
    <col min="15111" max="15112" width="11.453125" style="32" customWidth="1"/>
    <col min="15113" max="15114" width="13.26953125" style="32" customWidth="1"/>
    <col min="15115" max="15360" width="9.26953125" style="32"/>
    <col min="15361" max="15361" width="0" style="32" hidden="1" customWidth="1"/>
    <col min="15362" max="15362" width="25.54296875" style="32" customWidth="1"/>
    <col min="15363" max="15365" width="11.453125" style="32" customWidth="1"/>
    <col min="15366" max="15366" width="13" style="32" customWidth="1"/>
    <col min="15367" max="15368" width="11.453125" style="32" customWidth="1"/>
    <col min="15369" max="15370" width="13.26953125" style="32" customWidth="1"/>
    <col min="15371" max="15616" width="9.26953125" style="32"/>
    <col min="15617" max="15617" width="0" style="32" hidden="1" customWidth="1"/>
    <col min="15618" max="15618" width="25.54296875" style="32" customWidth="1"/>
    <col min="15619" max="15621" width="11.453125" style="32" customWidth="1"/>
    <col min="15622" max="15622" width="13" style="32" customWidth="1"/>
    <col min="15623" max="15624" width="11.453125" style="32" customWidth="1"/>
    <col min="15625" max="15626" width="13.26953125" style="32" customWidth="1"/>
    <col min="15627" max="15872" width="9.26953125" style="32"/>
    <col min="15873" max="15873" width="0" style="32" hidden="1" customWidth="1"/>
    <col min="15874" max="15874" width="25.54296875" style="32" customWidth="1"/>
    <col min="15875" max="15877" width="11.453125" style="32" customWidth="1"/>
    <col min="15878" max="15878" width="13" style="32" customWidth="1"/>
    <col min="15879" max="15880" width="11.453125" style="32" customWidth="1"/>
    <col min="15881" max="15882" width="13.26953125" style="32" customWidth="1"/>
    <col min="15883" max="16128" width="9.26953125" style="32"/>
    <col min="16129" max="16129" width="0" style="32" hidden="1" customWidth="1"/>
    <col min="16130" max="16130" width="25.54296875" style="32" customWidth="1"/>
    <col min="16131" max="16133" width="11.453125" style="32" customWidth="1"/>
    <col min="16134" max="16134" width="13" style="32" customWidth="1"/>
    <col min="16135" max="16136" width="11.453125" style="32" customWidth="1"/>
    <col min="16137" max="16138" width="13.26953125" style="32" customWidth="1"/>
    <col min="16139" max="16384" width="9.26953125" style="32"/>
  </cols>
  <sheetData>
    <row r="1" spans="1:20" ht="40.5" customHeight="1" x14ac:dyDescent="0.3">
      <c r="B1" s="128" t="s">
        <v>83</v>
      </c>
      <c r="C1" s="129"/>
      <c r="D1" s="129"/>
      <c r="E1" s="129"/>
      <c r="F1" s="129"/>
      <c r="G1" s="129"/>
      <c r="H1" s="129"/>
      <c r="I1" s="129"/>
      <c r="J1" s="130"/>
    </row>
    <row r="2" spans="1:20" s="66" customFormat="1" ht="60.75" customHeight="1" x14ac:dyDescent="0.3">
      <c r="B2" s="125"/>
      <c r="C2" s="127" t="s">
        <v>67</v>
      </c>
      <c r="D2" s="123"/>
      <c r="E2" s="124" t="s">
        <v>68</v>
      </c>
      <c r="F2" s="124"/>
      <c r="G2" s="124" t="s">
        <v>69</v>
      </c>
      <c r="H2" s="124"/>
      <c r="I2" s="127" t="s">
        <v>70</v>
      </c>
      <c r="J2" s="123"/>
      <c r="K2" s="32"/>
    </row>
    <row r="3" spans="1:20" s="66" customFormat="1" ht="24" customHeight="1" x14ac:dyDescent="0.35">
      <c r="B3" s="126"/>
      <c r="C3" s="67" t="s">
        <v>71</v>
      </c>
      <c r="D3" s="68" t="s">
        <v>72</v>
      </c>
      <c r="E3" s="67" t="s">
        <v>71</v>
      </c>
      <c r="F3" s="68" t="s">
        <v>72</v>
      </c>
      <c r="G3" s="67" t="s">
        <v>71</v>
      </c>
      <c r="H3" s="68" t="s">
        <v>72</v>
      </c>
      <c r="I3" s="67" t="s">
        <v>71</v>
      </c>
      <c r="J3" s="68" t="s">
        <v>72</v>
      </c>
    </row>
    <row r="4" spans="1:20" s="66" customFormat="1" ht="24" hidden="1" customHeight="1" x14ac:dyDescent="0.35">
      <c r="C4" s="69" t="s">
        <v>73</v>
      </c>
      <c r="D4" s="69" t="s">
        <v>73</v>
      </c>
      <c r="E4" s="70" t="s">
        <v>74</v>
      </c>
      <c r="F4" s="70" t="s">
        <v>74</v>
      </c>
      <c r="G4" s="70" t="s">
        <v>75</v>
      </c>
      <c r="H4" s="70" t="s">
        <v>75</v>
      </c>
      <c r="I4" s="69" t="s">
        <v>76</v>
      </c>
      <c r="J4" s="69" t="s">
        <v>76</v>
      </c>
    </row>
    <row r="5" spans="1:20" s="66" customFormat="1" ht="24" hidden="1" customHeight="1" x14ac:dyDescent="0.35">
      <c r="C5" s="69" t="s">
        <v>71</v>
      </c>
      <c r="D5" s="70" t="s">
        <v>72</v>
      </c>
      <c r="E5" s="69" t="s">
        <v>71</v>
      </c>
      <c r="F5" s="70" t="s">
        <v>72</v>
      </c>
      <c r="G5" s="69" t="s">
        <v>71</v>
      </c>
      <c r="H5" s="70" t="s">
        <v>72</v>
      </c>
      <c r="I5" s="69" t="s">
        <v>71</v>
      </c>
      <c r="J5" s="70" t="s">
        <v>72</v>
      </c>
    </row>
    <row r="6" spans="1:20" s="66" customFormat="1" ht="25.5" customHeight="1" x14ac:dyDescent="0.35">
      <c r="B6" s="71" t="s">
        <v>0</v>
      </c>
      <c r="C6" s="72">
        <v>626706</v>
      </c>
      <c r="D6" s="72">
        <v>732606.06608912186</v>
      </c>
      <c r="E6" s="72">
        <f>E7+E48</f>
        <v>253565</v>
      </c>
      <c r="F6" s="72">
        <f t="shared" ref="F6:H6" si="0">F7+F48</f>
        <v>298424.64666666667</v>
      </c>
      <c r="G6" s="72">
        <f t="shared" si="0"/>
        <v>110712</v>
      </c>
      <c r="H6" s="72">
        <f t="shared" si="0"/>
        <v>143379.57666666666</v>
      </c>
      <c r="I6" s="72">
        <v>45313</v>
      </c>
      <c r="J6" s="72">
        <v>31941.989999999998</v>
      </c>
      <c r="L6" s="73"/>
      <c r="M6" s="73"/>
      <c r="N6" s="73"/>
      <c r="O6" s="73"/>
      <c r="P6" s="73"/>
      <c r="Q6" s="73"/>
      <c r="R6" s="73"/>
      <c r="S6" s="73"/>
      <c r="T6" s="73"/>
    </row>
    <row r="7" spans="1:20" s="71" customFormat="1" ht="26.25" customHeight="1" x14ac:dyDescent="0.35">
      <c r="A7" s="28"/>
      <c r="B7" s="71" t="s">
        <v>52</v>
      </c>
      <c r="C7" s="74">
        <v>322477</v>
      </c>
      <c r="D7" s="74">
        <v>360224.96608912194</v>
      </c>
      <c r="E7" s="74">
        <f>136137+E33</f>
        <v>137688</v>
      </c>
      <c r="F7" s="74">
        <f>144948.78+F33</f>
        <v>146920.78</v>
      </c>
      <c r="G7" s="74">
        <f>SUM(G8:G47)</f>
        <v>59641</v>
      </c>
      <c r="H7" s="74">
        <f>SUM(H8:H47)</f>
        <v>59492.81</v>
      </c>
      <c r="I7" s="74">
        <v>19057</v>
      </c>
      <c r="J7" s="74">
        <v>13928.99</v>
      </c>
      <c r="L7" s="73"/>
      <c r="M7" s="73"/>
      <c r="N7" s="73"/>
      <c r="O7" s="73"/>
      <c r="P7" s="73"/>
      <c r="Q7" s="73"/>
      <c r="R7" s="73"/>
      <c r="S7" s="73"/>
    </row>
    <row r="8" spans="1:20" s="66" customFormat="1" ht="12.5" x14ac:dyDescent="0.35">
      <c r="A8" s="29">
        <v>51</v>
      </c>
      <c r="B8" s="66" t="s">
        <v>5</v>
      </c>
      <c r="C8" s="75">
        <v>5666</v>
      </c>
      <c r="D8" s="75">
        <v>3856.25</v>
      </c>
      <c r="E8" s="75">
        <v>3220</v>
      </c>
      <c r="F8" s="75">
        <v>2191.52</v>
      </c>
      <c r="G8" s="75">
        <v>2034</v>
      </c>
      <c r="H8" s="75">
        <v>1385.33</v>
      </c>
      <c r="I8" s="75">
        <v>1167</v>
      </c>
      <c r="J8" s="75" t="s">
        <v>84</v>
      </c>
      <c r="L8" s="73"/>
      <c r="M8" s="73"/>
      <c r="N8" s="73"/>
      <c r="O8" s="73"/>
      <c r="P8" s="73"/>
      <c r="Q8" s="73"/>
      <c r="R8" s="73"/>
      <c r="S8" s="73"/>
    </row>
    <row r="9" spans="1:20" s="66" customFormat="1" ht="12.5" x14ac:dyDescent="0.35">
      <c r="A9" s="29">
        <v>52</v>
      </c>
      <c r="B9" s="66" t="s">
        <v>6</v>
      </c>
      <c r="C9" s="75">
        <v>3608</v>
      </c>
      <c r="D9" s="75">
        <v>4383</v>
      </c>
      <c r="E9" s="75" t="s">
        <v>84</v>
      </c>
      <c r="F9" s="75" t="s">
        <v>84</v>
      </c>
      <c r="G9" s="75" t="s">
        <v>84</v>
      </c>
      <c r="H9" s="75" t="s">
        <v>84</v>
      </c>
      <c r="I9" s="75">
        <v>1026</v>
      </c>
      <c r="J9" s="75" t="s">
        <v>84</v>
      </c>
      <c r="L9" s="73"/>
      <c r="M9" s="73"/>
      <c r="N9" s="73"/>
      <c r="O9" s="73"/>
      <c r="P9" s="73"/>
      <c r="Q9" s="73"/>
      <c r="R9" s="73"/>
      <c r="S9" s="73"/>
    </row>
    <row r="10" spans="1:20" s="66" customFormat="1" ht="13.5" customHeight="1" x14ac:dyDescent="0.35">
      <c r="A10" s="29">
        <v>86</v>
      </c>
      <c r="B10" s="66" t="s">
        <v>7</v>
      </c>
      <c r="C10" s="75">
        <v>5944</v>
      </c>
      <c r="D10" s="75">
        <v>11888</v>
      </c>
      <c r="E10" s="75">
        <v>4107</v>
      </c>
      <c r="F10" s="75">
        <v>8214</v>
      </c>
      <c r="G10" s="75">
        <v>1649</v>
      </c>
      <c r="H10" s="75">
        <v>3298</v>
      </c>
      <c r="I10" s="76" t="s">
        <v>84</v>
      </c>
      <c r="J10" s="76" t="s">
        <v>84</v>
      </c>
      <c r="L10" s="73"/>
      <c r="M10" s="73"/>
      <c r="N10" s="73"/>
      <c r="O10" s="73"/>
      <c r="P10" s="73"/>
      <c r="Q10" s="73"/>
      <c r="R10" s="73"/>
      <c r="S10" s="73"/>
    </row>
    <row r="11" spans="1:20" s="66" customFormat="1" ht="12.5" x14ac:dyDescent="0.35">
      <c r="A11" s="29">
        <v>53</v>
      </c>
      <c r="B11" s="66" t="s">
        <v>8</v>
      </c>
      <c r="C11" s="75">
        <v>5934</v>
      </c>
      <c r="D11" s="75">
        <v>3956</v>
      </c>
      <c r="E11" s="75">
        <v>1415</v>
      </c>
      <c r="F11" s="75">
        <v>943</v>
      </c>
      <c r="G11" s="75">
        <v>523</v>
      </c>
      <c r="H11" s="75">
        <v>349</v>
      </c>
      <c r="I11" s="75">
        <v>0</v>
      </c>
      <c r="J11" s="75" t="s">
        <v>84</v>
      </c>
      <c r="L11" s="73"/>
      <c r="M11" s="73"/>
      <c r="N11" s="73"/>
      <c r="O11" s="73"/>
      <c r="P11" s="73"/>
      <c r="Q11" s="73"/>
      <c r="R11" s="73"/>
      <c r="S11" s="73"/>
    </row>
    <row r="12" spans="1:20" s="66" customFormat="1" ht="12.5" x14ac:dyDescent="0.35">
      <c r="A12" s="29">
        <v>54</v>
      </c>
      <c r="B12" s="66" t="s">
        <v>9</v>
      </c>
      <c r="C12" s="75">
        <v>4633</v>
      </c>
      <c r="D12" s="75">
        <v>4670</v>
      </c>
      <c r="E12" s="75">
        <v>2415</v>
      </c>
      <c r="F12" s="75">
        <v>2965</v>
      </c>
      <c r="G12" s="75">
        <v>2010</v>
      </c>
      <c r="H12" s="75">
        <v>2686</v>
      </c>
      <c r="I12" s="75">
        <v>0</v>
      </c>
      <c r="J12" s="75">
        <v>0</v>
      </c>
      <c r="L12" s="73"/>
      <c r="M12" s="73"/>
      <c r="N12" s="73"/>
      <c r="O12" s="73"/>
      <c r="P12" s="73"/>
      <c r="Q12" s="73"/>
      <c r="R12" s="73"/>
      <c r="S12" s="73"/>
    </row>
    <row r="13" spans="1:20" s="66" customFormat="1" ht="12.5" x14ac:dyDescent="0.35">
      <c r="A13" s="29">
        <v>55</v>
      </c>
      <c r="B13" s="66" t="s">
        <v>10</v>
      </c>
      <c r="C13" s="75">
        <v>27206</v>
      </c>
      <c r="D13" s="75">
        <v>11671</v>
      </c>
      <c r="E13" s="75">
        <v>22273</v>
      </c>
      <c r="F13" s="75">
        <v>9251</v>
      </c>
      <c r="G13" s="75">
        <v>10240</v>
      </c>
      <c r="H13" s="75">
        <v>5304</v>
      </c>
      <c r="I13" s="75">
        <v>0</v>
      </c>
      <c r="J13" s="75">
        <v>0</v>
      </c>
      <c r="L13" s="73"/>
      <c r="M13" s="73"/>
      <c r="N13" s="73"/>
      <c r="O13" s="73"/>
      <c r="P13" s="73"/>
      <c r="Q13" s="73"/>
      <c r="R13" s="73"/>
      <c r="S13" s="73"/>
    </row>
    <row r="14" spans="1:20" s="66" customFormat="1" ht="12.5" x14ac:dyDescent="0.35">
      <c r="A14" s="29">
        <v>56</v>
      </c>
      <c r="B14" s="66" t="s">
        <v>11</v>
      </c>
      <c r="C14" s="75">
        <v>21053</v>
      </c>
      <c r="D14" s="64" t="s">
        <v>77</v>
      </c>
      <c r="E14" s="75">
        <v>1427</v>
      </c>
      <c r="F14" s="75">
        <v>0</v>
      </c>
      <c r="G14" s="75">
        <v>0</v>
      </c>
      <c r="H14" s="75">
        <v>0</v>
      </c>
      <c r="I14" s="76">
        <v>1218</v>
      </c>
      <c r="J14" s="76">
        <v>0</v>
      </c>
      <c r="L14" s="73"/>
      <c r="M14" s="73"/>
      <c r="N14" s="73"/>
      <c r="O14" s="73"/>
      <c r="P14" s="73"/>
      <c r="Q14" s="73"/>
      <c r="R14" s="73"/>
      <c r="S14" s="73"/>
    </row>
    <row r="15" spans="1:20" s="66" customFormat="1" ht="12.5" x14ac:dyDescent="0.35">
      <c r="A15" s="29">
        <v>57</v>
      </c>
      <c r="B15" s="66" t="s">
        <v>12</v>
      </c>
      <c r="C15" s="75">
        <v>4107</v>
      </c>
      <c r="D15" s="75">
        <v>3012</v>
      </c>
      <c r="E15" s="75" t="s">
        <v>84</v>
      </c>
      <c r="F15" s="75" t="s">
        <v>84</v>
      </c>
      <c r="G15" s="75" t="s">
        <v>84</v>
      </c>
      <c r="H15" s="75" t="s">
        <v>84</v>
      </c>
      <c r="I15" s="75">
        <v>1200</v>
      </c>
      <c r="J15" s="75">
        <v>220</v>
      </c>
      <c r="L15" s="73"/>
      <c r="M15" s="73"/>
      <c r="N15" s="73"/>
      <c r="O15" s="73"/>
      <c r="P15" s="73"/>
      <c r="Q15" s="73"/>
      <c r="R15" s="73"/>
      <c r="S15" s="73"/>
    </row>
    <row r="16" spans="1:20" s="66" customFormat="1" ht="12.5" x14ac:dyDescent="0.35">
      <c r="A16" s="29">
        <v>59</v>
      </c>
      <c r="B16" s="66" t="s">
        <v>13</v>
      </c>
      <c r="C16" s="75">
        <v>15575</v>
      </c>
      <c r="D16" s="75">
        <v>12246</v>
      </c>
      <c r="E16" s="75">
        <v>3116</v>
      </c>
      <c r="F16" s="75">
        <v>2617</v>
      </c>
      <c r="G16" s="75" t="s">
        <v>84</v>
      </c>
      <c r="H16" s="75" t="s">
        <v>84</v>
      </c>
      <c r="I16" s="75">
        <v>0</v>
      </c>
      <c r="J16" s="75">
        <v>0</v>
      </c>
      <c r="L16" s="73"/>
      <c r="M16" s="73"/>
      <c r="N16" s="73"/>
      <c r="O16" s="73"/>
      <c r="P16" s="73"/>
      <c r="Q16" s="73"/>
      <c r="R16" s="73"/>
      <c r="S16" s="73"/>
    </row>
    <row r="17" spans="1:19" s="66" customFormat="1" ht="12.5" x14ac:dyDescent="0.35">
      <c r="A17" s="29">
        <v>60</v>
      </c>
      <c r="B17" s="66" t="s">
        <v>14</v>
      </c>
      <c r="C17" s="75">
        <v>9785</v>
      </c>
      <c r="D17" s="75">
        <v>14696</v>
      </c>
      <c r="E17" s="75">
        <v>5331</v>
      </c>
      <c r="F17" s="75">
        <v>8028</v>
      </c>
      <c r="G17" s="75">
        <v>1843</v>
      </c>
      <c r="H17" s="75">
        <v>1843</v>
      </c>
      <c r="I17" s="75">
        <v>7654</v>
      </c>
      <c r="J17" s="75">
        <v>9236</v>
      </c>
      <c r="L17" s="73"/>
      <c r="M17" s="73"/>
      <c r="N17" s="73"/>
      <c r="O17" s="73"/>
      <c r="P17" s="73"/>
      <c r="Q17" s="73"/>
      <c r="R17" s="73"/>
      <c r="S17" s="73"/>
    </row>
    <row r="18" spans="1:19" s="66" customFormat="1" ht="12.5" x14ac:dyDescent="0.35">
      <c r="A18" s="29">
        <v>61</v>
      </c>
      <c r="B18" s="77" t="s">
        <v>53</v>
      </c>
      <c r="C18" s="75">
        <v>3477</v>
      </c>
      <c r="D18" s="75">
        <v>4800</v>
      </c>
      <c r="E18" s="75" t="s">
        <v>84</v>
      </c>
      <c r="F18" s="75" t="s">
        <v>84</v>
      </c>
      <c r="G18" s="75" t="s">
        <v>84</v>
      </c>
      <c r="H18" s="75" t="s">
        <v>84</v>
      </c>
      <c r="I18" s="76">
        <v>0</v>
      </c>
      <c r="J18" s="76">
        <v>0</v>
      </c>
      <c r="L18" s="73"/>
      <c r="M18" s="73"/>
      <c r="N18" s="73"/>
      <c r="O18" s="73"/>
      <c r="P18" s="73"/>
      <c r="Q18" s="73"/>
      <c r="R18" s="73"/>
      <c r="S18" s="73"/>
    </row>
    <row r="19" spans="1:19" s="66" customFormat="1" ht="12.5" x14ac:dyDescent="0.35">
      <c r="A19" s="29">
        <v>62</v>
      </c>
      <c r="B19" s="44" t="s">
        <v>126</v>
      </c>
      <c r="C19" s="43" t="s">
        <v>127</v>
      </c>
      <c r="D19" s="43" t="s">
        <v>127</v>
      </c>
      <c r="E19" s="43" t="s">
        <v>127</v>
      </c>
      <c r="F19" s="43" t="s">
        <v>127</v>
      </c>
      <c r="G19" s="43" t="s">
        <v>127</v>
      </c>
      <c r="H19" s="43" t="s">
        <v>127</v>
      </c>
      <c r="I19" s="43" t="s">
        <v>127</v>
      </c>
      <c r="J19" s="43" t="s">
        <v>127</v>
      </c>
      <c r="L19" s="73"/>
      <c r="M19" s="73"/>
      <c r="N19" s="73"/>
      <c r="O19" s="73"/>
      <c r="P19" s="73"/>
      <c r="Q19" s="73"/>
      <c r="R19" s="73"/>
      <c r="S19" s="73"/>
    </row>
    <row r="20" spans="1:19" s="66" customFormat="1" ht="12.5" x14ac:dyDescent="0.35">
      <c r="A20" s="29">
        <v>58</v>
      </c>
      <c r="B20" s="66" t="s">
        <v>16</v>
      </c>
      <c r="C20" s="75">
        <v>10702</v>
      </c>
      <c r="D20" s="75">
        <v>14194</v>
      </c>
      <c r="E20" s="75">
        <v>5882</v>
      </c>
      <c r="F20" s="75">
        <v>8563</v>
      </c>
      <c r="G20" s="75">
        <v>0</v>
      </c>
      <c r="H20" s="75">
        <v>0</v>
      </c>
      <c r="I20" s="75">
        <v>19</v>
      </c>
      <c r="J20" s="75">
        <v>13</v>
      </c>
      <c r="L20" s="73"/>
      <c r="M20" s="73"/>
      <c r="N20" s="73"/>
      <c r="O20" s="73"/>
      <c r="P20" s="73"/>
      <c r="Q20" s="73"/>
      <c r="R20" s="73"/>
      <c r="S20" s="73"/>
    </row>
    <row r="21" spans="1:19" s="66" customFormat="1" ht="12.5" x14ac:dyDescent="0.35">
      <c r="A21" s="29">
        <v>63</v>
      </c>
      <c r="B21" s="66" t="s">
        <v>17</v>
      </c>
      <c r="C21" s="75">
        <v>15955</v>
      </c>
      <c r="D21" s="75">
        <v>11202</v>
      </c>
      <c r="E21" s="76">
        <v>5228</v>
      </c>
      <c r="F21" s="76">
        <v>3671</v>
      </c>
      <c r="G21" s="76">
        <v>359</v>
      </c>
      <c r="H21" s="76">
        <v>252</v>
      </c>
      <c r="I21" s="75">
        <v>0</v>
      </c>
      <c r="J21" s="75">
        <v>0</v>
      </c>
      <c r="L21" s="73"/>
      <c r="M21" s="73"/>
      <c r="N21" s="73"/>
      <c r="O21" s="73"/>
      <c r="P21" s="73"/>
      <c r="Q21" s="73"/>
      <c r="R21" s="73"/>
      <c r="S21" s="73"/>
    </row>
    <row r="22" spans="1:19" s="66" customFormat="1" ht="12.5" x14ac:dyDescent="0.35">
      <c r="A22" s="29">
        <v>64</v>
      </c>
      <c r="B22" s="66" t="s">
        <v>18</v>
      </c>
      <c r="C22" s="75">
        <v>10523</v>
      </c>
      <c r="D22" s="75">
        <v>21268.5</v>
      </c>
      <c r="E22" s="75">
        <v>6224</v>
      </c>
      <c r="F22" s="75">
        <v>11971.75</v>
      </c>
      <c r="G22" s="75">
        <v>5014</v>
      </c>
      <c r="H22" s="75">
        <v>9571.5</v>
      </c>
      <c r="I22" s="76" t="s">
        <v>84</v>
      </c>
      <c r="J22" s="76" t="s">
        <v>84</v>
      </c>
      <c r="L22" s="73"/>
      <c r="M22" s="73"/>
      <c r="N22" s="73"/>
      <c r="O22" s="73"/>
      <c r="P22" s="73"/>
      <c r="Q22" s="73"/>
      <c r="R22" s="73"/>
      <c r="S22" s="73"/>
    </row>
    <row r="23" spans="1:19" s="66" customFormat="1" ht="12.5" x14ac:dyDescent="0.35">
      <c r="A23" s="29">
        <v>65</v>
      </c>
      <c r="B23" s="66" t="s">
        <v>19</v>
      </c>
      <c r="C23" s="75">
        <v>5492</v>
      </c>
      <c r="D23" s="75">
        <v>6208.96</v>
      </c>
      <c r="E23" s="75">
        <v>3425</v>
      </c>
      <c r="F23" s="75">
        <v>4054.26</v>
      </c>
      <c r="G23" s="75">
        <v>1113</v>
      </c>
      <c r="H23" s="75">
        <v>1335.98</v>
      </c>
      <c r="I23" s="75">
        <v>330</v>
      </c>
      <c r="J23" s="75">
        <v>263.83999999999997</v>
      </c>
      <c r="L23" s="73"/>
      <c r="M23" s="73"/>
      <c r="N23" s="73"/>
      <c r="O23" s="73"/>
      <c r="P23" s="73"/>
      <c r="Q23" s="73"/>
      <c r="R23" s="73"/>
      <c r="S23" s="73"/>
    </row>
    <row r="24" spans="1:19" s="66" customFormat="1" ht="12.5" x14ac:dyDescent="0.35">
      <c r="A24" s="29">
        <v>67</v>
      </c>
      <c r="B24" s="66" t="s">
        <v>20</v>
      </c>
      <c r="C24" s="75">
        <v>3635</v>
      </c>
      <c r="D24" s="75">
        <v>3692</v>
      </c>
      <c r="E24" s="75">
        <v>2008</v>
      </c>
      <c r="F24" s="75">
        <v>2344</v>
      </c>
      <c r="G24" s="75">
        <v>1000</v>
      </c>
      <c r="H24" s="75">
        <v>1605</v>
      </c>
      <c r="I24" s="75">
        <v>0</v>
      </c>
      <c r="J24" s="75">
        <v>0</v>
      </c>
      <c r="L24" s="73"/>
      <c r="M24" s="73"/>
      <c r="N24" s="73"/>
      <c r="O24" s="73"/>
      <c r="P24" s="73"/>
      <c r="Q24" s="73"/>
      <c r="R24" s="73"/>
      <c r="S24" s="73"/>
    </row>
    <row r="25" spans="1:19" s="66" customFormat="1" ht="12.5" x14ac:dyDescent="0.35">
      <c r="A25" s="29">
        <v>68</v>
      </c>
      <c r="B25" s="66" t="s">
        <v>23</v>
      </c>
      <c r="C25" s="75">
        <v>6013</v>
      </c>
      <c r="D25" s="75">
        <v>27451</v>
      </c>
      <c r="E25" s="75">
        <v>4295</v>
      </c>
      <c r="F25" s="75">
        <v>11257</v>
      </c>
      <c r="G25" s="75">
        <v>0</v>
      </c>
      <c r="H25" s="75">
        <v>0</v>
      </c>
      <c r="I25" s="75">
        <v>523</v>
      </c>
      <c r="J25" s="75">
        <v>603</v>
      </c>
      <c r="L25" s="73"/>
      <c r="M25" s="73"/>
      <c r="N25" s="73"/>
      <c r="O25" s="73"/>
      <c r="P25" s="73"/>
      <c r="Q25" s="73"/>
      <c r="R25" s="73"/>
      <c r="S25" s="73"/>
    </row>
    <row r="26" spans="1:19" s="66" customFormat="1" ht="12.5" x14ac:dyDescent="0.35">
      <c r="A26" s="29">
        <v>69</v>
      </c>
      <c r="B26" s="66" t="s">
        <v>54</v>
      </c>
      <c r="C26" s="75">
        <v>3732</v>
      </c>
      <c r="D26" s="75">
        <v>6157</v>
      </c>
      <c r="E26" s="75">
        <v>2023</v>
      </c>
      <c r="F26" s="75">
        <v>3365</v>
      </c>
      <c r="G26" s="75" t="s">
        <v>84</v>
      </c>
      <c r="H26" s="75" t="s">
        <v>84</v>
      </c>
      <c r="I26" s="75">
        <v>0</v>
      </c>
      <c r="J26" s="75">
        <v>0</v>
      </c>
      <c r="L26" s="73"/>
      <c r="M26" s="73"/>
      <c r="N26" s="73"/>
      <c r="O26" s="73"/>
      <c r="P26" s="73"/>
      <c r="Q26" s="73"/>
      <c r="R26" s="73"/>
      <c r="S26" s="73"/>
    </row>
    <row r="27" spans="1:19" s="66" customFormat="1" ht="12.5" x14ac:dyDescent="0.35">
      <c r="A27" s="29">
        <v>70</v>
      </c>
      <c r="B27" s="66" t="s">
        <v>25</v>
      </c>
      <c r="C27" s="75">
        <v>7574</v>
      </c>
      <c r="D27" s="75">
        <v>14363</v>
      </c>
      <c r="E27" s="75">
        <v>1815</v>
      </c>
      <c r="F27" s="75">
        <v>3493</v>
      </c>
      <c r="G27" s="75">
        <v>1073</v>
      </c>
      <c r="H27" s="75">
        <v>1870</v>
      </c>
      <c r="I27" s="75">
        <v>1305</v>
      </c>
      <c r="J27" s="75">
        <v>719</v>
      </c>
      <c r="L27" s="73"/>
      <c r="M27" s="73"/>
      <c r="N27" s="73"/>
      <c r="O27" s="73"/>
      <c r="P27" s="73"/>
      <c r="Q27" s="73"/>
      <c r="R27" s="73"/>
      <c r="S27" s="73"/>
    </row>
    <row r="28" spans="1:19" s="66" customFormat="1" ht="12.5" x14ac:dyDescent="0.35">
      <c r="A28" s="29">
        <v>71</v>
      </c>
      <c r="B28" s="66" t="s">
        <v>26</v>
      </c>
      <c r="C28" s="75">
        <v>11232</v>
      </c>
      <c r="D28" s="75">
        <v>11623</v>
      </c>
      <c r="E28" s="75">
        <v>4739</v>
      </c>
      <c r="F28" s="75">
        <v>5022</v>
      </c>
      <c r="G28" s="75">
        <v>2353</v>
      </c>
      <c r="H28" s="75">
        <v>2581</v>
      </c>
      <c r="I28" s="75">
        <v>0</v>
      </c>
      <c r="J28" s="75">
        <v>0</v>
      </c>
      <c r="L28" s="73"/>
      <c r="M28" s="73"/>
      <c r="N28" s="73"/>
      <c r="O28" s="73"/>
      <c r="P28" s="73"/>
      <c r="Q28" s="73"/>
      <c r="R28" s="73"/>
      <c r="S28" s="73"/>
    </row>
    <row r="29" spans="1:19" s="66" customFormat="1" ht="12.5" x14ac:dyDescent="0.35">
      <c r="A29" s="29">
        <v>73</v>
      </c>
      <c r="B29" s="66" t="s">
        <v>55</v>
      </c>
      <c r="C29" s="75">
        <v>492</v>
      </c>
      <c r="D29" s="75">
        <v>355</v>
      </c>
      <c r="E29" s="75">
        <v>298</v>
      </c>
      <c r="F29" s="75">
        <v>217.5</v>
      </c>
      <c r="G29" s="75" t="s">
        <v>84</v>
      </c>
      <c r="H29" s="75" t="s">
        <v>84</v>
      </c>
      <c r="I29" s="75">
        <v>187</v>
      </c>
      <c r="J29" s="75" t="s">
        <v>84</v>
      </c>
      <c r="L29" s="73"/>
      <c r="M29" s="73"/>
      <c r="N29" s="73"/>
      <c r="O29" s="73"/>
      <c r="P29" s="73"/>
      <c r="Q29" s="73"/>
      <c r="R29" s="73"/>
      <c r="S29" s="73"/>
    </row>
    <row r="30" spans="1:19" s="66" customFormat="1" ht="12.5" x14ac:dyDescent="0.35">
      <c r="A30" s="29">
        <v>74</v>
      </c>
      <c r="B30" s="66" t="s">
        <v>29</v>
      </c>
      <c r="C30" s="75">
        <v>10032</v>
      </c>
      <c r="D30" s="75">
        <v>8691</v>
      </c>
      <c r="E30" s="75">
        <v>3869</v>
      </c>
      <c r="F30" s="75">
        <v>3344</v>
      </c>
      <c r="G30" s="75">
        <v>4433</v>
      </c>
      <c r="H30" s="75">
        <v>3727</v>
      </c>
      <c r="I30" s="75">
        <v>635</v>
      </c>
      <c r="J30" s="75" t="s">
        <v>84</v>
      </c>
      <c r="L30" s="73"/>
      <c r="M30" s="73"/>
      <c r="N30" s="73"/>
      <c r="O30" s="73"/>
      <c r="P30" s="73"/>
      <c r="Q30" s="73"/>
      <c r="R30" s="73"/>
      <c r="S30" s="73"/>
    </row>
    <row r="31" spans="1:19" s="66" customFormat="1" ht="12.5" x14ac:dyDescent="0.35">
      <c r="A31" s="29">
        <v>75</v>
      </c>
      <c r="B31" s="66" t="s">
        <v>30</v>
      </c>
      <c r="C31" s="75">
        <v>40438</v>
      </c>
      <c r="D31" s="75">
        <v>49918</v>
      </c>
      <c r="E31" s="75">
        <v>18790</v>
      </c>
      <c r="F31" s="75">
        <v>23112</v>
      </c>
      <c r="G31" s="75">
        <v>10492</v>
      </c>
      <c r="H31" s="75">
        <v>12905</v>
      </c>
      <c r="I31" s="75">
        <v>0</v>
      </c>
      <c r="J31" s="75">
        <v>0</v>
      </c>
      <c r="L31" s="73"/>
      <c r="M31" s="73"/>
      <c r="N31" s="73"/>
      <c r="O31" s="73"/>
      <c r="P31" s="73"/>
      <c r="Q31" s="73"/>
      <c r="R31" s="73"/>
      <c r="S31" s="73"/>
    </row>
    <row r="32" spans="1:19" s="66" customFormat="1" ht="12.5" x14ac:dyDescent="0.35">
      <c r="A32" s="29">
        <v>76</v>
      </c>
      <c r="B32" s="66" t="s">
        <v>31</v>
      </c>
      <c r="C32" s="75">
        <v>4201</v>
      </c>
      <c r="D32" s="75">
        <v>7352</v>
      </c>
      <c r="E32" s="75">
        <v>2354</v>
      </c>
      <c r="F32" s="75">
        <v>4120</v>
      </c>
      <c r="G32" s="75">
        <v>1239</v>
      </c>
      <c r="H32" s="75">
        <v>2168</v>
      </c>
      <c r="I32" s="75">
        <v>857</v>
      </c>
      <c r="J32" s="75">
        <v>1500</v>
      </c>
      <c r="L32" s="73"/>
      <c r="M32" s="73"/>
      <c r="N32" s="73"/>
      <c r="O32" s="73"/>
      <c r="P32" s="73"/>
      <c r="Q32" s="73"/>
      <c r="R32" s="73"/>
      <c r="S32" s="73"/>
    </row>
    <row r="33" spans="1:19" s="66" customFormat="1" ht="12.5" x14ac:dyDescent="0.35">
      <c r="A33" s="29">
        <v>79</v>
      </c>
      <c r="B33" s="66" t="s">
        <v>32</v>
      </c>
      <c r="C33" s="75">
        <v>7454</v>
      </c>
      <c r="D33" s="75">
        <v>9342</v>
      </c>
      <c r="E33" s="75">
        <v>1551</v>
      </c>
      <c r="F33" s="75">
        <v>1972</v>
      </c>
      <c r="G33" s="75">
        <v>543</v>
      </c>
      <c r="H33" s="75">
        <v>697</v>
      </c>
      <c r="I33" s="75" t="s">
        <v>84</v>
      </c>
      <c r="J33" s="75" t="s">
        <v>84</v>
      </c>
      <c r="L33" s="73"/>
      <c r="M33" s="73"/>
      <c r="N33" s="73"/>
      <c r="O33" s="73"/>
      <c r="P33" s="73"/>
      <c r="Q33" s="73"/>
      <c r="R33" s="73"/>
      <c r="S33" s="73"/>
    </row>
    <row r="34" spans="1:19" s="66" customFormat="1" ht="12.5" x14ac:dyDescent="0.35">
      <c r="A34" s="29">
        <v>80</v>
      </c>
      <c r="B34" s="66" t="s">
        <v>34</v>
      </c>
      <c r="C34" s="75">
        <v>3967</v>
      </c>
      <c r="D34" s="75">
        <v>4091.1</v>
      </c>
      <c r="E34" s="75">
        <v>2237</v>
      </c>
      <c r="F34" s="75">
        <v>2303</v>
      </c>
      <c r="G34" s="75" t="s">
        <v>84</v>
      </c>
      <c r="H34" s="75" t="s">
        <v>84</v>
      </c>
      <c r="I34" s="75">
        <v>416</v>
      </c>
      <c r="J34" s="75">
        <v>38.9</v>
      </c>
      <c r="L34" s="73"/>
      <c r="M34" s="73"/>
      <c r="N34" s="73"/>
      <c r="O34" s="73"/>
      <c r="P34" s="73"/>
      <c r="Q34" s="73"/>
      <c r="R34" s="73"/>
      <c r="S34" s="73"/>
    </row>
    <row r="35" spans="1:19" s="66" customFormat="1" ht="12.5" x14ac:dyDescent="0.35">
      <c r="A35" s="29">
        <v>81</v>
      </c>
      <c r="B35" s="66" t="s">
        <v>35</v>
      </c>
      <c r="C35" s="75">
        <v>3171</v>
      </c>
      <c r="D35" s="75">
        <v>4005</v>
      </c>
      <c r="E35" s="75">
        <v>1069</v>
      </c>
      <c r="F35" s="75">
        <v>2388</v>
      </c>
      <c r="G35" s="75" t="s">
        <v>84</v>
      </c>
      <c r="H35" s="75" t="s">
        <v>84</v>
      </c>
      <c r="I35" s="75">
        <v>16</v>
      </c>
      <c r="J35" s="75">
        <v>8</v>
      </c>
      <c r="L35" s="73"/>
      <c r="M35" s="73"/>
      <c r="N35" s="73"/>
      <c r="O35" s="73"/>
      <c r="P35" s="73"/>
      <c r="Q35" s="73"/>
      <c r="R35" s="73"/>
      <c r="S35" s="73"/>
    </row>
    <row r="36" spans="1:19" s="66" customFormat="1" ht="12.5" x14ac:dyDescent="0.35">
      <c r="A36" s="29">
        <v>83</v>
      </c>
      <c r="B36" s="66" t="s">
        <v>36</v>
      </c>
      <c r="C36" s="75">
        <v>6348</v>
      </c>
      <c r="D36" s="75">
        <v>4757.25</v>
      </c>
      <c r="E36" s="75">
        <v>449</v>
      </c>
      <c r="F36" s="75">
        <v>336.75</v>
      </c>
      <c r="G36" s="75">
        <v>187</v>
      </c>
      <c r="H36" s="75">
        <v>141</v>
      </c>
      <c r="I36" s="75">
        <v>131</v>
      </c>
      <c r="J36" s="75">
        <v>131</v>
      </c>
      <c r="L36" s="73"/>
      <c r="M36" s="73"/>
      <c r="N36" s="73"/>
      <c r="O36" s="73"/>
      <c r="P36" s="73"/>
      <c r="Q36" s="73"/>
      <c r="R36" s="73"/>
      <c r="S36" s="73"/>
    </row>
    <row r="37" spans="1:19" s="66" customFormat="1" ht="12.5" x14ac:dyDescent="0.35">
      <c r="A37" s="29">
        <v>84</v>
      </c>
      <c r="B37" s="66" t="s">
        <v>37</v>
      </c>
      <c r="C37" s="75">
        <v>9255</v>
      </c>
      <c r="D37" s="75">
        <v>9405.25</v>
      </c>
      <c r="E37" s="75">
        <v>4254</v>
      </c>
      <c r="F37" s="75">
        <v>4295</v>
      </c>
      <c r="G37" s="75">
        <v>691</v>
      </c>
      <c r="H37" s="75">
        <v>752</v>
      </c>
      <c r="I37" s="75">
        <v>14</v>
      </c>
      <c r="J37" s="75">
        <v>10.25</v>
      </c>
      <c r="L37" s="73"/>
      <c r="M37" s="73"/>
      <c r="N37" s="73"/>
      <c r="O37" s="73"/>
      <c r="P37" s="73"/>
      <c r="Q37" s="73"/>
      <c r="R37" s="73"/>
      <c r="S37" s="73"/>
    </row>
    <row r="38" spans="1:19" s="66" customFormat="1" ht="12.5" x14ac:dyDescent="0.35">
      <c r="A38" s="29">
        <v>85</v>
      </c>
      <c r="B38" s="66" t="s">
        <v>38</v>
      </c>
      <c r="C38" s="75">
        <v>4810</v>
      </c>
      <c r="D38" s="75">
        <v>8354.7833333333328</v>
      </c>
      <c r="E38" s="75">
        <v>1850</v>
      </c>
      <c r="F38" s="75">
        <v>3604</v>
      </c>
      <c r="G38" s="75">
        <v>1451</v>
      </c>
      <c r="H38" s="75">
        <v>3139</v>
      </c>
      <c r="I38" s="75">
        <v>551</v>
      </c>
      <c r="J38" s="75">
        <v>637</v>
      </c>
      <c r="L38" s="73"/>
      <c r="M38" s="73"/>
      <c r="N38" s="73"/>
      <c r="O38" s="73"/>
      <c r="P38" s="73"/>
      <c r="Q38" s="73"/>
      <c r="R38" s="73"/>
      <c r="S38" s="73"/>
    </row>
    <row r="39" spans="1:19" s="66" customFormat="1" ht="12.5" x14ac:dyDescent="0.35">
      <c r="A39" s="29">
        <v>87</v>
      </c>
      <c r="B39" s="66" t="s">
        <v>39</v>
      </c>
      <c r="C39" s="75">
        <v>3305</v>
      </c>
      <c r="D39" s="75">
        <v>8413</v>
      </c>
      <c r="E39" s="75">
        <v>1433</v>
      </c>
      <c r="F39" s="75">
        <v>4871</v>
      </c>
      <c r="G39" s="75" t="s">
        <v>84</v>
      </c>
      <c r="H39" s="75" t="s">
        <v>84</v>
      </c>
      <c r="I39" s="75">
        <v>3</v>
      </c>
      <c r="J39" s="75">
        <v>4</v>
      </c>
      <c r="L39" s="73"/>
      <c r="M39" s="73"/>
      <c r="N39" s="73"/>
      <c r="O39" s="73"/>
      <c r="P39" s="73"/>
      <c r="Q39" s="73"/>
      <c r="R39" s="73"/>
      <c r="S39" s="73"/>
    </row>
    <row r="40" spans="1:19" s="66" customFormat="1" ht="12.5" x14ac:dyDescent="0.35">
      <c r="A40" s="29">
        <v>90</v>
      </c>
      <c r="B40" s="66" t="s">
        <v>40</v>
      </c>
      <c r="C40" s="75">
        <v>4086</v>
      </c>
      <c r="D40" s="75">
        <v>5448</v>
      </c>
      <c r="E40" s="75">
        <v>0</v>
      </c>
      <c r="F40" s="75">
        <v>0</v>
      </c>
      <c r="G40" s="75" t="s">
        <v>84</v>
      </c>
      <c r="H40" s="75" t="s">
        <v>84</v>
      </c>
      <c r="I40" s="75">
        <v>655</v>
      </c>
      <c r="J40" s="75" t="s">
        <v>84</v>
      </c>
      <c r="L40" s="73"/>
      <c r="M40" s="73"/>
      <c r="N40" s="73"/>
      <c r="O40" s="73"/>
      <c r="P40" s="73"/>
      <c r="Q40" s="73"/>
      <c r="R40" s="73"/>
      <c r="S40" s="73"/>
    </row>
    <row r="41" spans="1:19" s="66" customFormat="1" ht="12.5" x14ac:dyDescent="0.35">
      <c r="A41" s="29">
        <v>91</v>
      </c>
      <c r="B41" s="66" t="s">
        <v>42</v>
      </c>
      <c r="C41" s="75">
        <v>27745</v>
      </c>
      <c r="D41" s="64" t="s">
        <v>77</v>
      </c>
      <c r="E41" s="75">
        <v>13080</v>
      </c>
      <c r="F41" s="75">
        <v>0</v>
      </c>
      <c r="G41" s="75">
        <v>7006</v>
      </c>
      <c r="H41" s="75">
        <v>0</v>
      </c>
      <c r="I41" s="75">
        <v>385</v>
      </c>
      <c r="J41" s="75">
        <v>0</v>
      </c>
      <c r="L41" s="73"/>
      <c r="M41" s="73"/>
      <c r="N41" s="73"/>
      <c r="O41" s="73"/>
      <c r="P41" s="73"/>
      <c r="Q41" s="73"/>
      <c r="R41" s="73"/>
      <c r="S41" s="73"/>
    </row>
    <row r="42" spans="1:19" s="66" customFormat="1" ht="12.5" x14ac:dyDescent="0.35">
      <c r="A42" s="29">
        <v>92</v>
      </c>
      <c r="B42" s="66" t="s">
        <v>43</v>
      </c>
      <c r="C42" s="75">
        <v>1428</v>
      </c>
      <c r="D42" s="75">
        <v>3149</v>
      </c>
      <c r="E42" s="75">
        <v>724</v>
      </c>
      <c r="F42" s="75">
        <v>2019</v>
      </c>
      <c r="G42" s="75">
        <v>294</v>
      </c>
      <c r="H42" s="75">
        <v>658</v>
      </c>
      <c r="I42" s="76" t="s">
        <v>84</v>
      </c>
      <c r="J42" s="76" t="s">
        <v>84</v>
      </c>
      <c r="L42" s="73"/>
      <c r="M42" s="73"/>
      <c r="N42" s="73"/>
      <c r="O42" s="73"/>
      <c r="P42" s="73"/>
      <c r="Q42" s="73"/>
      <c r="R42" s="73"/>
      <c r="S42" s="73"/>
    </row>
    <row r="43" spans="1:19" s="66" customFormat="1" ht="12.5" x14ac:dyDescent="0.35">
      <c r="A43" s="29">
        <v>94</v>
      </c>
      <c r="B43" s="66" t="s">
        <v>44</v>
      </c>
      <c r="C43" s="75">
        <v>2585</v>
      </c>
      <c r="D43" s="64" t="s">
        <v>77</v>
      </c>
      <c r="E43" s="75">
        <v>1528</v>
      </c>
      <c r="F43" s="75">
        <v>0</v>
      </c>
      <c r="G43" s="75">
        <v>1335</v>
      </c>
      <c r="H43" s="75">
        <v>0</v>
      </c>
      <c r="I43" s="75">
        <v>220</v>
      </c>
      <c r="J43" s="75">
        <v>0</v>
      </c>
      <c r="L43" s="73"/>
      <c r="M43" s="73"/>
      <c r="N43" s="73"/>
      <c r="O43" s="73"/>
      <c r="P43" s="73"/>
      <c r="Q43" s="73"/>
      <c r="R43" s="73"/>
      <c r="S43" s="73"/>
    </row>
    <row r="44" spans="1:19" s="66" customFormat="1" ht="12.5" x14ac:dyDescent="0.35">
      <c r="A44" s="29">
        <v>96</v>
      </c>
      <c r="B44" s="66" t="s">
        <v>46</v>
      </c>
      <c r="C44" s="75">
        <v>2048</v>
      </c>
      <c r="D44" s="75">
        <v>2048</v>
      </c>
      <c r="E44" s="75">
        <v>661</v>
      </c>
      <c r="F44" s="75">
        <v>661</v>
      </c>
      <c r="G44" s="75">
        <v>1245</v>
      </c>
      <c r="H44" s="75">
        <v>1245</v>
      </c>
      <c r="I44" s="75">
        <v>0</v>
      </c>
      <c r="J44" s="76" t="s">
        <v>84</v>
      </c>
      <c r="L44" s="73"/>
      <c r="M44" s="73"/>
      <c r="N44" s="73"/>
      <c r="O44" s="73"/>
      <c r="P44" s="73"/>
      <c r="Q44" s="73"/>
      <c r="R44" s="73"/>
      <c r="S44" s="73"/>
    </row>
    <row r="45" spans="1:19" s="66" customFormat="1" ht="12.5" x14ac:dyDescent="0.35">
      <c r="A45" s="29">
        <v>98</v>
      </c>
      <c r="B45" s="66" t="s">
        <v>48</v>
      </c>
      <c r="C45" s="75">
        <v>5904</v>
      </c>
      <c r="D45" s="75">
        <v>7800</v>
      </c>
      <c r="E45" s="75">
        <v>2361</v>
      </c>
      <c r="F45" s="75">
        <v>3490</v>
      </c>
      <c r="G45" s="75">
        <v>930</v>
      </c>
      <c r="H45" s="75">
        <v>1396</v>
      </c>
      <c r="I45" s="76" t="s">
        <v>84</v>
      </c>
      <c r="J45" s="76" t="s">
        <v>84</v>
      </c>
      <c r="L45" s="73"/>
      <c r="M45" s="73"/>
      <c r="N45" s="73"/>
      <c r="O45" s="73"/>
      <c r="P45" s="73"/>
      <c r="Q45" s="73"/>
      <c r="R45" s="73"/>
      <c r="S45" s="73"/>
    </row>
    <row r="46" spans="1:19" s="66" customFormat="1" ht="12.5" x14ac:dyDescent="0.35">
      <c r="A46" s="29">
        <v>72</v>
      </c>
      <c r="B46" s="66" t="s">
        <v>50</v>
      </c>
      <c r="C46" s="75">
        <v>3242</v>
      </c>
      <c r="D46" s="75">
        <v>3242</v>
      </c>
      <c r="E46" s="75">
        <v>2237</v>
      </c>
      <c r="F46" s="75">
        <v>2237</v>
      </c>
      <c r="G46" s="75">
        <v>584</v>
      </c>
      <c r="H46" s="75">
        <v>584</v>
      </c>
      <c r="I46" s="75">
        <v>545</v>
      </c>
      <c r="J46" s="75">
        <v>545</v>
      </c>
      <c r="L46" s="73"/>
      <c r="M46" s="73"/>
      <c r="N46" s="73"/>
      <c r="O46" s="73"/>
      <c r="P46" s="73"/>
      <c r="Q46" s="73"/>
      <c r="R46" s="73"/>
      <c r="S46" s="73"/>
    </row>
    <row r="47" spans="1:19" s="71" customFormat="1" ht="26.25" customHeight="1" x14ac:dyDescent="0.35">
      <c r="B47" s="66" t="s">
        <v>28</v>
      </c>
      <c r="C47" s="75">
        <v>120</v>
      </c>
      <c r="D47" s="75">
        <v>65</v>
      </c>
      <c r="E47" s="75" t="s">
        <v>84</v>
      </c>
      <c r="F47" s="75" t="s">
        <v>84</v>
      </c>
      <c r="G47" s="75" t="s">
        <v>84</v>
      </c>
      <c r="H47" s="75" t="s">
        <v>84</v>
      </c>
      <c r="I47" s="75">
        <v>0</v>
      </c>
      <c r="J47" s="75">
        <v>0</v>
      </c>
      <c r="L47" s="73"/>
      <c r="M47" s="73"/>
      <c r="N47" s="73"/>
      <c r="O47" s="73"/>
      <c r="P47" s="73"/>
      <c r="Q47" s="73"/>
      <c r="R47" s="73"/>
      <c r="S47" s="73"/>
    </row>
    <row r="48" spans="1:19" s="66" customFormat="1" ht="14" x14ac:dyDescent="0.35">
      <c r="A48" s="29">
        <v>66</v>
      </c>
      <c r="B48" s="71" t="s">
        <v>56</v>
      </c>
      <c r="C48" s="74">
        <v>304229</v>
      </c>
      <c r="D48" s="74">
        <v>372381.1</v>
      </c>
      <c r="E48" s="74">
        <v>115877</v>
      </c>
      <c r="F48" s="74">
        <v>151503.86666666667</v>
      </c>
      <c r="G48" s="74">
        <v>51071</v>
      </c>
      <c r="H48" s="74">
        <v>83886.766666666663</v>
      </c>
      <c r="I48" s="74">
        <v>26256</v>
      </c>
      <c r="J48" s="74">
        <v>18013</v>
      </c>
      <c r="L48" s="73"/>
      <c r="M48" s="73"/>
      <c r="N48" s="73"/>
      <c r="O48" s="73"/>
      <c r="P48" s="73"/>
      <c r="Q48" s="73"/>
      <c r="R48" s="73"/>
      <c r="S48" s="73"/>
    </row>
    <row r="49" spans="1:19" s="66" customFormat="1" ht="14.25" customHeight="1" x14ac:dyDescent="0.35">
      <c r="A49" s="29">
        <v>78</v>
      </c>
      <c r="B49" s="66" t="s">
        <v>22</v>
      </c>
      <c r="C49" s="75">
        <v>49246</v>
      </c>
      <c r="D49" s="78">
        <v>45914</v>
      </c>
      <c r="E49" s="75">
        <v>8917</v>
      </c>
      <c r="F49" s="78">
        <v>9857</v>
      </c>
      <c r="G49" s="75" t="s">
        <v>84</v>
      </c>
      <c r="H49" s="75" t="s">
        <v>84</v>
      </c>
      <c r="I49" s="75">
        <v>817</v>
      </c>
      <c r="J49" s="78">
        <v>920</v>
      </c>
      <c r="L49" s="73"/>
      <c r="M49" s="73"/>
      <c r="N49" s="73"/>
      <c r="O49" s="73"/>
      <c r="P49" s="73"/>
      <c r="Q49" s="73"/>
      <c r="R49" s="73"/>
      <c r="S49" s="73"/>
    </row>
    <row r="50" spans="1:19" s="66" customFormat="1" ht="15.75" customHeight="1" x14ac:dyDescent="0.35">
      <c r="A50" s="29">
        <v>89</v>
      </c>
      <c r="B50" s="66" t="s">
        <v>33</v>
      </c>
      <c r="C50" s="75">
        <v>45688</v>
      </c>
      <c r="D50" s="75">
        <v>73100</v>
      </c>
      <c r="E50" s="75">
        <v>19837</v>
      </c>
      <c r="F50" s="75">
        <v>29954</v>
      </c>
      <c r="G50" s="75">
        <v>4797</v>
      </c>
      <c r="H50" s="75">
        <v>7483</v>
      </c>
      <c r="I50" s="75">
        <v>7919</v>
      </c>
      <c r="J50" s="75">
        <v>12670</v>
      </c>
      <c r="L50" s="73"/>
      <c r="M50" s="73"/>
      <c r="N50" s="73"/>
      <c r="O50" s="73"/>
      <c r="P50" s="73"/>
      <c r="Q50" s="73"/>
      <c r="R50" s="73"/>
      <c r="S50" s="73"/>
    </row>
    <row r="51" spans="1:19" s="66" customFormat="1" ht="12.5" x14ac:dyDescent="0.35">
      <c r="A51" s="29">
        <v>93</v>
      </c>
      <c r="B51" s="66" t="s">
        <v>41</v>
      </c>
      <c r="C51" s="75">
        <v>24153</v>
      </c>
      <c r="D51" s="75">
        <v>16471.099999999999</v>
      </c>
      <c r="E51" s="75">
        <v>10825</v>
      </c>
      <c r="F51" s="75">
        <v>7376.8666666666668</v>
      </c>
      <c r="G51" s="75">
        <v>4147</v>
      </c>
      <c r="H51" s="75">
        <v>2857.7666666666669</v>
      </c>
      <c r="I51" s="75">
        <v>0</v>
      </c>
      <c r="J51" s="75">
        <v>0</v>
      </c>
      <c r="L51" s="73"/>
      <c r="M51" s="73"/>
      <c r="N51" s="73"/>
      <c r="O51" s="73"/>
      <c r="P51" s="73"/>
      <c r="Q51" s="73"/>
      <c r="R51" s="73"/>
      <c r="S51" s="73"/>
    </row>
    <row r="52" spans="1:19" s="66" customFormat="1" ht="12.5" x14ac:dyDescent="0.35">
      <c r="A52" s="29">
        <v>95</v>
      </c>
      <c r="B52" s="66" t="s">
        <v>57</v>
      </c>
      <c r="C52" s="75">
        <v>31268</v>
      </c>
      <c r="D52" s="75">
        <v>15308</v>
      </c>
      <c r="E52" s="75">
        <v>11353</v>
      </c>
      <c r="F52" s="75">
        <v>5903</v>
      </c>
      <c r="G52" s="75">
        <v>4259</v>
      </c>
      <c r="H52" s="75">
        <v>2702</v>
      </c>
      <c r="I52" s="75">
        <v>16855</v>
      </c>
      <c r="J52" s="75">
        <v>3724</v>
      </c>
      <c r="L52" s="73"/>
      <c r="M52" s="73"/>
      <c r="N52" s="73"/>
      <c r="O52" s="73"/>
      <c r="P52" s="73"/>
      <c r="Q52" s="73"/>
      <c r="R52" s="73"/>
      <c r="S52" s="73"/>
    </row>
    <row r="53" spans="1:19" s="66" customFormat="1" ht="12.5" x14ac:dyDescent="0.35">
      <c r="A53" s="29">
        <v>97</v>
      </c>
      <c r="B53" s="66" t="s">
        <v>47</v>
      </c>
      <c r="C53" s="75">
        <v>24842</v>
      </c>
      <c r="D53" s="75">
        <v>99368</v>
      </c>
      <c r="E53" s="75">
        <v>11784</v>
      </c>
      <c r="F53" s="75">
        <v>47136</v>
      </c>
      <c r="G53" s="75">
        <v>10992</v>
      </c>
      <c r="H53" s="75">
        <v>43968</v>
      </c>
      <c r="I53" s="76" t="s">
        <v>84</v>
      </c>
      <c r="J53" s="76" t="s">
        <v>84</v>
      </c>
      <c r="L53" s="73"/>
      <c r="M53" s="73"/>
      <c r="N53" s="73"/>
      <c r="O53" s="73"/>
      <c r="P53" s="73"/>
      <c r="Q53" s="73"/>
      <c r="R53" s="73"/>
      <c r="S53" s="73"/>
    </row>
    <row r="54" spans="1:19" s="66" customFormat="1" ht="12.5" x14ac:dyDescent="0.35">
      <c r="A54" s="45">
        <v>77</v>
      </c>
      <c r="B54" s="66" t="s">
        <v>49</v>
      </c>
      <c r="C54" s="75">
        <v>45087</v>
      </c>
      <c r="D54" s="75">
        <v>38275</v>
      </c>
      <c r="E54" s="75">
        <v>17200</v>
      </c>
      <c r="F54" s="75">
        <v>15316</v>
      </c>
      <c r="G54" s="75" t="s">
        <v>84</v>
      </c>
      <c r="H54" s="75" t="s">
        <v>84</v>
      </c>
      <c r="I54" s="75">
        <v>128</v>
      </c>
      <c r="J54" s="75">
        <v>162</v>
      </c>
      <c r="L54" s="73"/>
      <c r="M54" s="73"/>
      <c r="N54" s="73"/>
      <c r="O54" s="73"/>
      <c r="P54" s="73"/>
      <c r="Q54" s="73"/>
      <c r="R54" s="73"/>
      <c r="S54" s="73"/>
    </row>
    <row r="55" spans="1:19" s="66" customFormat="1" ht="22.5" customHeight="1" x14ac:dyDescent="0.35">
      <c r="B55" s="79" t="s">
        <v>21</v>
      </c>
      <c r="C55" s="80">
        <v>83945</v>
      </c>
      <c r="D55" s="80">
        <v>83945</v>
      </c>
      <c r="E55" s="80">
        <v>35961</v>
      </c>
      <c r="F55" s="80">
        <v>35961</v>
      </c>
      <c r="G55" s="80">
        <v>26876</v>
      </c>
      <c r="H55" s="80">
        <v>26876</v>
      </c>
      <c r="I55" s="80">
        <v>537</v>
      </c>
      <c r="J55" s="80">
        <v>537</v>
      </c>
    </row>
    <row r="56" spans="1:19" s="66" customFormat="1" x14ac:dyDescent="0.35">
      <c r="B56" s="81"/>
      <c r="J56" s="82"/>
    </row>
    <row r="57" spans="1:19" s="66" customFormat="1" ht="12.5" x14ac:dyDescent="0.35">
      <c r="B57" s="66" t="s">
        <v>78</v>
      </c>
      <c r="J57" s="82"/>
    </row>
    <row r="58" spans="1:19" s="66" customFormat="1" ht="12.5" x14ac:dyDescent="0.35">
      <c r="J58" s="82"/>
    </row>
    <row r="59" spans="1:19" x14ac:dyDescent="0.3">
      <c r="B59" s="83" t="s">
        <v>79</v>
      </c>
      <c r="C59" s="66"/>
      <c r="D59" s="66"/>
      <c r="E59" s="66"/>
      <c r="F59" s="66"/>
      <c r="G59" s="66"/>
      <c r="H59" s="66"/>
      <c r="I59" s="66"/>
      <c r="J59" s="84"/>
    </row>
    <row r="61" spans="1:19" ht="9.75" customHeight="1" x14ac:dyDescent="0.3"/>
  </sheetData>
  <mergeCells count="6">
    <mergeCell ref="B1:J1"/>
    <mergeCell ref="B2:B3"/>
    <mergeCell ref="C2:D2"/>
    <mergeCell ref="E2:F2"/>
    <mergeCell ref="G2:H2"/>
    <mergeCell ref="I2:J2"/>
  </mergeCells>
  <pageMargins left="0.48" right="0.31" top="1" bottom="1" header="0.5" footer="0.5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</sheetPr>
  <dimension ref="A1:T61"/>
  <sheetViews>
    <sheetView showGridLines="0" zoomScale="85" zoomScaleNormal="85" workbookViewId="0">
      <pane xSplit="2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B1" sqref="B1:J1"/>
    </sheetView>
  </sheetViews>
  <sheetFormatPr defaultRowHeight="13" x14ac:dyDescent="0.3"/>
  <cols>
    <col min="1" max="1" width="2.7265625" style="32" hidden="1" customWidth="1"/>
    <col min="2" max="2" width="25.54296875" style="32" customWidth="1"/>
    <col min="3" max="3" width="11.453125" style="32" customWidth="1"/>
    <col min="4" max="5" width="11.453125" style="52" customWidth="1"/>
    <col min="6" max="6" width="13" style="52" customWidth="1"/>
    <col min="7" max="8" width="11.453125" style="52" customWidth="1"/>
    <col min="9" max="10" width="13.26953125" style="52" customWidth="1"/>
    <col min="11" max="256" width="9.26953125" style="32"/>
    <col min="257" max="257" width="0" style="32" hidden="1" customWidth="1"/>
    <col min="258" max="258" width="25.54296875" style="32" customWidth="1"/>
    <col min="259" max="261" width="11.453125" style="32" customWidth="1"/>
    <col min="262" max="262" width="13" style="32" customWidth="1"/>
    <col min="263" max="264" width="11.453125" style="32" customWidth="1"/>
    <col min="265" max="266" width="13.26953125" style="32" customWidth="1"/>
    <col min="267" max="512" width="9.26953125" style="32"/>
    <col min="513" max="513" width="0" style="32" hidden="1" customWidth="1"/>
    <col min="514" max="514" width="25.54296875" style="32" customWidth="1"/>
    <col min="515" max="517" width="11.453125" style="32" customWidth="1"/>
    <col min="518" max="518" width="13" style="32" customWidth="1"/>
    <col min="519" max="520" width="11.453125" style="32" customWidth="1"/>
    <col min="521" max="522" width="13.26953125" style="32" customWidth="1"/>
    <col min="523" max="768" width="9.26953125" style="32"/>
    <col min="769" max="769" width="0" style="32" hidden="1" customWidth="1"/>
    <col min="770" max="770" width="25.54296875" style="32" customWidth="1"/>
    <col min="771" max="773" width="11.453125" style="32" customWidth="1"/>
    <col min="774" max="774" width="13" style="32" customWidth="1"/>
    <col min="775" max="776" width="11.453125" style="32" customWidth="1"/>
    <col min="777" max="778" width="13.26953125" style="32" customWidth="1"/>
    <col min="779" max="1024" width="9.26953125" style="32"/>
    <col min="1025" max="1025" width="0" style="32" hidden="1" customWidth="1"/>
    <col min="1026" max="1026" width="25.54296875" style="32" customWidth="1"/>
    <col min="1027" max="1029" width="11.453125" style="32" customWidth="1"/>
    <col min="1030" max="1030" width="13" style="32" customWidth="1"/>
    <col min="1031" max="1032" width="11.453125" style="32" customWidth="1"/>
    <col min="1033" max="1034" width="13.26953125" style="32" customWidth="1"/>
    <col min="1035" max="1280" width="9.26953125" style="32"/>
    <col min="1281" max="1281" width="0" style="32" hidden="1" customWidth="1"/>
    <col min="1282" max="1282" width="25.54296875" style="32" customWidth="1"/>
    <col min="1283" max="1285" width="11.453125" style="32" customWidth="1"/>
    <col min="1286" max="1286" width="13" style="32" customWidth="1"/>
    <col min="1287" max="1288" width="11.453125" style="32" customWidth="1"/>
    <col min="1289" max="1290" width="13.26953125" style="32" customWidth="1"/>
    <col min="1291" max="1536" width="9.26953125" style="32"/>
    <col min="1537" max="1537" width="0" style="32" hidden="1" customWidth="1"/>
    <col min="1538" max="1538" width="25.54296875" style="32" customWidth="1"/>
    <col min="1539" max="1541" width="11.453125" style="32" customWidth="1"/>
    <col min="1542" max="1542" width="13" style="32" customWidth="1"/>
    <col min="1543" max="1544" width="11.453125" style="32" customWidth="1"/>
    <col min="1545" max="1546" width="13.26953125" style="32" customWidth="1"/>
    <col min="1547" max="1792" width="9.26953125" style="32"/>
    <col min="1793" max="1793" width="0" style="32" hidden="1" customWidth="1"/>
    <col min="1794" max="1794" width="25.54296875" style="32" customWidth="1"/>
    <col min="1795" max="1797" width="11.453125" style="32" customWidth="1"/>
    <col min="1798" max="1798" width="13" style="32" customWidth="1"/>
    <col min="1799" max="1800" width="11.453125" style="32" customWidth="1"/>
    <col min="1801" max="1802" width="13.26953125" style="32" customWidth="1"/>
    <col min="1803" max="2048" width="9.26953125" style="32"/>
    <col min="2049" max="2049" width="0" style="32" hidden="1" customWidth="1"/>
    <col min="2050" max="2050" width="25.54296875" style="32" customWidth="1"/>
    <col min="2051" max="2053" width="11.453125" style="32" customWidth="1"/>
    <col min="2054" max="2054" width="13" style="32" customWidth="1"/>
    <col min="2055" max="2056" width="11.453125" style="32" customWidth="1"/>
    <col min="2057" max="2058" width="13.26953125" style="32" customWidth="1"/>
    <col min="2059" max="2304" width="9.26953125" style="32"/>
    <col min="2305" max="2305" width="0" style="32" hidden="1" customWidth="1"/>
    <col min="2306" max="2306" width="25.54296875" style="32" customWidth="1"/>
    <col min="2307" max="2309" width="11.453125" style="32" customWidth="1"/>
    <col min="2310" max="2310" width="13" style="32" customWidth="1"/>
    <col min="2311" max="2312" width="11.453125" style="32" customWidth="1"/>
    <col min="2313" max="2314" width="13.26953125" style="32" customWidth="1"/>
    <col min="2315" max="2560" width="9.26953125" style="32"/>
    <col min="2561" max="2561" width="0" style="32" hidden="1" customWidth="1"/>
    <col min="2562" max="2562" width="25.54296875" style="32" customWidth="1"/>
    <col min="2563" max="2565" width="11.453125" style="32" customWidth="1"/>
    <col min="2566" max="2566" width="13" style="32" customWidth="1"/>
    <col min="2567" max="2568" width="11.453125" style="32" customWidth="1"/>
    <col min="2569" max="2570" width="13.26953125" style="32" customWidth="1"/>
    <col min="2571" max="2816" width="9.26953125" style="32"/>
    <col min="2817" max="2817" width="0" style="32" hidden="1" customWidth="1"/>
    <col min="2818" max="2818" width="25.54296875" style="32" customWidth="1"/>
    <col min="2819" max="2821" width="11.453125" style="32" customWidth="1"/>
    <col min="2822" max="2822" width="13" style="32" customWidth="1"/>
    <col min="2823" max="2824" width="11.453125" style="32" customWidth="1"/>
    <col min="2825" max="2826" width="13.26953125" style="32" customWidth="1"/>
    <col min="2827" max="3072" width="9.26953125" style="32"/>
    <col min="3073" max="3073" width="0" style="32" hidden="1" customWidth="1"/>
    <col min="3074" max="3074" width="25.54296875" style="32" customWidth="1"/>
    <col min="3075" max="3077" width="11.453125" style="32" customWidth="1"/>
    <col min="3078" max="3078" width="13" style="32" customWidth="1"/>
    <col min="3079" max="3080" width="11.453125" style="32" customWidth="1"/>
    <col min="3081" max="3082" width="13.26953125" style="32" customWidth="1"/>
    <col min="3083" max="3328" width="9.26953125" style="32"/>
    <col min="3329" max="3329" width="0" style="32" hidden="1" customWidth="1"/>
    <col min="3330" max="3330" width="25.54296875" style="32" customWidth="1"/>
    <col min="3331" max="3333" width="11.453125" style="32" customWidth="1"/>
    <col min="3334" max="3334" width="13" style="32" customWidth="1"/>
    <col min="3335" max="3336" width="11.453125" style="32" customWidth="1"/>
    <col min="3337" max="3338" width="13.26953125" style="32" customWidth="1"/>
    <col min="3339" max="3584" width="9.26953125" style="32"/>
    <col min="3585" max="3585" width="0" style="32" hidden="1" customWidth="1"/>
    <col min="3586" max="3586" width="25.54296875" style="32" customWidth="1"/>
    <col min="3587" max="3589" width="11.453125" style="32" customWidth="1"/>
    <col min="3590" max="3590" width="13" style="32" customWidth="1"/>
    <col min="3591" max="3592" width="11.453125" style="32" customWidth="1"/>
    <col min="3593" max="3594" width="13.26953125" style="32" customWidth="1"/>
    <col min="3595" max="3840" width="9.26953125" style="32"/>
    <col min="3841" max="3841" width="0" style="32" hidden="1" customWidth="1"/>
    <col min="3842" max="3842" width="25.54296875" style="32" customWidth="1"/>
    <col min="3843" max="3845" width="11.453125" style="32" customWidth="1"/>
    <col min="3846" max="3846" width="13" style="32" customWidth="1"/>
    <col min="3847" max="3848" width="11.453125" style="32" customWidth="1"/>
    <col min="3849" max="3850" width="13.26953125" style="32" customWidth="1"/>
    <col min="3851" max="4096" width="9.26953125" style="32"/>
    <col min="4097" max="4097" width="0" style="32" hidden="1" customWidth="1"/>
    <col min="4098" max="4098" width="25.54296875" style="32" customWidth="1"/>
    <col min="4099" max="4101" width="11.453125" style="32" customWidth="1"/>
    <col min="4102" max="4102" width="13" style="32" customWidth="1"/>
    <col min="4103" max="4104" width="11.453125" style="32" customWidth="1"/>
    <col min="4105" max="4106" width="13.26953125" style="32" customWidth="1"/>
    <col min="4107" max="4352" width="9.26953125" style="32"/>
    <col min="4353" max="4353" width="0" style="32" hidden="1" customWidth="1"/>
    <col min="4354" max="4354" width="25.54296875" style="32" customWidth="1"/>
    <col min="4355" max="4357" width="11.453125" style="32" customWidth="1"/>
    <col min="4358" max="4358" width="13" style="32" customWidth="1"/>
    <col min="4359" max="4360" width="11.453125" style="32" customWidth="1"/>
    <col min="4361" max="4362" width="13.26953125" style="32" customWidth="1"/>
    <col min="4363" max="4608" width="9.26953125" style="32"/>
    <col min="4609" max="4609" width="0" style="32" hidden="1" customWidth="1"/>
    <col min="4610" max="4610" width="25.54296875" style="32" customWidth="1"/>
    <col min="4611" max="4613" width="11.453125" style="32" customWidth="1"/>
    <col min="4614" max="4614" width="13" style="32" customWidth="1"/>
    <col min="4615" max="4616" width="11.453125" style="32" customWidth="1"/>
    <col min="4617" max="4618" width="13.26953125" style="32" customWidth="1"/>
    <col min="4619" max="4864" width="9.26953125" style="32"/>
    <col min="4865" max="4865" width="0" style="32" hidden="1" customWidth="1"/>
    <col min="4866" max="4866" width="25.54296875" style="32" customWidth="1"/>
    <col min="4867" max="4869" width="11.453125" style="32" customWidth="1"/>
    <col min="4870" max="4870" width="13" style="32" customWidth="1"/>
    <col min="4871" max="4872" width="11.453125" style="32" customWidth="1"/>
    <col min="4873" max="4874" width="13.26953125" style="32" customWidth="1"/>
    <col min="4875" max="5120" width="9.26953125" style="32"/>
    <col min="5121" max="5121" width="0" style="32" hidden="1" customWidth="1"/>
    <col min="5122" max="5122" width="25.54296875" style="32" customWidth="1"/>
    <col min="5123" max="5125" width="11.453125" style="32" customWidth="1"/>
    <col min="5126" max="5126" width="13" style="32" customWidth="1"/>
    <col min="5127" max="5128" width="11.453125" style="32" customWidth="1"/>
    <col min="5129" max="5130" width="13.26953125" style="32" customWidth="1"/>
    <col min="5131" max="5376" width="9.26953125" style="32"/>
    <col min="5377" max="5377" width="0" style="32" hidden="1" customWidth="1"/>
    <col min="5378" max="5378" width="25.54296875" style="32" customWidth="1"/>
    <col min="5379" max="5381" width="11.453125" style="32" customWidth="1"/>
    <col min="5382" max="5382" width="13" style="32" customWidth="1"/>
    <col min="5383" max="5384" width="11.453125" style="32" customWidth="1"/>
    <col min="5385" max="5386" width="13.26953125" style="32" customWidth="1"/>
    <col min="5387" max="5632" width="9.26953125" style="32"/>
    <col min="5633" max="5633" width="0" style="32" hidden="1" customWidth="1"/>
    <col min="5634" max="5634" width="25.54296875" style="32" customWidth="1"/>
    <col min="5635" max="5637" width="11.453125" style="32" customWidth="1"/>
    <col min="5638" max="5638" width="13" style="32" customWidth="1"/>
    <col min="5639" max="5640" width="11.453125" style="32" customWidth="1"/>
    <col min="5641" max="5642" width="13.26953125" style="32" customWidth="1"/>
    <col min="5643" max="5888" width="9.26953125" style="32"/>
    <col min="5889" max="5889" width="0" style="32" hidden="1" customWidth="1"/>
    <col min="5890" max="5890" width="25.54296875" style="32" customWidth="1"/>
    <col min="5891" max="5893" width="11.453125" style="32" customWidth="1"/>
    <col min="5894" max="5894" width="13" style="32" customWidth="1"/>
    <col min="5895" max="5896" width="11.453125" style="32" customWidth="1"/>
    <col min="5897" max="5898" width="13.26953125" style="32" customWidth="1"/>
    <col min="5899" max="6144" width="9.26953125" style="32"/>
    <col min="6145" max="6145" width="0" style="32" hidden="1" customWidth="1"/>
    <col min="6146" max="6146" width="25.54296875" style="32" customWidth="1"/>
    <col min="6147" max="6149" width="11.453125" style="32" customWidth="1"/>
    <col min="6150" max="6150" width="13" style="32" customWidth="1"/>
    <col min="6151" max="6152" width="11.453125" style="32" customWidth="1"/>
    <col min="6153" max="6154" width="13.26953125" style="32" customWidth="1"/>
    <col min="6155" max="6400" width="9.26953125" style="32"/>
    <col min="6401" max="6401" width="0" style="32" hidden="1" customWidth="1"/>
    <col min="6402" max="6402" width="25.54296875" style="32" customWidth="1"/>
    <col min="6403" max="6405" width="11.453125" style="32" customWidth="1"/>
    <col min="6406" max="6406" width="13" style="32" customWidth="1"/>
    <col min="6407" max="6408" width="11.453125" style="32" customWidth="1"/>
    <col min="6409" max="6410" width="13.26953125" style="32" customWidth="1"/>
    <col min="6411" max="6656" width="9.26953125" style="32"/>
    <col min="6657" max="6657" width="0" style="32" hidden="1" customWidth="1"/>
    <col min="6658" max="6658" width="25.54296875" style="32" customWidth="1"/>
    <col min="6659" max="6661" width="11.453125" style="32" customWidth="1"/>
    <col min="6662" max="6662" width="13" style="32" customWidth="1"/>
    <col min="6663" max="6664" width="11.453125" style="32" customWidth="1"/>
    <col min="6665" max="6666" width="13.26953125" style="32" customWidth="1"/>
    <col min="6667" max="6912" width="9.26953125" style="32"/>
    <col min="6913" max="6913" width="0" style="32" hidden="1" customWidth="1"/>
    <col min="6914" max="6914" width="25.54296875" style="32" customWidth="1"/>
    <col min="6915" max="6917" width="11.453125" style="32" customWidth="1"/>
    <col min="6918" max="6918" width="13" style="32" customWidth="1"/>
    <col min="6919" max="6920" width="11.453125" style="32" customWidth="1"/>
    <col min="6921" max="6922" width="13.26953125" style="32" customWidth="1"/>
    <col min="6923" max="7168" width="9.26953125" style="32"/>
    <col min="7169" max="7169" width="0" style="32" hidden="1" customWidth="1"/>
    <col min="7170" max="7170" width="25.54296875" style="32" customWidth="1"/>
    <col min="7171" max="7173" width="11.453125" style="32" customWidth="1"/>
    <col min="7174" max="7174" width="13" style="32" customWidth="1"/>
    <col min="7175" max="7176" width="11.453125" style="32" customWidth="1"/>
    <col min="7177" max="7178" width="13.26953125" style="32" customWidth="1"/>
    <col min="7179" max="7424" width="9.26953125" style="32"/>
    <col min="7425" max="7425" width="0" style="32" hidden="1" customWidth="1"/>
    <col min="7426" max="7426" width="25.54296875" style="32" customWidth="1"/>
    <col min="7427" max="7429" width="11.453125" style="32" customWidth="1"/>
    <col min="7430" max="7430" width="13" style="32" customWidth="1"/>
    <col min="7431" max="7432" width="11.453125" style="32" customWidth="1"/>
    <col min="7433" max="7434" width="13.26953125" style="32" customWidth="1"/>
    <col min="7435" max="7680" width="9.26953125" style="32"/>
    <col min="7681" max="7681" width="0" style="32" hidden="1" customWidth="1"/>
    <col min="7682" max="7682" width="25.54296875" style="32" customWidth="1"/>
    <col min="7683" max="7685" width="11.453125" style="32" customWidth="1"/>
    <col min="7686" max="7686" width="13" style="32" customWidth="1"/>
    <col min="7687" max="7688" width="11.453125" style="32" customWidth="1"/>
    <col min="7689" max="7690" width="13.26953125" style="32" customWidth="1"/>
    <col min="7691" max="7936" width="9.26953125" style="32"/>
    <col min="7937" max="7937" width="0" style="32" hidden="1" customWidth="1"/>
    <col min="7938" max="7938" width="25.54296875" style="32" customWidth="1"/>
    <col min="7939" max="7941" width="11.453125" style="32" customWidth="1"/>
    <col min="7942" max="7942" width="13" style="32" customWidth="1"/>
    <col min="7943" max="7944" width="11.453125" style="32" customWidth="1"/>
    <col min="7945" max="7946" width="13.26953125" style="32" customWidth="1"/>
    <col min="7947" max="8192" width="9.26953125" style="32"/>
    <col min="8193" max="8193" width="0" style="32" hidden="1" customWidth="1"/>
    <col min="8194" max="8194" width="25.54296875" style="32" customWidth="1"/>
    <col min="8195" max="8197" width="11.453125" style="32" customWidth="1"/>
    <col min="8198" max="8198" width="13" style="32" customWidth="1"/>
    <col min="8199" max="8200" width="11.453125" style="32" customWidth="1"/>
    <col min="8201" max="8202" width="13.26953125" style="32" customWidth="1"/>
    <col min="8203" max="8448" width="9.26953125" style="32"/>
    <col min="8449" max="8449" width="0" style="32" hidden="1" customWidth="1"/>
    <col min="8450" max="8450" width="25.54296875" style="32" customWidth="1"/>
    <col min="8451" max="8453" width="11.453125" style="32" customWidth="1"/>
    <col min="8454" max="8454" width="13" style="32" customWidth="1"/>
    <col min="8455" max="8456" width="11.453125" style="32" customWidth="1"/>
    <col min="8457" max="8458" width="13.26953125" style="32" customWidth="1"/>
    <col min="8459" max="8704" width="9.26953125" style="32"/>
    <col min="8705" max="8705" width="0" style="32" hidden="1" customWidth="1"/>
    <col min="8706" max="8706" width="25.54296875" style="32" customWidth="1"/>
    <col min="8707" max="8709" width="11.453125" style="32" customWidth="1"/>
    <col min="8710" max="8710" width="13" style="32" customWidth="1"/>
    <col min="8711" max="8712" width="11.453125" style="32" customWidth="1"/>
    <col min="8713" max="8714" width="13.26953125" style="32" customWidth="1"/>
    <col min="8715" max="8960" width="9.26953125" style="32"/>
    <col min="8961" max="8961" width="0" style="32" hidden="1" customWidth="1"/>
    <col min="8962" max="8962" width="25.54296875" style="32" customWidth="1"/>
    <col min="8963" max="8965" width="11.453125" style="32" customWidth="1"/>
    <col min="8966" max="8966" width="13" style="32" customWidth="1"/>
    <col min="8967" max="8968" width="11.453125" style="32" customWidth="1"/>
    <col min="8969" max="8970" width="13.26953125" style="32" customWidth="1"/>
    <col min="8971" max="9216" width="9.26953125" style="32"/>
    <col min="9217" max="9217" width="0" style="32" hidden="1" customWidth="1"/>
    <col min="9218" max="9218" width="25.54296875" style="32" customWidth="1"/>
    <col min="9219" max="9221" width="11.453125" style="32" customWidth="1"/>
    <col min="9222" max="9222" width="13" style="32" customWidth="1"/>
    <col min="9223" max="9224" width="11.453125" style="32" customWidth="1"/>
    <col min="9225" max="9226" width="13.26953125" style="32" customWidth="1"/>
    <col min="9227" max="9472" width="9.26953125" style="32"/>
    <col min="9473" max="9473" width="0" style="32" hidden="1" customWidth="1"/>
    <col min="9474" max="9474" width="25.54296875" style="32" customWidth="1"/>
    <col min="9475" max="9477" width="11.453125" style="32" customWidth="1"/>
    <col min="9478" max="9478" width="13" style="32" customWidth="1"/>
    <col min="9479" max="9480" width="11.453125" style="32" customWidth="1"/>
    <col min="9481" max="9482" width="13.26953125" style="32" customWidth="1"/>
    <col min="9483" max="9728" width="9.26953125" style="32"/>
    <col min="9729" max="9729" width="0" style="32" hidden="1" customWidth="1"/>
    <col min="9730" max="9730" width="25.54296875" style="32" customWidth="1"/>
    <col min="9731" max="9733" width="11.453125" style="32" customWidth="1"/>
    <col min="9734" max="9734" width="13" style="32" customWidth="1"/>
    <col min="9735" max="9736" width="11.453125" style="32" customWidth="1"/>
    <col min="9737" max="9738" width="13.26953125" style="32" customWidth="1"/>
    <col min="9739" max="9984" width="9.26953125" style="32"/>
    <col min="9985" max="9985" width="0" style="32" hidden="1" customWidth="1"/>
    <col min="9986" max="9986" width="25.54296875" style="32" customWidth="1"/>
    <col min="9987" max="9989" width="11.453125" style="32" customWidth="1"/>
    <col min="9990" max="9990" width="13" style="32" customWidth="1"/>
    <col min="9991" max="9992" width="11.453125" style="32" customWidth="1"/>
    <col min="9993" max="9994" width="13.26953125" style="32" customWidth="1"/>
    <col min="9995" max="10240" width="9.26953125" style="32"/>
    <col min="10241" max="10241" width="0" style="32" hidden="1" customWidth="1"/>
    <col min="10242" max="10242" width="25.54296875" style="32" customWidth="1"/>
    <col min="10243" max="10245" width="11.453125" style="32" customWidth="1"/>
    <col min="10246" max="10246" width="13" style="32" customWidth="1"/>
    <col min="10247" max="10248" width="11.453125" style="32" customWidth="1"/>
    <col min="10249" max="10250" width="13.26953125" style="32" customWidth="1"/>
    <col min="10251" max="10496" width="9.26953125" style="32"/>
    <col min="10497" max="10497" width="0" style="32" hidden="1" customWidth="1"/>
    <col min="10498" max="10498" width="25.54296875" style="32" customWidth="1"/>
    <col min="10499" max="10501" width="11.453125" style="32" customWidth="1"/>
    <col min="10502" max="10502" width="13" style="32" customWidth="1"/>
    <col min="10503" max="10504" width="11.453125" style="32" customWidth="1"/>
    <col min="10505" max="10506" width="13.26953125" style="32" customWidth="1"/>
    <col min="10507" max="10752" width="9.26953125" style="32"/>
    <col min="10753" max="10753" width="0" style="32" hidden="1" customWidth="1"/>
    <col min="10754" max="10754" width="25.54296875" style="32" customWidth="1"/>
    <col min="10755" max="10757" width="11.453125" style="32" customWidth="1"/>
    <col min="10758" max="10758" width="13" style="32" customWidth="1"/>
    <col min="10759" max="10760" width="11.453125" style="32" customWidth="1"/>
    <col min="10761" max="10762" width="13.26953125" style="32" customWidth="1"/>
    <col min="10763" max="11008" width="9.26953125" style="32"/>
    <col min="11009" max="11009" width="0" style="32" hidden="1" customWidth="1"/>
    <col min="11010" max="11010" width="25.54296875" style="32" customWidth="1"/>
    <col min="11011" max="11013" width="11.453125" style="32" customWidth="1"/>
    <col min="11014" max="11014" width="13" style="32" customWidth="1"/>
    <col min="11015" max="11016" width="11.453125" style="32" customWidth="1"/>
    <col min="11017" max="11018" width="13.26953125" style="32" customWidth="1"/>
    <col min="11019" max="11264" width="9.26953125" style="32"/>
    <col min="11265" max="11265" width="0" style="32" hidden="1" customWidth="1"/>
    <col min="11266" max="11266" width="25.54296875" style="32" customWidth="1"/>
    <col min="11267" max="11269" width="11.453125" style="32" customWidth="1"/>
    <col min="11270" max="11270" width="13" style="32" customWidth="1"/>
    <col min="11271" max="11272" width="11.453125" style="32" customWidth="1"/>
    <col min="11273" max="11274" width="13.26953125" style="32" customWidth="1"/>
    <col min="11275" max="11520" width="9.26953125" style="32"/>
    <col min="11521" max="11521" width="0" style="32" hidden="1" customWidth="1"/>
    <col min="11522" max="11522" width="25.54296875" style="32" customWidth="1"/>
    <col min="11523" max="11525" width="11.453125" style="32" customWidth="1"/>
    <col min="11526" max="11526" width="13" style="32" customWidth="1"/>
    <col min="11527" max="11528" width="11.453125" style="32" customWidth="1"/>
    <col min="11529" max="11530" width="13.26953125" style="32" customWidth="1"/>
    <col min="11531" max="11776" width="9.26953125" style="32"/>
    <col min="11777" max="11777" width="0" style="32" hidden="1" customWidth="1"/>
    <col min="11778" max="11778" width="25.54296875" style="32" customWidth="1"/>
    <col min="11779" max="11781" width="11.453125" style="32" customWidth="1"/>
    <col min="11782" max="11782" width="13" style="32" customWidth="1"/>
    <col min="11783" max="11784" width="11.453125" style="32" customWidth="1"/>
    <col min="11785" max="11786" width="13.26953125" style="32" customWidth="1"/>
    <col min="11787" max="12032" width="9.26953125" style="32"/>
    <col min="12033" max="12033" width="0" style="32" hidden="1" customWidth="1"/>
    <col min="12034" max="12034" width="25.54296875" style="32" customWidth="1"/>
    <col min="12035" max="12037" width="11.453125" style="32" customWidth="1"/>
    <col min="12038" max="12038" width="13" style="32" customWidth="1"/>
    <col min="12039" max="12040" width="11.453125" style="32" customWidth="1"/>
    <col min="12041" max="12042" width="13.26953125" style="32" customWidth="1"/>
    <col min="12043" max="12288" width="9.26953125" style="32"/>
    <col min="12289" max="12289" width="0" style="32" hidden="1" customWidth="1"/>
    <col min="12290" max="12290" width="25.54296875" style="32" customWidth="1"/>
    <col min="12291" max="12293" width="11.453125" style="32" customWidth="1"/>
    <col min="12294" max="12294" width="13" style="32" customWidth="1"/>
    <col min="12295" max="12296" width="11.453125" style="32" customWidth="1"/>
    <col min="12297" max="12298" width="13.26953125" style="32" customWidth="1"/>
    <col min="12299" max="12544" width="9.26953125" style="32"/>
    <col min="12545" max="12545" width="0" style="32" hidden="1" customWidth="1"/>
    <col min="12546" max="12546" width="25.54296875" style="32" customWidth="1"/>
    <col min="12547" max="12549" width="11.453125" style="32" customWidth="1"/>
    <col min="12550" max="12550" width="13" style="32" customWidth="1"/>
    <col min="12551" max="12552" width="11.453125" style="32" customWidth="1"/>
    <col min="12553" max="12554" width="13.26953125" style="32" customWidth="1"/>
    <col min="12555" max="12800" width="9.26953125" style="32"/>
    <col min="12801" max="12801" width="0" style="32" hidden="1" customWidth="1"/>
    <col min="12802" max="12802" width="25.54296875" style="32" customWidth="1"/>
    <col min="12803" max="12805" width="11.453125" style="32" customWidth="1"/>
    <col min="12806" max="12806" width="13" style="32" customWidth="1"/>
    <col min="12807" max="12808" width="11.453125" style="32" customWidth="1"/>
    <col min="12809" max="12810" width="13.26953125" style="32" customWidth="1"/>
    <col min="12811" max="13056" width="9.26953125" style="32"/>
    <col min="13057" max="13057" width="0" style="32" hidden="1" customWidth="1"/>
    <col min="13058" max="13058" width="25.54296875" style="32" customWidth="1"/>
    <col min="13059" max="13061" width="11.453125" style="32" customWidth="1"/>
    <col min="13062" max="13062" width="13" style="32" customWidth="1"/>
    <col min="13063" max="13064" width="11.453125" style="32" customWidth="1"/>
    <col min="13065" max="13066" width="13.26953125" style="32" customWidth="1"/>
    <col min="13067" max="13312" width="9.26953125" style="32"/>
    <col min="13313" max="13313" width="0" style="32" hidden="1" customWidth="1"/>
    <col min="13314" max="13314" width="25.54296875" style="32" customWidth="1"/>
    <col min="13315" max="13317" width="11.453125" style="32" customWidth="1"/>
    <col min="13318" max="13318" width="13" style="32" customWidth="1"/>
    <col min="13319" max="13320" width="11.453125" style="32" customWidth="1"/>
    <col min="13321" max="13322" width="13.26953125" style="32" customWidth="1"/>
    <col min="13323" max="13568" width="9.26953125" style="32"/>
    <col min="13569" max="13569" width="0" style="32" hidden="1" customWidth="1"/>
    <col min="13570" max="13570" width="25.54296875" style="32" customWidth="1"/>
    <col min="13571" max="13573" width="11.453125" style="32" customWidth="1"/>
    <col min="13574" max="13574" width="13" style="32" customWidth="1"/>
    <col min="13575" max="13576" width="11.453125" style="32" customWidth="1"/>
    <col min="13577" max="13578" width="13.26953125" style="32" customWidth="1"/>
    <col min="13579" max="13824" width="9.26953125" style="32"/>
    <col min="13825" max="13825" width="0" style="32" hidden="1" customWidth="1"/>
    <col min="13826" max="13826" width="25.54296875" style="32" customWidth="1"/>
    <col min="13827" max="13829" width="11.453125" style="32" customWidth="1"/>
    <col min="13830" max="13830" width="13" style="32" customWidth="1"/>
    <col min="13831" max="13832" width="11.453125" style="32" customWidth="1"/>
    <col min="13833" max="13834" width="13.26953125" style="32" customWidth="1"/>
    <col min="13835" max="14080" width="9.26953125" style="32"/>
    <col min="14081" max="14081" width="0" style="32" hidden="1" customWidth="1"/>
    <col min="14082" max="14082" width="25.54296875" style="32" customWidth="1"/>
    <col min="14083" max="14085" width="11.453125" style="32" customWidth="1"/>
    <col min="14086" max="14086" width="13" style="32" customWidth="1"/>
    <col min="14087" max="14088" width="11.453125" style="32" customWidth="1"/>
    <col min="14089" max="14090" width="13.26953125" style="32" customWidth="1"/>
    <col min="14091" max="14336" width="9.26953125" style="32"/>
    <col min="14337" max="14337" width="0" style="32" hidden="1" customWidth="1"/>
    <col min="14338" max="14338" width="25.54296875" style="32" customWidth="1"/>
    <col min="14339" max="14341" width="11.453125" style="32" customWidth="1"/>
    <col min="14342" max="14342" width="13" style="32" customWidth="1"/>
    <col min="14343" max="14344" width="11.453125" style="32" customWidth="1"/>
    <col min="14345" max="14346" width="13.26953125" style="32" customWidth="1"/>
    <col min="14347" max="14592" width="9.26953125" style="32"/>
    <col min="14593" max="14593" width="0" style="32" hidden="1" customWidth="1"/>
    <col min="14594" max="14594" width="25.54296875" style="32" customWidth="1"/>
    <col min="14595" max="14597" width="11.453125" style="32" customWidth="1"/>
    <col min="14598" max="14598" width="13" style="32" customWidth="1"/>
    <col min="14599" max="14600" width="11.453125" style="32" customWidth="1"/>
    <col min="14601" max="14602" width="13.26953125" style="32" customWidth="1"/>
    <col min="14603" max="14848" width="9.26953125" style="32"/>
    <col min="14849" max="14849" width="0" style="32" hidden="1" customWidth="1"/>
    <col min="14850" max="14850" width="25.54296875" style="32" customWidth="1"/>
    <col min="14851" max="14853" width="11.453125" style="32" customWidth="1"/>
    <col min="14854" max="14854" width="13" style="32" customWidth="1"/>
    <col min="14855" max="14856" width="11.453125" style="32" customWidth="1"/>
    <col min="14857" max="14858" width="13.26953125" style="32" customWidth="1"/>
    <col min="14859" max="15104" width="9.26953125" style="32"/>
    <col min="15105" max="15105" width="0" style="32" hidden="1" customWidth="1"/>
    <col min="15106" max="15106" width="25.54296875" style="32" customWidth="1"/>
    <col min="15107" max="15109" width="11.453125" style="32" customWidth="1"/>
    <col min="15110" max="15110" width="13" style="32" customWidth="1"/>
    <col min="15111" max="15112" width="11.453125" style="32" customWidth="1"/>
    <col min="15113" max="15114" width="13.26953125" style="32" customWidth="1"/>
    <col min="15115" max="15360" width="9.26953125" style="32"/>
    <col min="15361" max="15361" width="0" style="32" hidden="1" customWidth="1"/>
    <col min="15362" max="15362" width="25.54296875" style="32" customWidth="1"/>
    <col min="15363" max="15365" width="11.453125" style="32" customWidth="1"/>
    <col min="15366" max="15366" width="13" style="32" customWidth="1"/>
    <col min="15367" max="15368" width="11.453125" style="32" customWidth="1"/>
    <col min="15369" max="15370" width="13.26953125" style="32" customWidth="1"/>
    <col min="15371" max="15616" width="9.26953125" style="32"/>
    <col min="15617" max="15617" width="0" style="32" hidden="1" customWidth="1"/>
    <col min="15618" max="15618" width="25.54296875" style="32" customWidth="1"/>
    <col min="15619" max="15621" width="11.453125" style="32" customWidth="1"/>
    <col min="15622" max="15622" width="13" style="32" customWidth="1"/>
    <col min="15623" max="15624" width="11.453125" style="32" customWidth="1"/>
    <col min="15625" max="15626" width="13.26953125" style="32" customWidth="1"/>
    <col min="15627" max="15872" width="9.26953125" style="32"/>
    <col min="15873" max="15873" width="0" style="32" hidden="1" customWidth="1"/>
    <col min="15874" max="15874" width="25.54296875" style="32" customWidth="1"/>
    <col min="15875" max="15877" width="11.453125" style="32" customWidth="1"/>
    <col min="15878" max="15878" width="13" style="32" customWidth="1"/>
    <col min="15879" max="15880" width="11.453125" style="32" customWidth="1"/>
    <col min="15881" max="15882" width="13.26953125" style="32" customWidth="1"/>
    <col min="15883" max="16128" width="9.26953125" style="32"/>
    <col min="16129" max="16129" width="0" style="32" hidden="1" customWidth="1"/>
    <col min="16130" max="16130" width="25.54296875" style="32" customWidth="1"/>
    <col min="16131" max="16133" width="11.453125" style="32" customWidth="1"/>
    <col min="16134" max="16134" width="13" style="32" customWidth="1"/>
    <col min="16135" max="16136" width="11.453125" style="32" customWidth="1"/>
    <col min="16137" max="16138" width="13.26953125" style="32" customWidth="1"/>
    <col min="16139" max="16384" width="9.26953125" style="32"/>
  </cols>
  <sheetData>
    <row r="1" spans="1:20" ht="40.5" customHeight="1" x14ac:dyDescent="0.3">
      <c r="B1" s="128" t="s">
        <v>66</v>
      </c>
      <c r="C1" s="129"/>
      <c r="D1" s="129"/>
      <c r="E1" s="129"/>
      <c r="F1" s="129"/>
      <c r="G1" s="129"/>
      <c r="H1" s="129"/>
      <c r="I1" s="129"/>
      <c r="J1" s="130"/>
    </row>
    <row r="2" spans="1:20" s="33" customFormat="1" ht="60.75" customHeight="1" x14ac:dyDescent="0.3">
      <c r="B2" s="120"/>
      <c r="C2" s="122" t="s">
        <v>67</v>
      </c>
      <c r="D2" s="131"/>
      <c r="E2" s="132" t="s">
        <v>68</v>
      </c>
      <c r="F2" s="132"/>
      <c r="G2" s="132" t="s">
        <v>69</v>
      </c>
      <c r="H2" s="132"/>
      <c r="I2" s="122" t="s">
        <v>70</v>
      </c>
      <c r="J2" s="131"/>
      <c r="K2" s="32"/>
    </row>
    <row r="3" spans="1:20" s="33" customFormat="1" ht="24" customHeight="1" x14ac:dyDescent="0.35">
      <c r="B3" s="121"/>
      <c r="C3" s="34" t="s">
        <v>71</v>
      </c>
      <c r="D3" s="35" t="s">
        <v>72</v>
      </c>
      <c r="E3" s="34" t="s">
        <v>71</v>
      </c>
      <c r="F3" s="35" t="s">
        <v>72</v>
      </c>
      <c r="G3" s="34" t="s">
        <v>71</v>
      </c>
      <c r="H3" s="35" t="s">
        <v>72</v>
      </c>
      <c r="I3" s="34" t="s">
        <v>71</v>
      </c>
      <c r="J3" s="35" t="s">
        <v>72</v>
      </c>
    </row>
    <row r="4" spans="1:20" s="33" customFormat="1" ht="24" hidden="1" customHeight="1" x14ac:dyDescent="0.35">
      <c r="C4" s="36" t="s">
        <v>73</v>
      </c>
      <c r="D4" s="36" t="s">
        <v>73</v>
      </c>
      <c r="E4" s="37" t="s">
        <v>74</v>
      </c>
      <c r="F4" s="37" t="s">
        <v>74</v>
      </c>
      <c r="G4" s="37" t="s">
        <v>75</v>
      </c>
      <c r="H4" s="37" t="s">
        <v>75</v>
      </c>
      <c r="I4" s="36" t="s">
        <v>76</v>
      </c>
      <c r="J4" s="36" t="s">
        <v>76</v>
      </c>
    </row>
    <row r="5" spans="1:20" s="33" customFormat="1" ht="24" hidden="1" customHeight="1" x14ac:dyDescent="0.35">
      <c r="C5" s="36" t="s">
        <v>71</v>
      </c>
      <c r="D5" s="37" t="s">
        <v>72</v>
      </c>
      <c r="E5" s="36" t="s">
        <v>71</v>
      </c>
      <c r="F5" s="37" t="s">
        <v>72</v>
      </c>
      <c r="G5" s="36" t="s">
        <v>71</v>
      </c>
      <c r="H5" s="37" t="s">
        <v>72</v>
      </c>
      <c r="I5" s="36" t="s">
        <v>71</v>
      </c>
      <c r="J5" s="37" t="s">
        <v>72</v>
      </c>
    </row>
    <row r="6" spans="1:20" s="33" customFormat="1" ht="25.5" customHeight="1" x14ac:dyDescent="0.35">
      <c r="B6" s="38" t="s">
        <v>0</v>
      </c>
      <c r="C6" s="39">
        <v>609261</v>
      </c>
      <c r="D6" s="39">
        <v>727515.68333333335</v>
      </c>
      <c r="E6" s="39">
        <v>243136</v>
      </c>
      <c r="F6" s="39">
        <v>245084.63</v>
      </c>
      <c r="G6" s="39">
        <f>G7+G48</f>
        <v>115347</v>
      </c>
      <c r="H6" s="39">
        <f>H7+H48</f>
        <v>116082.65333333334</v>
      </c>
      <c r="I6" s="39">
        <v>41770</v>
      </c>
      <c r="J6" s="39">
        <v>55817.17</v>
      </c>
      <c r="L6" s="39"/>
      <c r="M6" s="39"/>
      <c r="N6" s="41"/>
      <c r="O6" s="41"/>
      <c r="P6" s="41"/>
      <c r="Q6" s="41"/>
      <c r="R6" s="41"/>
      <c r="S6" s="41"/>
      <c r="T6" s="41"/>
    </row>
    <row r="7" spans="1:20" s="38" customFormat="1" ht="26.25" customHeight="1" x14ac:dyDescent="0.35">
      <c r="A7" s="28"/>
      <c r="B7" s="38" t="s">
        <v>52</v>
      </c>
      <c r="C7" s="42">
        <v>311859</v>
      </c>
      <c r="D7" s="42">
        <v>417446.55000000005</v>
      </c>
      <c r="E7" s="42">
        <v>152427</v>
      </c>
      <c r="F7" s="42">
        <v>176903.93</v>
      </c>
      <c r="G7" s="42">
        <f>SUM(G8:G47)</f>
        <v>64581</v>
      </c>
      <c r="H7" s="42">
        <f>SUM(H8:H47)</f>
        <v>74884.47</v>
      </c>
      <c r="I7" s="42">
        <v>18622</v>
      </c>
      <c r="J7" s="42">
        <v>15739.17</v>
      </c>
      <c r="L7" s="42"/>
      <c r="M7" s="42"/>
      <c r="N7" s="41"/>
      <c r="O7" s="41"/>
      <c r="P7" s="41"/>
      <c r="Q7" s="41"/>
      <c r="R7" s="41"/>
      <c r="S7" s="41"/>
    </row>
    <row r="8" spans="1:20" s="33" customFormat="1" ht="12.5" x14ac:dyDescent="0.35">
      <c r="A8" s="29">
        <v>51</v>
      </c>
      <c r="B8" s="33" t="s">
        <v>5</v>
      </c>
      <c r="C8" s="43">
        <v>5607</v>
      </c>
      <c r="D8" s="43">
        <v>3863</v>
      </c>
      <c r="E8" s="43">
        <v>3357</v>
      </c>
      <c r="F8" s="43">
        <v>2313</v>
      </c>
      <c r="G8" s="43">
        <v>2083</v>
      </c>
      <c r="H8" s="43">
        <v>1435</v>
      </c>
      <c r="I8" s="43">
        <v>1048</v>
      </c>
      <c r="J8" s="43">
        <v>531</v>
      </c>
      <c r="L8" s="41"/>
      <c r="M8" s="41"/>
      <c r="N8" s="41"/>
      <c r="O8" s="41"/>
      <c r="P8" s="41"/>
      <c r="Q8" s="41"/>
      <c r="R8" s="41"/>
      <c r="S8" s="41"/>
    </row>
    <row r="9" spans="1:20" s="33" customFormat="1" ht="12.5" x14ac:dyDescent="0.35">
      <c r="A9" s="29">
        <v>52</v>
      </c>
      <c r="B9" s="33" t="s">
        <v>6</v>
      </c>
      <c r="C9" s="43">
        <v>4501</v>
      </c>
      <c r="D9" s="43">
        <v>5153</v>
      </c>
      <c r="E9" s="43" t="s">
        <v>77</v>
      </c>
      <c r="F9" s="43">
        <v>1637</v>
      </c>
      <c r="G9" s="43" t="s">
        <v>77</v>
      </c>
      <c r="H9" s="43" t="s">
        <v>77</v>
      </c>
      <c r="I9" s="43">
        <v>807</v>
      </c>
      <c r="J9" s="43" t="s">
        <v>77</v>
      </c>
      <c r="L9" s="41"/>
      <c r="M9" s="41"/>
      <c r="N9" s="41"/>
      <c r="O9" s="41"/>
      <c r="P9" s="41"/>
      <c r="Q9" s="41"/>
      <c r="R9" s="41"/>
      <c r="S9" s="41"/>
    </row>
    <row r="10" spans="1:20" s="33" customFormat="1" ht="13.5" customHeight="1" x14ac:dyDescent="0.35">
      <c r="A10" s="29">
        <v>86</v>
      </c>
      <c r="B10" s="33" t="s">
        <v>7</v>
      </c>
      <c r="C10" s="43">
        <v>8497</v>
      </c>
      <c r="D10" s="43">
        <v>14343</v>
      </c>
      <c r="E10" s="43">
        <v>4063</v>
      </c>
      <c r="F10" s="43">
        <v>8126</v>
      </c>
      <c r="G10" s="43">
        <v>1783</v>
      </c>
      <c r="H10" s="43">
        <v>3566</v>
      </c>
      <c r="I10" s="43" t="s">
        <v>77</v>
      </c>
      <c r="J10" s="43" t="s">
        <v>77</v>
      </c>
      <c r="L10" s="41"/>
      <c r="M10" s="41"/>
      <c r="N10" s="41"/>
      <c r="O10" s="41"/>
      <c r="P10" s="41"/>
      <c r="Q10" s="41"/>
      <c r="R10" s="41"/>
      <c r="S10" s="41"/>
    </row>
    <row r="11" spans="1:20" s="33" customFormat="1" ht="12.5" x14ac:dyDescent="0.35">
      <c r="A11" s="29">
        <v>53</v>
      </c>
      <c r="B11" s="33" t="s">
        <v>8</v>
      </c>
      <c r="C11" s="43">
        <v>4638</v>
      </c>
      <c r="D11" s="43">
        <v>4319</v>
      </c>
      <c r="E11" s="43">
        <v>1237</v>
      </c>
      <c r="F11" s="43">
        <v>824</v>
      </c>
      <c r="G11" s="43">
        <v>470</v>
      </c>
      <c r="H11" s="43">
        <v>174</v>
      </c>
      <c r="I11" s="43">
        <v>0</v>
      </c>
      <c r="J11" s="43">
        <v>0</v>
      </c>
      <c r="L11" s="41"/>
      <c r="M11" s="41"/>
      <c r="N11" s="41"/>
      <c r="O11" s="41"/>
      <c r="P11" s="41"/>
      <c r="Q11" s="41"/>
      <c r="R11" s="41"/>
      <c r="S11" s="41"/>
    </row>
    <row r="12" spans="1:20" s="33" customFormat="1" ht="12.5" x14ac:dyDescent="0.35">
      <c r="A12" s="29">
        <v>54</v>
      </c>
      <c r="B12" s="33" t="s">
        <v>9</v>
      </c>
      <c r="C12" s="43">
        <v>3778</v>
      </c>
      <c r="D12" s="43">
        <v>3443</v>
      </c>
      <c r="E12" s="43">
        <v>1937</v>
      </c>
      <c r="F12" s="43">
        <v>2030</v>
      </c>
      <c r="G12" s="43">
        <v>1359</v>
      </c>
      <c r="H12" s="43">
        <v>1769</v>
      </c>
      <c r="I12" s="43">
        <v>567</v>
      </c>
      <c r="J12" s="43">
        <v>519.75</v>
      </c>
      <c r="L12" s="41"/>
      <c r="M12" s="41"/>
      <c r="N12" s="41"/>
      <c r="O12" s="41"/>
      <c r="P12" s="41"/>
      <c r="Q12" s="41"/>
      <c r="R12" s="41"/>
      <c r="S12" s="41"/>
    </row>
    <row r="13" spans="1:20" s="33" customFormat="1" ht="12.5" x14ac:dyDescent="0.35">
      <c r="A13" s="29">
        <v>55</v>
      </c>
      <c r="B13" s="33" t="s">
        <v>10</v>
      </c>
      <c r="C13" s="43">
        <v>27953</v>
      </c>
      <c r="D13" s="43">
        <v>12293</v>
      </c>
      <c r="E13" s="43">
        <v>22565</v>
      </c>
      <c r="F13" s="43">
        <v>9721</v>
      </c>
      <c r="G13" s="43">
        <v>7656</v>
      </c>
      <c r="H13" s="43">
        <v>3949</v>
      </c>
      <c r="I13" s="43" t="s">
        <v>77</v>
      </c>
      <c r="J13" s="43" t="s">
        <v>77</v>
      </c>
      <c r="L13" s="41"/>
      <c r="M13" s="41"/>
      <c r="N13" s="41"/>
      <c r="O13" s="41"/>
      <c r="P13" s="41"/>
      <c r="Q13" s="41"/>
      <c r="R13" s="41"/>
      <c r="S13" s="41"/>
    </row>
    <row r="14" spans="1:20" s="33" customFormat="1" ht="12.5" x14ac:dyDescent="0.35">
      <c r="A14" s="29">
        <v>56</v>
      </c>
      <c r="B14" s="33" t="s">
        <v>11</v>
      </c>
      <c r="C14" s="43">
        <v>25691</v>
      </c>
      <c r="D14" s="43">
        <v>77073</v>
      </c>
      <c r="E14" s="43">
        <v>6447</v>
      </c>
      <c r="F14" s="43">
        <v>20700</v>
      </c>
      <c r="G14" s="43">
        <v>2175</v>
      </c>
      <c r="H14" s="43">
        <v>6964</v>
      </c>
      <c r="I14" s="43">
        <v>865</v>
      </c>
      <c r="J14" s="43">
        <v>1298</v>
      </c>
      <c r="L14" s="41"/>
      <c r="M14" s="41"/>
      <c r="N14" s="41"/>
      <c r="O14" s="41"/>
      <c r="P14" s="41"/>
      <c r="Q14" s="41"/>
      <c r="R14" s="41"/>
      <c r="S14" s="41"/>
    </row>
    <row r="15" spans="1:20" s="33" customFormat="1" ht="12.5" x14ac:dyDescent="0.35">
      <c r="A15" s="29">
        <v>57</v>
      </c>
      <c r="B15" s="33" t="s">
        <v>12</v>
      </c>
      <c r="C15" s="43">
        <v>4378</v>
      </c>
      <c r="D15" s="43">
        <v>3245</v>
      </c>
      <c r="E15" s="43">
        <v>1400</v>
      </c>
      <c r="F15" s="43">
        <v>1400</v>
      </c>
      <c r="G15" s="43">
        <v>1100</v>
      </c>
      <c r="H15" s="43">
        <v>1300</v>
      </c>
      <c r="I15" s="43">
        <v>1585</v>
      </c>
      <c r="J15" s="43">
        <v>289</v>
      </c>
      <c r="L15" s="41"/>
      <c r="M15" s="41"/>
      <c r="N15" s="41"/>
      <c r="O15" s="41"/>
      <c r="P15" s="41"/>
      <c r="Q15" s="41"/>
      <c r="R15" s="41"/>
      <c r="S15" s="41"/>
    </row>
    <row r="16" spans="1:20" s="33" customFormat="1" ht="12.5" x14ac:dyDescent="0.35">
      <c r="A16" s="29">
        <v>59</v>
      </c>
      <c r="B16" s="33" t="s">
        <v>13</v>
      </c>
      <c r="C16" s="43">
        <v>8596</v>
      </c>
      <c r="D16" s="43">
        <v>6066</v>
      </c>
      <c r="E16" s="43">
        <v>2207</v>
      </c>
      <c r="F16" s="43">
        <v>1939</v>
      </c>
      <c r="G16" s="43">
        <v>672</v>
      </c>
      <c r="H16" s="43">
        <v>599</v>
      </c>
      <c r="I16" s="43" t="s">
        <v>77</v>
      </c>
      <c r="J16" s="43" t="s">
        <v>77</v>
      </c>
      <c r="L16" s="41"/>
      <c r="M16" s="41"/>
      <c r="N16" s="41"/>
      <c r="O16" s="41"/>
      <c r="P16" s="41"/>
      <c r="Q16" s="41"/>
      <c r="R16" s="41"/>
      <c r="S16" s="41"/>
    </row>
    <row r="17" spans="1:19" s="33" customFormat="1" ht="12.5" x14ac:dyDescent="0.35">
      <c r="A17" s="29">
        <v>60</v>
      </c>
      <c r="B17" s="33" t="s">
        <v>14</v>
      </c>
      <c r="C17" s="43">
        <v>7617</v>
      </c>
      <c r="D17" s="43">
        <v>11298</v>
      </c>
      <c r="E17" s="43">
        <v>4131</v>
      </c>
      <c r="F17" s="43">
        <v>6145</v>
      </c>
      <c r="G17" s="43">
        <v>1760</v>
      </c>
      <c r="H17" s="43">
        <v>3188</v>
      </c>
      <c r="I17" s="43">
        <v>5989</v>
      </c>
      <c r="J17" s="43">
        <v>6516</v>
      </c>
      <c r="L17" s="41"/>
      <c r="M17" s="41"/>
      <c r="N17" s="41"/>
      <c r="O17" s="41"/>
      <c r="P17" s="41"/>
      <c r="Q17" s="41"/>
      <c r="R17" s="41"/>
      <c r="S17" s="41"/>
    </row>
    <row r="18" spans="1:19" s="33" customFormat="1" ht="12.5" x14ac:dyDescent="0.35">
      <c r="A18" s="29">
        <v>61</v>
      </c>
      <c r="B18" s="44" t="s">
        <v>53</v>
      </c>
      <c r="C18" s="43">
        <v>4651</v>
      </c>
      <c r="D18" s="43">
        <v>5883</v>
      </c>
      <c r="E18" s="43">
        <v>3147</v>
      </c>
      <c r="F18" s="43">
        <v>3996</v>
      </c>
      <c r="G18" s="43">
        <v>342</v>
      </c>
      <c r="H18" s="43">
        <v>379</v>
      </c>
      <c r="I18" s="43" t="s">
        <v>77</v>
      </c>
      <c r="J18" s="43" t="s">
        <v>77</v>
      </c>
      <c r="L18" s="41"/>
      <c r="M18" s="41"/>
      <c r="N18" s="41"/>
      <c r="O18" s="41"/>
      <c r="P18" s="41"/>
      <c r="Q18" s="41"/>
      <c r="R18" s="41"/>
      <c r="S18" s="41"/>
    </row>
    <row r="19" spans="1:19" s="33" customFormat="1" ht="12.5" x14ac:dyDescent="0.35">
      <c r="A19" s="29">
        <v>62</v>
      </c>
      <c r="B19" s="44" t="s">
        <v>126</v>
      </c>
      <c r="C19" s="43" t="s">
        <v>127</v>
      </c>
      <c r="D19" s="43" t="s">
        <v>127</v>
      </c>
      <c r="E19" s="43" t="s">
        <v>127</v>
      </c>
      <c r="F19" s="43" t="s">
        <v>127</v>
      </c>
      <c r="G19" s="43" t="s">
        <v>127</v>
      </c>
      <c r="H19" s="43" t="s">
        <v>127</v>
      </c>
      <c r="I19" s="43" t="s">
        <v>127</v>
      </c>
      <c r="J19" s="43" t="s">
        <v>127</v>
      </c>
      <c r="L19" s="41"/>
      <c r="M19" s="41"/>
      <c r="N19" s="41"/>
      <c r="O19" s="41"/>
      <c r="P19" s="41"/>
      <c r="Q19" s="41"/>
      <c r="R19" s="41"/>
      <c r="S19" s="41"/>
    </row>
    <row r="20" spans="1:19" s="33" customFormat="1" ht="12.5" x14ac:dyDescent="0.35">
      <c r="A20" s="29">
        <v>58</v>
      </c>
      <c r="B20" s="33" t="s">
        <v>16</v>
      </c>
      <c r="C20" s="43">
        <v>11343</v>
      </c>
      <c r="D20" s="43">
        <v>14136</v>
      </c>
      <c r="E20" s="43">
        <v>7293</v>
      </c>
      <c r="F20" s="43">
        <v>9757</v>
      </c>
      <c r="G20" s="43" t="s">
        <v>77</v>
      </c>
      <c r="H20" s="43" t="s">
        <v>77</v>
      </c>
      <c r="I20" s="43">
        <v>9</v>
      </c>
      <c r="J20" s="43">
        <v>13</v>
      </c>
      <c r="L20" s="41"/>
      <c r="M20" s="41"/>
      <c r="N20" s="41"/>
      <c r="O20" s="41"/>
      <c r="P20" s="41"/>
      <c r="Q20" s="41"/>
      <c r="R20" s="41"/>
      <c r="S20" s="41"/>
    </row>
    <row r="21" spans="1:19" s="33" customFormat="1" ht="12.5" x14ac:dyDescent="0.35">
      <c r="A21" s="29">
        <v>63</v>
      </c>
      <c r="B21" s="33" t="s">
        <v>17</v>
      </c>
      <c r="C21" s="43">
        <v>18901</v>
      </c>
      <c r="D21" s="43">
        <v>13277</v>
      </c>
      <c r="E21" s="43">
        <v>6210</v>
      </c>
      <c r="F21" s="43">
        <v>4347</v>
      </c>
      <c r="G21" s="43">
        <v>406</v>
      </c>
      <c r="H21" s="43">
        <v>284</v>
      </c>
      <c r="I21" s="43" t="s">
        <v>77</v>
      </c>
      <c r="J21" s="43" t="s">
        <v>77</v>
      </c>
      <c r="L21" s="41"/>
      <c r="M21" s="41"/>
      <c r="N21" s="41"/>
      <c r="O21" s="41"/>
      <c r="P21" s="41"/>
      <c r="Q21" s="41"/>
      <c r="R21" s="41"/>
      <c r="S21" s="41"/>
    </row>
    <row r="22" spans="1:19" s="33" customFormat="1" ht="12.5" x14ac:dyDescent="0.35">
      <c r="A22" s="29">
        <v>64</v>
      </c>
      <c r="B22" s="33" t="s">
        <v>18</v>
      </c>
      <c r="C22" s="43">
        <v>9336</v>
      </c>
      <c r="D22" s="43">
        <v>18162.75</v>
      </c>
      <c r="E22" s="43">
        <v>5695</v>
      </c>
      <c r="F22" s="43">
        <v>10673.5</v>
      </c>
      <c r="G22" s="43">
        <v>4802</v>
      </c>
      <c r="H22" s="43">
        <v>8938.75</v>
      </c>
      <c r="I22" s="43" t="s">
        <v>77</v>
      </c>
      <c r="J22" s="43" t="s">
        <v>77</v>
      </c>
      <c r="L22" s="41"/>
      <c r="M22" s="41"/>
      <c r="N22" s="41"/>
      <c r="O22" s="41"/>
      <c r="P22" s="41"/>
      <c r="Q22" s="41"/>
      <c r="R22" s="41"/>
      <c r="S22" s="41"/>
    </row>
    <row r="23" spans="1:19" s="33" customFormat="1" ht="12.5" x14ac:dyDescent="0.35">
      <c r="A23" s="29">
        <v>65</v>
      </c>
      <c r="B23" s="33" t="s">
        <v>19</v>
      </c>
      <c r="C23" s="43">
        <v>5899</v>
      </c>
      <c r="D23" s="43">
        <v>7037</v>
      </c>
      <c r="E23" s="43">
        <v>2870</v>
      </c>
      <c r="F23" s="43">
        <v>3603</v>
      </c>
      <c r="G23" s="43">
        <v>669</v>
      </c>
      <c r="H23" s="43">
        <v>830</v>
      </c>
      <c r="I23" s="43">
        <v>1695</v>
      </c>
      <c r="J23" s="43">
        <v>1470</v>
      </c>
      <c r="L23" s="41"/>
      <c r="M23" s="41"/>
      <c r="N23" s="41"/>
      <c r="O23" s="41"/>
      <c r="P23" s="41"/>
      <c r="Q23" s="41"/>
      <c r="R23" s="41"/>
      <c r="S23" s="41"/>
    </row>
    <row r="24" spans="1:19" s="33" customFormat="1" ht="12.5" x14ac:dyDescent="0.35">
      <c r="A24" s="29">
        <v>67</v>
      </c>
      <c r="B24" s="33" t="s">
        <v>20</v>
      </c>
      <c r="C24" s="43">
        <v>4156</v>
      </c>
      <c r="D24" s="43">
        <v>3754</v>
      </c>
      <c r="E24" s="43">
        <v>2273</v>
      </c>
      <c r="F24" s="43">
        <v>2241</v>
      </c>
      <c r="G24" s="43">
        <v>823</v>
      </c>
      <c r="H24" s="43">
        <v>797</v>
      </c>
      <c r="I24" s="43" t="s">
        <v>77</v>
      </c>
      <c r="J24" s="43" t="s">
        <v>77</v>
      </c>
      <c r="L24" s="41"/>
      <c r="M24" s="41"/>
      <c r="N24" s="41"/>
      <c r="O24" s="41"/>
      <c r="P24" s="41"/>
      <c r="Q24" s="41"/>
      <c r="R24" s="41"/>
      <c r="S24" s="41"/>
    </row>
    <row r="25" spans="1:19" s="33" customFormat="1" ht="12.5" x14ac:dyDescent="0.35">
      <c r="A25" s="29">
        <v>68</v>
      </c>
      <c r="B25" s="33" t="s">
        <v>23</v>
      </c>
      <c r="C25" s="43">
        <v>4691</v>
      </c>
      <c r="D25" s="43">
        <v>9649</v>
      </c>
      <c r="E25" s="43">
        <v>3123</v>
      </c>
      <c r="F25" s="43">
        <v>6335</v>
      </c>
      <c r="G25" s="43" t="s">
        <v>77</v>
      </c>
      <c r="H25" s="43" t="s">
        <v>77</v>
      </c>
      <c r="I25" s="43">
        <v>506</v>
      </c>
      <c r="J25" s="43">
        <v>591</v>
      </c>
      <c r="L25" s="41"/>
      <c r="M25" s="41"/>
      <c r="N25" s="41"/>
      <c r="O25" s="41"/>
      <c r="P25" s="41"/>
      <c r="Q25" s="41"/>
      <c r="R25" s="41"/>
      <c r="S25" s="41"/>
    </row>
    <row r="26" spans="1:19" s="33" customFormat="1" ht="12.5" x14ac:dyDescent="0.35">
      <c r="A26" s="29">
        <v>69</v>
      </c>
      <c r="B26" s="33" t="s">
        <v>54</v>
      </c>
      <c r="C26" s="43">
        <v>3638</v>
      </c>
      <c r="D26" s="43">
        <v>5452</v>
      </c>
      <c r="E26" s="43">
        <v>2828</v>
      </c>
      <c r="F26" s="43">
        <v>3380</v>
      </c>
      <c r="G26" s="43">
        <v>1353</v>
      </c>
      <c r="H26" s="43">
        <v>1406</v>
      </c>
      <c r="I26" s="43" t="s">
        <v>77</v>
      </c>
      <c r="J26" s="43" t="s">
        <v>77</v>
      </c>
      <c r="L26" s="41"/>
      <c r="M26" s="41"/>
      <c r="N26" s="41"/>
      <c r="O26" s="41"/>
      <c r="P26" s="41"/>
      <c r="Q26" s="41"/>
      <c r="R26" s="41"/>
      <c r="S26" s="41"/>
    </row>
    <row r="27" spans="1:19" s="33" customFormat="1" ht="12.5" x14ac:dyDescent="0.35">
      <c r="A27" s="29">
        <v>70</v>
      </c>
      <c r="B27" s="33" t="s">
        <v>25</v>
      </c>
      <c r="C27" s="43">
        <v>8631</v>
      </c>
      <c r="D27" s="43">
        <v>17262</v>
      </c>
      <c r="E27" s="43">
        <v>3649</v>
      </c>
      <c r="F27" s="43">
        <v>7298</v>
      </c>
      <c r="G27" s="43">
        <v>1197</v>
      </c>
      <c r="H27" s="43">
        <v>2394</v>
      </c>
      <c r="I27" s="43">
        <v>851</v>
      </c>
      <c r="J27" s="43">
        <v>1702</v>
      </c>
      <c r="L27" s="41"/>
      <c r="M27" s="41"/>
      <c r="N27" s="41"/>
      <c r="O27" s="41"/>
      <c r="P27" s="41"/>
      <c r="Q27" s="41"/>
      <c r="R27" s="41"/>
      <c r="S27" s="41"/>
    </row>
    <row r="28" spans="1:19" s="33" customFormat="1" ht="12.5" x14ac:dyDescent="0.35">
      <c r="A28" s="29">
        <v>71</v>
      </c>
      <c r="B28" s="33" t="s">
        <v>26</v>
      </c>
      <c r="C28" s="43">
        <v>16837</v>
      </c>
      <c r="D28" s="43">
        <v>14329.05</v>
      </c>
      <c r="E28" s="43">
        <v>7176</v>
      </c>
      <c r="F28" s="43">
        <v>6084.5</v>
      </c>
      <c r="G28" s="43">
        <v>3741</v>
      </c>
      <c r="H28" s="43">
        <v>3267</v>
      </c>
      <c r="I28" s="43" t="s">
        <v>77</v>
      </c>
      <c r="J28" s="43" t="s">
        <v>77</v>
      </c>
      <c r="L28" s="41"/>
      <c r="M28" s="41"/>
      <c r="N28" s="41"/>
      <c r="O28" s="41"/>
      <c r="P28" s="41"/>
      <c r="Q28" s="41"/>
      <c r="R28" s="41"/>
      <c r="S28" s="41"/>
    </row>
    <row r="29" spans="1:19" s="33" customFormat="1" ht="12.5" x14ac:dyDescent="0.35">
      <c r="A29" s="29">
        <v>73</v>
      </c>
      <c r="B29" s="33" t="s">
        <v>55</v>
      </c>
      <c r="C29" s="43">
        <v>479</v>
      </c>
      <c r="D29" s="43">
        <v>328</v>
      </c>
      <c r="E29" s="43">
        <v>229</v>
      </c>
      <c r="F29" s="43">
        <v>166.5</v>
      </c>
      <c r="G29" s="43" t="s">
        <v>77</v>
      </c>
      <c r="H29" s="43" t="s">
        <v>77</v>
      </c>
      <c r="I29" s="43">
        <v>156</v>
      </c>
      <c r="J29" s="43">
        <v>125</v>
      </c>
      <c r="L29" s="41"/>
      <c r="M29" s="41"/>
      <c r="N29" s="41"/>
      <c r="O29" s="41"/>
      <c r="P29" s="41"/>
      <c r="Q29" s="41"/>
      <c r="R29" s="41"/>
      <c r="S29" s="41"/>
    </row>
    <row r="30" spans="1:19" s="33" customFormat="1" ht="12.5" x14ac:dyDescent="0.35">
      <c r="A30" s="29">
        <v>74</v>
      </c>
      <c r="B30" s="33" t="s">
        <v>29</v>
      </c>
      <c r="C30" s="43">
        <v>8831</v>
      </c>
      <c r="D30" s="43">
        <v>8083</v>
      </c>
      <c r="E30" s="43">
        <v>2813</v>
      </c>
      <c r="F30" s="43">
        <v>2460</v>
      </c>
      <c r="G30" s="43">
        <v>4108</v>
      </c>
      <c r="H30" s="43">
        <v>3920</v>
      </c>
      <c r="I30" s="43">
        <v>489</v>
      </c>
      <c r="J30" s="43">
        <v>0</v>
      </c>
      <c r="L30" s="41"/>
      <c r="M30" s="41"/>
      <c r="N30" s="41"/>
      <c r="O30" s="41"/>
      <c r="P30" s="41"/>
      <c r="Q30" s="41"/>
      <c r="R30" s="41"/>
      <c r="S30" s="41"/>
    </row>
    <row r="31" spans="1:19" s="33" customFormat="1" ht="12.5" x14ac:dyDescent="0.35">
      <c r="A31" s="29">
        <v>75</v>
      </c>
      <c r="B31" s="33" t="s">
        <v>30</v>
      </c>
      <c r="C31" s="43">
        <v>31551</v>
      </c>
      <c r="D31" s="43">
        <v>40778</v>
      </c>
      <c r="E31" s="43">
        <v>15306</v>
      </c>
      <c r="F31" s="43">
        <v>19782</v>
      </c>
      <c r="G31" s="43">
        <v>12299</v>
      </c>
      <c r="H31" s="43">
        <v>15896</v>
      </c>
      <c r="I31" s="43">
        <v>9</v>
      </c>
      <c r="J31" s="43">
        <v>7</v>
      </c>
      <c r="L31" s="41"/>
      <c r="M31" s="41"/>
      <c r="N31" s="41"/>
      <c r="O31" s="41"/>
      <c r="P31" s="41"/>
      <c r="Q31" s="41"/>
      <c r="R31" s="41"/>
      <c r="S31" s="41"/>
    </row>
    <row r="32" spans="1:19" s="33" customFormat="1" ht="12.5" x14ac:dyDescent="0.35">
      <c r="A32" s="29">
        <v>76</v>
      </c>
      <c r="B32" s="33" t="s">
        <v>31</v>
      </c>
      <c r="C32" s="43">
        <v>4300</v>
      </c>
      <c r="D32" s="43">
        <v>7525</v>
      </c>
      <c r="E32" s="43">
        <v>2505</v>
      </c>
      <c r="F32" s="43">
        <v>4384</v>
      </c>
      <c r="G32" s="43">
        <v>1563</v>
      </c>
      <c r="H32" s="43">
        <v>2735</v>
      </c>
      <c r="I32" s="43">
        <v>520</v>
      </c>
      <c r="J32" s="43">
        <v>910</v>
      </c>
      <c r="L32" s="41"/>
      <c r="M32" s="41"/>
      <c r="N32" s="41"/>
      <c r="O32" s="41"/>
      <c r="P32" s="41"/>
      <c r="Q32" s="41"/>
      <c r="R32" s="41"/>
      <c r="S32" s="41"/>
    </row>
    <row r="33" spans="1:19" s="33" customFormat="1" ht="12.5" x14ac:dyDescent="0.35">
      <c r="A33" s="29">
        <v>79</v>
      </c>
      <c r="B33" s="33" t="s">
        <v>32</v>
      </c>
      <c r="C33" s="43">
        <v>7276</v>
      </c>
      <c r="D33" s="43">
        <v>9205</v>
      </c>
      <c r="E33" s="43">
        <v>3990</v>
      </c>
      <c r="F33" s="43">
        <v>5128</v>
      </c>
      <c r="G33" s="43">
        <v>3160</v>
      </c>
      <c r="H33" s="43">
        <v>3946</v>
      </c>
      <c r="I33" s="43">
        <v>37</v>
      </c>
      <c r="J33" s="43">
        <v>40</v>
      </c>
      <c r="L33" s="41"/>
      <c r="M33" s="41"/>
      <c r="N33" s="41"/>
      <c r="O33" s="41"/>
      <c r="P33" s="41"/>
      <c r="Q33" s="41"/>
      <c r="R33" s="41"/>
      <c r="S33" s="41"/>
    </row>
    <row r="34" spans="1:19" s="33" customFormat="1" ht="12.5" x14ac:dyDescent="0.35">
      <c r="A34" s="29">
        <v>80</v>
      </c>
      <c r="B34" s="33" t="s">
        <v>34</v>
      </c>
      <c r="C34" s="43">
        <v>3780</v>
      </c>
      <c r="D34" s="43">
        <v>3792.07</v>
      </c>
      <c r="E34" s="43">
        <v>2100</v>
      </c>
      <c r="F34" s="43">
        <v>2104.56</v>
      </c>
      <c r="G34" s="43" t="s">
        <v>77</v>
      </c>
      <c r="H34" s="43" t="s">
        <v>77</v>
      </c>
      <c r="I34" s="43">
        <v>584</v>
      </c>
      <c r="J34" s="43">
        <v>51.67</v>
      </c>
      <c r="L34" s="41"/>
      <c r="M34" s="41"/>
      <c r="N34" s="41"/>
      <c r="O34" s="41"/>
      <c r="P34" s="41"/>
      <c r="Q34" s="41"/>
      <c r="R34" s="41"/>
      <c r="S34" s="41"/>
    </row>
    <row r="35" spans="1:19" s="33" customFormat="1" ht="12.5" x14ac:dyDescent="0.35">
      <c r="A35" s="29">
        <v>81</v>
      </c>
      <c r="B35" s="33" t="s">
        <v>35</v>
      </c>
      <c r="C35" s="43">
        <v>3108</v>
      </c>
      <c r="D35" s="43">
        <v>4023</v>
      </c>
      <c r="E35" s="43">
        <v>1860</v>
      </c>
      <c r="F35" s="43">
        <v>2443</v>
      </c>
      <c r="G35" s="43" t="s">
        <v>77</v>
      </c>
      <c r="H35" s="43" t="s">
        <v>77</v>
      </c>
      <c r="I35" s="43">
        <v>2</v>
      </c>
      <c r="J35" s="43">
        <v>1</v>
      </c>
      <c r="L35" s="41"/>
      <c r="M35" s="41"/>
      <c r="N35" s="41"/>
      <c r="O35" s="41"/>
      <c r="P35" s="41"/>
      <c r="Q35" s="41"/>
      <c r="R35" s="41"/>
      <c r="S35" s="41"/>
    </row>
    <row r="36" spans="1:19" s="33" customFormat="1" ht="12.5" x14ac:dyDescent="0.35">
      <c r="A36" s="29">
        <v>83</v>
      </c>
      <c r="B36" s="33" t="s">
        <v>36</v>
      </c>
      <c r="C36" s="43">
        <v>5015</v>
      </c>
      <c r="D36" s="43">
        <v>3628</v>
      </c>
      <c r="E36" s="43">
        <v>1453</v>
      </c>
      <c r="F36" s="43">
        <v>1119</v>
      </c>
      <c r="G36" s="43">
        <v>658</v>
      </c>
      <c r="H36" s="43">
        <v>524</v>
      </c>
      <c r="I36" s="43">
        <v>114</v>
      </c>
      <c r="J36" s="43">
        <v>114</v>
      </c>
      <c r="L36" s="41"/>
      <c r="M36" s="41"/>
      <c r="N36" s="41"/>
      <c r="O36" s="41"/>
      <c r="P36" s="41"/>
      <c r="Q36" s="41"/>
      <c r="R36" s="41"/>
      <c r="S36" s="41"/>
    </row>
    <row r="37" spans="1:19" s="33" customFormat="1" ht="12.5" x14ac:dyDescent="0.35">
      <c r="A37" s="29">
        <v>84</v>
      </c>
      <c r="B37" s="33" t="s">
        <v>37</v>
      </c>
      <c r="C37" s="43">
        <v>8996</v>
      </c>
      <c r="D37" s="43">
        <v>8856.25</v>
      </c>
      <c r="E37" s="43">
        <v>4858</v>
      </c>
      <c r="F37" s="43">
        <v>4775.75</v>
      </c>
      <c r="G37" s="43">
        <v>868</v>
      </c>
      <c r="H37" s="43">
        <v>989</v>
      </c>
      <c r="I37" s="43">
        <v>445</v>
      </c>
      <c r="J37" s="43">
        <v>308.25</v>
      </c>
      <c r="L37" s="41"/>
      <c r="M37" s="41"/>
      <c r="N37" s="41"/>
      <c r="O37" s="41"/>
      <c r="P37" s="41"/>
      <c r="Q37" s="41"/>
      <c r="R37" s="41"/>
      <c r="S37" s="41"/>
    </row>
    <row r="38" spans="1:19" s="33" customFormat="1" ht="12.5" x14ac:dyDescent="0.35">
      <c r="A38" s="29">
        <v>85</v>
      </c>
      <c r="B38" s="33" t="s">
        <v>38</v>
      </c>
      <c r="C38" s="43">
        <v>3452</v>
      </c>
      <c r="D38" s="43">
        <v>6194</v>
      </c>
      <c r="E38" s="43">
        <v>1762</v>
      </c>
      <c r="F38" s="43">
        <v>3059</v>
      </c>
      <c r="G38" s="43">
        <v>1446</v>
      </c>
      <c r="H38" s="43">
        <v>2550</v>
      </c>
      <c r="I38" s="43">
        <v>520</v>
      </c>
      <c r="J38" s="43">
        <v>646</v>
      </c>
      <c r="L38" s="41"/>
      <c r="M38" s="41"/>
      <c r="N38" s="41"/>
      <c r="O38" s="41"/>
      <c r="P38" s="41"/>
      <c r="Q38" s="41"/>
      <c r="R38" s="41"/>
      <c r="S38" s="41"/>
    </row>
    <row r="39" spans="1:19" s="33" customFormat="1" ht="12.5" x14ac:dyDescent="0.35">
      <c r="A39" s="29">
        <v>87</v>
      </c>
      <c r="B39" s="33" t="s">
        <v>39</v>
      </c>
      <c r="C39" s="43">
        <v>3472</v>
      </c>
      <c r="D39" s="43">
        <v>17532</v>
      </c>
      <c r="E39" s="43">
        <v>1642</v>
      </c>
      <c r="F39" s="43">
        <v>4448</v>
      </c>
      <c r="G39" s="43" t="s">
        <v>84</v>
      </c>
      <c r="H39" s="43" t="s">
        <v>84</v>
      </c>
      <c r="I39" s="43">
        <v>12</v>
      </c>
      <c r="J39" s="43">
        <v>35</v>
      </c>
      <c r="L39" s="41"/>
      <c r="M39" s="41"/>
      <c r="N39" s="41"/>
      <c r="O39" s="41"/>
      <c r="P39" s="41"/>
      <c r="Q39" s="41"/>
      <c r="R39" s="41"/>
      <c r="S39" s="41"/>
    </row>
    <row r="40" spans="1:19" s="33" customFormat="1" ht="12.5" x14ac:dyDescent="0.35">
      <c r="A40" s="29">
        <v>90</v>
      </c>
      <c r="B40" s="33" t="s">
        <v>40</v>
      </c>
      <c r="C40" s="43">
        <v>3216</v>
      </c>
      <c r="D40" s="43">
        <v>4288</v>
      </c>
      <c r="E40" s="43">
        <v>1368</v>
      </c>
      <c r="F40" s="43">
        <v>1824</v>
      </c>
      <c r="G40" s="43" t="s">
        <v>77</v>
      </c>
      <c r="H40" s="43" t="s">
        <v>77</v>
      </c>
      <c r="I40" s="43">
        <v>662</v>
      </c>
      <c r="J40" s="43" t="s">
        <v>77</v>
      </c>
      <c r="L40" s="41"/>
      <c r="M40" s="41"/>
      <c r="N40" s="41"/>
      <c r="O40" s="41"/>
      <c r="P40" s="41"/>
      <c r="Q40" s="41"/>
      <c r="R40" s="41"/>
      <c r="S40" s="41"/>
    </row>
    <row r="41" spans="1:19" s="33" customFormat="1" ht="12.5" x14ac:dyDescent="0.35">
      <c r="A41" s="29">
        <v>91</v>
      </c>
      <c r="B41" s="33" t="s">
        <v>42</v>
      </c>
      <c r="C41" s="43">
        <v>24165</v>
      </c>
      <c r="D41" s="64" t="s">
        <v>77</v>
      </c>
      <c r="E41" s="43">
        <v>13541</v>
      </c>
      <c r="F41" s="43" t="s">
        <v>77</v>
      </c>
      <c r="G41" s="43">
        <v>5707</v>
      </c>
      <c r="H41" s="43" t="s">
        <v>77</v>
      </c>
      <c r="I41" s="43">
        <v>355</v>
      </c>
      <c r="J41" s="43" t="s">
        <v>77</v>
      </c>
      <c r="L41" s="41"/>
      <c r="M41" s="41"/>
      <c r="N41" s="41"/>
      <c r="O41" s="41"/>
      <c r="P41" s="41"/>
      <c r="Q41" s="41"/>
      <c r="R41" s="41"/>
      <c r="S41" s="41"/>
    </row>
    <row r="42" spans="1:19" s="33" customFormat="1" ht="12.5" x14ac:dyDescent="0.35">
      <c r="A42" s="29">
        <v>92</v>
      </c>
      <c r="B42" s="33" t="s">
        <v>43</v>
      </c>
      <c r="C42" s="43">
        <v>1765</v>
      </c>
      <c r="D42" s="43">
        <v>3469.28</v>
      </c>
      <c r="E42" s="43">
        <v>915</v>
      </c>
      <c r="F42" s="43">
        <v>2196.62</v>
      </c>
      <c r="G42" s="43">
        <v>329</v>
      </c>
      <c r="H42" s="43">
        <v>735.22</v>
      </c>
      <c r="I42" s="43">
        <v>0</v>
      </c>
      <c r="J42" s="43">
        <v>0</v>
      </c>
      <c r="L42" s="41"/>
      <c r="M42" s="41"/>
      <c r="N42" s="41"/>
      <c r="O42" s="41"/>
      <c r="P42" s="41"/>
      <c r="Q42" s="41"/>
      <c r="R42" s="41"/>
      <c r="S42" s="41"/>
    </row>
    <row r="43" spans="1:19" s="33" customFormat="1" ht="12.5" x14ac:dyDescent="0.35">
      <c r="A43" s="29">
        <v>94</v>
      </c>
      <c r="B43" s="33" t="s">
        <v>44</v>
      </c>
      <c r="C43" s="43">
        <v>1958</v>
      </c>
      <c r="D43" s="64" t="s">
        <v>77</v>
      </c>
      <c r="E43" s="43">
        <v>273</v>
      </c>
      <c r="F43" s="43" t="s">
        <v>77</v>
      </c>
      <c r="G43" s="43">
        <v>385</v>
      </c>
      <c r="H43" s="43" t="s">
        <v>77</v>
      </c>
      <c r="I43" s="43">
        <v>74</v>
      </c>
      <c r="J43" s="43" t="s">
        <v>77</v>
      </c>
      <c r="L43" s="41"/>
      <c r="M43" s="41"/>
      <c r="N43" s="41"/>
      <c r="O43" s="41"/>
      <c r="P43" s="41"/>
      <c r="Q43" s="41"/>
      <c r="R43" s="41"/>
      <c r="S43" s="41"/>
    </row>
    <row r="44" spans="1:19" s="33" customFormat="1" ht="12.5" x14ac:dyDescent="0.35">
      <c r="A44" s="29">
        <v>96</v>
      </c>
      <c r="B44" s="33" t="s">
        <v>46</v>
      </c>
      <c r="C44" s="43">
        <v>1632</v>
      </c>
      <c r="D44" s="43">
        <v>1632</v>
      </c>
      <c r="E44" s="43">
        <v>595</v>
      </c>
      <c r="F44" s="43">
        <v>595</v>
      </c>
      <c r="G44" s="43">
        <v>445</v>
      </c>
      <c r="H44" s="43">
        <v>445</v>
      </c>
      <c r="I44" s="43">
        <v>123</v>
      </c>
      <c r="J44" s="43">
        <v>123</v>
      </c>
      <c r="L44" s="41"/>
      <c r="M44" s="41"/>
      <c r="N44" s="41"/>
      <c r="O44" s="41"/>
      <c r="P44" s="41"/>
      <c r="Q44" s="41"/>
      <c r="R44" s="41"/>
      <c r="S44" s="41"/>
    </row>
    <row r="45" spans="1:19" s="33" customFormat="1" ht="12.5" x14ac:dyDescent="0.35">
      <c r="A45" s="29">
        <v>98</v>
      </c>
      <c r="B45" s="33" t="s">
        <v>48</v>
      </c>
      <c r="C45" s="43">
        <v>6465</v>
      </c>
      <c r="D45" s="43">
        <v>8592</v>
      </c>
      <c r="E45" s="43">
        <v>4222</v>
      </c>
      <c r="F45" s="43">
        <v>7658</v>
      </c>
      <c r="G45" s="43">
        <v>623</v>
      </c>
      <c r="H45" s="43">
        <v>934</v>
      </c>
      <c r="I45" s="43" t="s">
        <v>77</v>
      </c>
      <c r="J45" s="43" t="s">
        <v>77</v>
      </c>
      <c r="L45" s="41"/>
      <c r="M45" s="41"/>
      <c r="N45" s="41"/>
      <c r="O45" s="41"/>
      <c r="P45" s="41"/>
      <c r="Q45" s="41"/>
      <c r="R45" s="41"/>
      <c r="S45" s="41"/>
    </row>
    <row r="46" spans="1:19" s="33" customFormat="1" ht="12.5" x14ac:dyDescent="0.35">
      <c r="A46" s="29">
        <v>72</v>
      </c>
      <c r="B46" s="33" t="s">
        <v>50</v>
      </c>
      <c r="C46" s="43">
        <v>3036</v>
      </c>
      <c r="D46" s="43">
        <v>4500.1499999999996</v>
      </c>
      <c r="E46" s="43">
        <v>1387</v>
      </c>
      <c r="F46" s="43">
        <v>2210.5</v>
      </c>
      <c r="G46" s="43">
        <v>599</v>
      </c>
      <c r="H46" s="43">
        <v>970.5</v>
      </c>
      <c r="I46" s="43">
        <v>598</v>
      </c>
      <c r="J46" s="43">
        <v>448.5</v>
      </c>
      <c r="L46" s="41"/>
      <c r="M46" s="41"/>
      <c r="N46" s="41"/>
      <c r="O46" s="41"/>
      <c r="P46" s="41"/>
      <c r="Q46" s="41"/>
      <c r="R46" s="41"/>
      <c r="S46" s="41"/>
    </row>
    <row r="47" spans="1:19" s="38" customFormat="1" ht="26.25" customHeight="1" x14ac:dyDescent="0.35">
      <c r="B47" s="33" t="s">
        <v>28</v>
      </c>
      <c r="C47" s="43">
        <v>23</v>
      </c>
      <c r="D47" s="43">
        <v>15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L47" s="41"/>
      <c r="M47" s="41"/>
      <c r="N47" s="41"/>
      <c r="O47" s="41"/>
      <c r="P47" s="41"/>
      <c r="Q47" s="41"/>
      <c r="R47" s="41"/>
      <c r="S47" s="41"/>
    </row>
    <row r="48" spans="1:19" s="33" customFormat="1" ht="14" x14ac:dyDescent="0.35">
      <c r="A48" s="29">
        <v>66</v>
      </c>
      <c r="B48" s="38" t="s">
        <v>56</v>
      </c>
      <c r="C48" s="42">
        <v>297402</v>
      </c>
      <c r="D48" s="42">
        <v>310069.1333333333</v>
      </c>
      <c r="E48" s="42">
        <v>90709</v>
      </c>
      <c r="F48" s="42">
        <v>68180.7</v>
      </c>
      <c r="G48" s="42">
        <v>50766</v>
      </c>
      <c r="H48" s="42">
        <v>41198.183333333334</v>
      </c>
      <c r="I48" s="42">
        <v>23148</v>
      </c>
      <c r="J48" s="42">
        <v>40078</v>
      </c>
      <c r="L48" s="41"/>
      <c r="M48" s="41"/>
      <c r="N48" s="41"/>
      <c r="O48" s="41"/>
      <c r="P48" s="41"/>
      <c r="Q48" s="41"/>
      <c r="R48" s="41"/>
      <c r="S48" s="41"/>
    </row>
    <row r="49" spans="1:19" s="33" customFormat="1" ht="14.25" customHeight="1" x14ac:dyDescent="0.35">
      <c r="A49" s="29">
        <v>78</v>
      </c>
      <c r="B49" s="33" t="s">
        <v>22</v>
      </c>
      <c r="C49" s="43">
        <v>61475</v>
      </c>
      <c r="D49" s="43">
        <v>61475</v>
      </c>
      <c r="E49" s="43">
        <v>4788</v>
      </c>
      <c r="F49" s="43">
        <v>4788</v>
      </c>
      <c r="G49" s="43">
        <v>1821</v>
      </c>
      <c r="H49" s="43">
        <v>1821</v>
      </c>
      <c r="I49" s="43">
        <v>21</v>
      </c>
      <c r="J49" s="43">
        <v>21</v>
      </c>
      <c r="L49" s="41"/>
      <c r="M49" s="41"/>
      <c r="N49" s="41"/>
      <c r="O49" s="41"/>
      <c r="P49" s="41"/>
      <c r="Q49" s="41"/>
      <c r="R49" s="41"/>
      <c r="S49" s="41"/>
    </row>
    <row r="50" spans="1:19" s="33" customFormat="1" ht="15.75" customHeight="1" x14ac:dyDescent="0.35">
      <c r="A50" s="29">
        <v>89</v>
      </c>
      <c r="B50" s="33" t="s">
        <v>33</v>
      </c>
      <c r="C50" s="43">
        <v>34980</v>
      </c>
      <c r="D50" s="43">
        <v>55933</v>
      </c>
      <c r="E50" s="43">
        <v>15000</v>
      </c>
      <c r="F50" s="43">
        <v>23985</v>
      </c>
      <c r="G50" s="43">
        <v>5147</v>
      </c>
      <c r="H50" s="43">
        <v>8230</v>
      </c>
      <c r="I50" s="43">
        <v>4812</v>
      </c>
      <c r="J50" s="43">
        <v>7694</v>
      </c>
      <c r="L50" s="41"/>
      <c r="M50" s="41"/>
      <c r="N50" s="41"/>
      <c r="O50" s="41"/>
      <c r="P50" s="41"/>
      <c r="Q50" s="41"/>
      <c r="R50" s="41"/>
      <c r="S50" s="41"/>
    </row>
    <row r="51" spans="1:19" s="33" customFormat="1" ht="12.5" x14ac:dyDescent="0.35">
      <c r="A51" s="29">
        <v>93</v>
      </c>
      <c r="B51" s="33" t="s">
        <v>41</v>
      </c>
      <c r="C51" s="43">
        <v>20669</v>
      </c>
      <c r="D51" s="43">
        <v>13589.133333333333</v>
      </c>
      <c r="E51" s="43">
        <v>7044</v>
      </c>
      <c r="F51" s="43">
        <v>4654.7</v>
      </c>
      <c r="G51" s="43">
        <v>3637</v>
      </c>
      <c r="H51" s="43">
        <v>2507.1833333333334</v>
      </c>
      <c r="I51" s="43">
        <v>0</v>
      </c>
      <c r="J51" s="43">
        <v>0</v>
      </c>
      <c r="L51" s="41"/>
      <c r="M51" s="41"/>
      <c r="N51" s="41"/>
      <c r="O51" s="41"/>
      <c r="P51" s="41"/>
      <c r="Q51" s="41"/>
      <c r="R51" s="41"/>
      <c r="S51" s="41"/>
    </row>
    <row r="52" spans="1:19" s="33" customFormat="1" ht="12.5" x14ac:dyDescent="0.35">
      <c r="A52" s="29">
        <v>95</v>
      </c>
      <c r="B52" s="33" t="s">
        <v>57</v>
      </c>
      <c r="C52" s="43">
        <v>30504</v>
      </c>
      <c r="D52" s="43">
        <v>16622</v>
      </c>
      <c r="E52" s="43">
        <v>13507</v>
      </c>
      <c r="F52" s="43">
        <v>7752</v>
      </c>
      <c r="G52" s="43">
        <v>4874</v>
      </c>
      <c r="H52" s="43">
        <v>3393</v>
      </c>
      <c r="I52" s="43">
        <v>6621</v>
      </c>
      <c r="J52" s="43">
        <v>2713</v>
      </c>
      <c r="L52" s="41"/>
      <c r="M52" s="41"/>
      <c r="N52" s="41"/>
      <c r="O52" s="41"/>
      <c r="P52" s="41"/>
      <c r="Q52" s="41"/>
      <c r="R52" s="41"/>
      <c r="S52" s="41"/>
    </row>
    <row r="53" spans="1:19" s="33" customFormat="1" ht="12.5" x14ac:dyDescent="0.35">
      <c r="A53" s="29">
        <v>97</v>
      </c>
      <c r="B53" s="33" t="s">
        <v>47</v>
      </c>
      <c r="C53" s="43">
        <v>20498</v>
      </c>
      <c r="D53" s="43">
        <v>81992</v>
      </c>
      <c r="E53" s="43" t="s">
        <v>77</v>
      </c>
      <c r="F53" s="43" t="s">
        <v>77</v>
      </c>
      <c r="G53" s="43" t="s">
        <v>77</v>
      </c>
      <c r="H53" s="43" t="s">
        <v>77</v>
      </c>
      <c r="I53" s="43">
        <v>7392</v>
      </c>
      <c r="J53" s="43">
        <v>29568</v>
      </c>
      <c r="L53" s="41"/>
      <c r="M53" s="41"/>
      <c r="N53" s="41"/>
      <c r="O53" s="41"/>
      <c r="P53" s="41"/>
      <c r="Q53" s="41"/>
      <c r="R53" s="41"/>
      <c r="S53" s="41"/>
    </row>
    <row r="54" spans="1:19" s="33" customFormat="1" ht="12.5" x14ac:dyDescent="0.35">
      <c r="A54" s="45">
        <v>77</v>
      </c>
      <c r="B54" s="33" t="s">
        <v>49</v>
      </c>
      <c r="C54" s="43">
        <v>42315</v>
      </c>
      <c r="D54" s="43">
        <v>35673</v>
      </c>
      <c r="E54" s="43">
        <v>16125</v>
      </c>
      <c r="F54" s="43">
        <v>7280</v>
      </c>
      <c r="G54" s="43">
        <v>9053</v>
      </c>
      <c r="H54" s="43">
        <v>9818</v>
      </c>
      <c r="I54" s="43">
        <v>64</v>
      </c>
      <c r="J54" s="43">
        <v>82</v>
      </c>
      <c r="L54" s="41"/>
      <c r="M54" s="41"/>
      <c r="N54" s="41"/>
      <c r="O54" s="41"/>
      <c r="P54" s="41"/>
      <c r="Q54" s="41"/>
      <c r="R54" s="41"/>
      <c r="S54" s="41"/>
    </row>
    <row r="55" spans="1:19" s="33" customFormat="1" ht="6" customHeight="1" x14ac:dyDescent="0.35">
      <c r="B55" s="46" t="s">
        <v>21</v>
      </c>
      <c r="C55" s="43">
        <v>86961</v>
      </c>
      <c r="D55" s="43">
        <v>44785</v>
      </c>
      <c r="E55" s="43">
        <v>34245</v>
      </c>
      <c r="F55" s="43">
        <v>19721</v>
      </c>
      <c r="G55" s="43">
        <v>26234</v>
      </c>
      <c r="H55" s="43">
        <v>15429</v>
      </c>
      <c r="I55" s="43">
        <v>4238</v>
      </c>
      <c r="J55" s="43" t="s">
        <v>77</v>
      </c>
    </row>
    <row r="56" spans="1:19" s="33" customFormat="1" x14ac:dyDescent="0.35">
      <c r="B56" s="47"/>
      <c r="J56" s="48"/>
    </row>
    <row r="57" spans="1:19" s="33" customFormat="1" ht="12.5" x14ac:dyDescent="0.35">
      <c r="B57" s="33" t="s">
        <v>78</v>
      </c>
      <c r="J57" s="48"/>
    </row>
    <row r="58" spans="1:19" s="33" customFormat="1" ht="12.5" x14ac:dyDescent="0.35">
      <c r="J58" s="48"/>
    </row>
    <row r="59" spans="1:19" x14ac:dyDescent="0.3">
      <c r="B59" s="49" t="s">
        <v>79</v>
      </c>
      <c r="C59" s="33"/>
      <c r="D59" s="33"/>
      <c r="E59" s="33"/>
      <c r="F59" s="33"/>
      <c r="G59" s="33"/>
      <c r="H59" s="33"/>
      <c r="I59" s="33"/>
      <c r="J59" s="50"/>
    </row>
    <row r="61" spans="1:19" ht="9.75" customHeight="1" x14ac:dyDescent="0.3">
      <c r="B61" s="51" t="s">
        <v>80</v>
      </c>
    </row>
  </sheetData>
  <mergeCells count="6">
    <mergeCell ref="B1:J1"/>
    <mergeCell ref="B2:B3"/>
    <mergeCell ref="C2:D2"/>
    <mergeCell ref="E2:F2"/>
    <mergeCell ref="G2:H2"/>
    <mergeCell ref="I2:J2"/>
  </mergeCells>
  <pageMargins left="0.48" right="0.31" top="1" bottom="1" header="0.5" footer="0.5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T61"/>
  <sheetViews>
    <sheetView showGridLines="0" zoomScale="85" zoomScaleNormal="85" workbookViewId="0">
      <pane xSplit="2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H7" sqref="H7"/>
    </sheetView>
  </sheetViews>
  <sheetFormatPr defaultRowHeight="13" x14ac:dyDescent="0.3"/>
  <cols>
    <col min="1" max="1" width="2.7265625" style="32" hidden="1" customWidth="1"/>
    <col min="2" max="2" width="25.54296875" style="32" customWidth="1"/>
    <col min="3" max="3" width="11.453125" style="32" customWidth="1"/>
    <col min="4" max="5" width="11.453125" style="52" customWidth="1"/>
    <col min="6" max="6" width="13" style="52" customWidth="1"/>
    <col min="7" max="8" width="11.453125" style="52" customWidth="1"/>
    <col min="9" max="10" width="13.26953125" style="52" customWidth="1"/>
    <col min="11" max="256" width="9.26953125" style="32"/>
    <col min="257" max="257" width="0" style="32" hidden="1" customWidth="1"/>
    <col min="258" max="258" width="25.54296875" style="32" customWidth="1"/>
    <col min="259" max="261" width="11.453125" style="32" customWidth="1"/>
    <col min="262" max="262" width="13" style="32" customWidth="1"/>
    <col min="263" max="264" width="11.453125" style="32" customWidth="1"/>
    <col min="265" max="266" width="13.26953125" style="32" customWidth="1"/>
    <col min="267" max="512" width="9.26953125" style="32"/>
    <col min="513" max="513" width="0" style="32" hidden="1" customWidth="1"/>
    <col min="514" max="514" width="25.54296875" style="32" customWidth="1"/>
    <col min="515" max="517" width="11.453125" style="32" customWidth="1"/>
    <col min="518" max="518" width="13" style="32" customWidth="1"/>
    <col min="519" max="520" width="11.453125" style="32" customWidth="1"/>
    <col min="521" max="522" width="13.26953125" style="32" customWidth="1"/>
    <col min="523" max="768" width="9.26953125" style="32"/>
    <col min="769" max="769" width="0" style="32" hidden="1" customWidth="1"/>
    <col min="770" max="770" width="25.54296875" style="32" customWidth="1"/>
    <col min="771" max="773" width="11.453125" style="32" customWidth="1"/>
    <col min="774" max="774" width="13" style="32" customWidth="1"/>
    <col min="775" max="776" width="11.453125" style="32" customWidth="1"/>
    <col min="777" max="778" width="13.26953125" style="32" customWidth="1"/>
    <col min="779" max="1024" width="9.26953125" style="32"/>
    <col min="1025" max="1025" width="0" style="32" hidden="1" customWidth="1"/>
    <col min="1026" max="1026" width="25.54296875" style="32" customWidth="1"/>
    <col min="1027" max="1029" width="11.453125" style="32" customWidth="1"/>
    <col min="1030" max="1030" width="13" style="32" customWidth="1"/>
    <col min="1031" max="1032" width="11.453125" style="32" customWidth="1"/>
    <col min="1033" max="1034" width="13.26953125" style="32" customWidth="1"/>
    <col min="1035" max="1280" width="9.26953125" style="32"/>
    <col min="1281" max="1281" width="0" style="32" hidden="1" customWidth="1"/>
    <col min="1282" max="1282" width="25.54296875" style="32" customWidth="1"/>
    <col min="1283" max="1285" width="11.453125" style="32" customWidth="1"/>
    <col min="1286" max="1286" width="13" style="32" customWidth="1"/>
    <col min="1287" max="1288" width="11.453125" style="32" customWidth="1"/>
    <col min="1289" max="1290" width="13.26953125" style="32" customWidth="1"/>
    <col min="1291" max="1536" width="9.26953125" style="32"/>
    <col min="1537" max="1537" width="0" style="32" hidden="1" customWidth="1"/>
    <col min="1538" max="1538" width="25.54296875" style="32" customWidth="1"/>
    <col min="1539" max="1541" width="11.453125" style="32" customWidth="1"/>
    <col min="1542" max="1542" width="13" style="32" customWidth="1"/>
    <col min="1543" max="1544" width="11.453125" style="32" customWidth="1"/>
    <col min="1545" max="1546" width="13.26953125" style="32" customWidth="1"/>
    <col min="1547" max="1792" width="9.26953125" style="32"/>
    <col min="1793" max="1793" width="0" style="32" hidden="1" customWidth="1"/>
    <col min="1794" max="1794" width="25.54296875" style="32" customWidth="1"/>
    <col min="1795" max="1797" width="11.453125" style="32" customWidth="1"/>
    <col min="1798" max="1798" width="13" style="32" customWidth="1"/>
    <col min="1799" max="1800" width="11.453125" style="32" customWidth="1"/>
    <col min="1801" max="1802" width="13.26953125" style="32" customWidth="1"/>
    <col min="1803" max="2048" width="9.26953125" style="32"/>
    <col min="2049" max="2049" width="0" style="32" hidden="1" customWidth="1"/>
    <col min="2050" max="2050" width="25.54296875" style="32" customWidth="1"/>
    <col min="2051" max="2053" width="11.453125" style="32" customWidth="1"/>
    <col min="2054" max="2054" width="13" style="32" customWidth="1"/>
    <col min="2055" max="2056" width="11.453125" style="32" customWidth="1"/>
    <col min="2057" max="2058" width="13.26953125" style="32" customWidth="1"/>
    <col min="2059" max="2304" width="9.26953125" style="32"/>
    <col min="2305" max="2305" width="0" style="32" hidden="1" customWidth="1"/>
    <col min="2306" max="2306" width="25.54296875" style="32" customWidth="1"/>
    <col min="2307" max="2309" width="11.453125" style="32" customWidth="1"/>
    <col min="2310" max="2310" width="13" style="32" customWidth="1"/>
    <col min="2311" max="2312" width="11.453125" style="32" customWidth="1"/>
    <col min="2313" max="2314" width="13.26953125" style="32" customWidth="1"/>
    <col min="2315" max="2560" width="9.26953125" style="32"/>
    <col min="2561" max="2561" width="0" style="32" hidden="1" customWidth="1"/>
    <col min="2562" max="2562" width="25.54296875" style="32" customWidth="1"/>
    <col min="2563" max="2565" width="11.453125" style="32" customWidth="1"/>
    <col min="2566" max="2566" width="13" style="32" customWidth="1"/>
    <col min="2567" max="2568" width="11.453125" style="32" customWidth="1"/>
    <col min="2569" max="2570" width="13.26953125" style="32" customWidth="1"/>
    <col min="2571" max="2816" width="9.26953125" style="32"/>
    <col min="2817" max="2817" width="0" style="32" hidden="1" customWidth="1"/>
    <col min="2818" max="2818" width="25.54296875" style="32" customWidth="1"/>
    <col min="2819" max="2821" width="11.453125" style="32" customWidth="1"/>
    <col min="2822" max="2822" width="13" style="32" customWidth="1"/>
    <col min="2823" max="2824" width="11.453125" style="32" customWidth="1"/>
    <col min="2825" max="2826" width="13.26953125" style="32" customWidth="1"/>
    <col min="2827" max="3072" width="9.26953125" style="32"/>
    <col min="3073" max="3073" width="0" style="32" hidden="1" customWidth="1"/>
    <col min="3074" max="3074" width="25.54296875" style="32" customWidth="1"/>
    <col min="3075" max="3077" width="11.453125" style="32" customWidth="1"/>
    <col min="3078" max="3078" width="13" style="32" customWidth="1"/>
    <col min="3079" max="3080" width="11.453125" style="32" customWidth="1"/>
    <col min="3081" max="3082" width="13.26953125" style="32" customWidth="1"/>
    <col min="3083" max="3328" width="9.26953125" style="32"/>
    <col min="3329" max="3329" width="0" style="32" hidden="1" customWidth="1"/>
    <col min="3330" max="3330" width="25.54296875" style="32" customWidth="1"/>
    <col min="3331" max="3333" width="11.453125" style="32" customWidth="1"/>
    <col min="3334" max="3334" width="13" style="32" customWidth="1"/>
    <col min="3335" max="3336" width="11.453125" style="32" customWidth="1"/>
    <col min="3337" max="3338" width="13.26953125" style="32" customWidth="1"/>
    <col min="3339" max="3584" width="9.26953125" style="32"/>
    <col min="3585" max="3585" width="0" style="32" hidden="1" customWidth="1"/>
    <col min="3586" max="3586" width="25.54296875" style="32" customWidth="1"/>
    <col min="3587" max="3589" width="11.453125" style="32" customWidth="1"/>
    <col min="3590" max="3590" width="13" style="32" customWidth="1"/>
    <col min="3591" max="3592" width="11.453125" style="32" customWidth="1"/>
    <col min="3593" max="3594" width="13.26953125" style="32" customWidth="1"/>
    <col min="3595" max="3840" width="9.26953125" style="32"/>
    <col min="3841" max="3841" width="0" style="32" hidden="1" customWidth="1"/>
    <col min="3842" max="3842" width="25.54296875" style="32" customWidth="1"/>
    <col min="3843" max="3845" width="11.453125" style="32" customWidth="1"/>
    <col min="3846" max="3846" width="13" style="32" customWidth="1"/>
    <col min="3847" max="3848" width="11.453125" style="32" customWidth="1"/>
    <col min="3849" max="3850" width="13.26953125" style="32" customWidth="1"/>
    <col min="3851" max="4096" width="9.26953125" style="32"/>
    <col min="4097" max="4097" width="0" style="32" hidden="1" customWidth="1"/>
    <col min="4098" max="4098" width="25.54296875" style="32" customWidth="1"/>
    <col min="4099" max="4101" width="11.453125" style="32" customWidth="1"/>
    <col min="4102" max="4102" width="13" style="32" customWidth="1"/>
    <col min="4103" max="4104" width="11.453125" style="32" customWidth="1"/>
    <col min="4105" max="4106" width="13.26953125" style="32" customWidth="1"/>
    <col min="4107" max="4352" width="9.26953125" style="32"/>
    <col min="4353" max="4353" width="0" style="32" hidden="1" customWidth="1"/>
    <col min="4354" max="4354" width="25.54296875" style="32" customWidth="1"/>
    <col min="4355" max="4357" width="11.453125" style="32" customWidth="1"/>
    <col min="4358" max="4358" width="13" style="32" customWidth="1"/>
    <col min="4359" max="4360" width="11.453125" style="32" customWidth="1"/>
    <col min="4361" max="4362" width="13.26953125" style="32" customWidth="1"/>
    <col min="4363" max="4608" width="9.26953125" style="32"/>
    <col min="4609" max="4609" width="0" style="32" hidden="1" customWidth="1"/>
    <col min="4610" max="4610" width="25.54296875" style="32" customWidth="1"/>
    <col min="4611" max="4613" width="11.453125" style="32" customWidth="1"/>
    <col min="4614" max="4614" width="13" style="32" customWidth="1"/>
    <col min="4615" max="4616" width="11.453125" style="32" customWidth="1"/>
    <col min="4617" max="4618" width="13.26953125" style="32" customWidth="1"/>
    <col min="4619" max="4864" width="9.26953125" style="32"/>
    <col min="4865" max="4865" width="0" style="32" hidden="1" customWidth="1"/>
    <col min="4866" max="4866" width="25.54296875" style="32" customWidth="1"/>
    <col min="4867" max="4869" width="11.453125" style="32" customWidth="1"/>
    <col min="4870" max="4870" width="13" style="32" customWidth="1"/>
    <col min="4871" max="4872" width="11.453125" style="32" customWidth="1"/>
    <col min="4873" max="4874" width="13.26953125" style="32" customWidth="1"/>
    <col min="4875" max="5120" width="9.26953125" style="32"/>
    <col min="5121" max="5121" width="0" style="32" hidden="1" customWidth="1"/>
    <col min="5122" max="5122" width="25.54296875" style="32" customWidth="1"/>
    <col min="5123" max="5125" width="11.453125" style="32" customWidth="1"/>
    <col min="5126" max="5126" width="13" style="32" customWidth="1"/>
    <col min="5127" max="5128" width="11.453125" style="32" customWidth="1"/>
    <col min="5129" max="5130" width="13.26953125" style="32" customWidth="1"/>
    <col min="5131" max="5376" width="9.26953125" style="32"/>
    <col min="5377" max="5377" width="0" style="32" hidden="1" customWidth="1"/>
    <col min="5378" max="5378" width="25.54296875" style="32" customWidth="1"/>
    <col min="5379" max="5381" width="11.453125" style="32" customWidth="1"/>
    <col min="5382" max="5382" width="13" style="32" customWidth="1"/>
    <col min="5383" max="5384" width="11.453125" style="32" customWidth="1"/>
    <col min="5385" max="5386" width="13.26953125" style="32" customWidth="1"/>
    <col min="5387" max="5632" width="9.26953125" style="32"/>
    <col min="5633" max="5633" width="0" style="32" hidden="1" customWidth="1"/>
    <col min="5634" max="5634" width="25.54296875" style="32" customWidth="1"/>
    <col min="5635" max="5637" width="11.453125" style="32" customWidth="1"/>
    <col min="5638" max="5638" width="13" style="32" customWidth="1"/>
    <col min="5639" max="5640" width="11.453125" style="32" customWidth="1"/>
    <col min="5641" max="5642" width="13.26953125" style="32" customWidth="1"/>
    <col min="5643" max="5888" width="9.26953125" style="32"/>
    <col min="5889" max="5889" width="0" style="32" hidden="1" customWidth="1"/>
    <col min="5890" max="5890" width="25.54296875" style="32" customWidth="1"/>
    <col min="5891" max="5893" width="11.453125" style="32" customWidth="1"/>
    <col min="5894" max="5894" width="13" style="32" customWidth="1"/>
    <col min="5895" max="5896" width="11.453125" style="32" customWidth="1"/>
    <col min="5897" max="5898" width="13.26953125" style="32" customWidth="1"/>
    <col min="5899" max="6144" width="9.26953125" style="32"/>
    <col min="6145" max="6145" width="0" style="32" hidden="1" customWidth="1"/>
    <col min="6146" max="6146" width="25.54296875" style="32" customWidth="1"/>
    <col min="6147" max="6149" width="11.453125" style="32" customWidth="1"/>
    <col min="6150" max="6150" width="13" style="32" customWidth="1"/>
    <col min="6151" max="6152" width="11.453125" style="32" customWidth="1"/>
    <col min="6153" max="6154" width="13.26953125" style="32" customWidth="1"/>
    <col min="6155" max="6400" width="9.26953125" style="32"/>
    <col min="6401" max="6401" width="0" style="32" hidden="1" customWidth="1"/>
    <col min="6402" max="6402" width="25.54296875" style="32" customWidth="1"/>
    <col min="6403" max="6405" width="11.453125" style="32" customWidth="1"/>
    <col min="6406" max="6406" width="13" style="32" customWidth="1"/>
    <col min="6407" max="6408" width="11.453125" style="32" customWidth="1"/>
    <col min="6409" max="6410" width="13.26953125" style="32" customWidth="1"/>
    <col min="6411" max="6656" width="9.26953125" style="32"/>
    <col min="6657" max="6657" width="0" style="32" hidden="1" customWidth="1"/>
    <col min="6658" max="6658" width="25.54296875" style="32" customWidth="1"/>
    <col min="6659" max="6661" width="11.453125" style="32" customWidth="1"/>
    <col min="6662" max="6662" width="13" style="32" customWidth="1"/>
    <col min="6663" max="6664" width="11.453125" style="32" customWidth="1"/>
    <col min="6665" max="6666" width="13.26953125" style="32" customWidth="1"/>
    <col min="6667" max="6912" width="9.26953125" style="32"/>
    <col min="6913" max="6913" width="0" style="32" hidden="1" customWidth="1"/>
    <col min="6914" max="6914" width="25.54296875" style="32" customWidth="1"/>
    <col min="6915" max="6917" width="11.453125" style="32" customWidth="1"/>
    <col min="6918" max="6918" width="13" style="32" customWidth="1"/>
    <col min="6919" max="6920" width="11.453125" style="32" customWidth="1"/>
    <col min="6921" max="6922" width="13.26953125" style="32" customWidth="1"/>
    <col min="6923" max="7168" width="9.26953125" style="32"/>
    <col min="7169" max="7169" width="0" style="32" hidden="1" customWidth="1"/>
    <col min="7170" max="7170" width="25.54296875" style="32" customWidth="1"/>
    <col min="7171" max="7173" width="11.453125" style="32" customWidth="1"/>
    <col min="7174" max="7174" width="13" style="32" customWidth="1"/>
    <col min="7175" max="7176" width="11.453125" style="32" customWidth="1"/>
    <col min="7177" max="7178" width="13.26953125" style="32" customWidth="1"/>
    <col min="7179" max="7424" width="9.26953125" style="32"/>
    <col min="7425" max="7425" width="0" style="32" hidden="1" customWidth="1"/>
    <col min="7426" max="7426" width="25.54296875" style="32" customWidth="1"/>
    <col min="7427" max="7429" width="11.453125" style="32" customWidth="1"/>
    <col min="7430" max="7430" width="13" style="32" customWidth="1"/>
    <col min="7431" max="7432" width="11.453125" style="32" customWidth="1"/>
    <col min="7433" max="7434" width="13.26953125" style="32" customWidth="1"/>
    <col min="7435" max="7680" width="9.26953125" style="32"/>
    <col min="7681" max="7681" width="0" style="32" hidden="1" customWidth="1"/>
    <col min="7682" max="7682" width="25.54296875" style="32" customWidth="1"/>
    <col min="7683" max="7685" width="11.453125" style="32" customWidth="1"/>
    <col min="7686" max="7686" width="13" style="32" customWidth="1"/>
    <col min="7687" max="7688" width="11.453125" style="32" customWidth="1"/>
    <col min="7689" max="7690" width="13.26953125" style="32" customWidth="1"/>
    <col min="7691" max="7936" width="9.26953125" style="32"/>
    <col min="7937" max="7937" width="0" style="32" hidden="1" customWidth="1"/>
    <col min="7938" max="7938" width="25.54296875" style="32" customWidth="1"/>
    <col min="7939" max="7941" width="11.453125" style="32" customWidth="1"/>
    <col min="7942" max="7942" width="13" style="32" customWidth="1"/>
    <col min="7943" max="7944" width="11.453125" style="32" customWidth="1"/>
    <col min="7945" max="7946" width="13.26953125" style="32" customWidth="1"/>
    <col min="7947" max="8192" width="9.26953125" style="32"/>
    <col min="8193" max="8193" width="0" style="32" hidden="1" customWidth="1"/>
    <col min="8194" max="8194" width="25.54296875" style="32" customWidth="1"/>
    <col min="8195" max="8197" width="11.453125" style="32" customWidth="1"/>
    <col min="8198" max="8198" width="13" style="32" customWidth="1"/>
    <col min="8199" max="8200" width="11.453125" style="32" customWidth="1"/>
    <col min="8201" max="8202" width="13.26953125" style="32" customWidth="1"/>
    <col min="8203" max="8448" width="9.26953125" style="32"/>
    <col min="8449" max="8449" width="0" style="32" hidden="1" customWidth="1"/>
    <col min="8450" max="8450" width="25.54296875" style="32" customWidth="1"/>
    <col min="8451" max="8453" width="11.453125" style="32" customWidth="1"/>
    <col min="8454" max="8454" width="13" style="32" customWidth="1"/>
    <col min="8455" max="8456" width="11.453125" style="32" customWidth="1"/>
    <col min="8457" max="8458" width="13.26953125" style="32" customWidth="1"/>
    <col min="8459" max="8704" width="9.26953125" style="32"/>
    <col min="8705" max="8705" width="0" style="32" hidden="1" customWidth="1"/>
    <col min="8706" max="8706" width="25.54296875" style="32" customWidth="1"/>
    <col min="8707" max="8709" width="11.453125" style="32" customWidth="1"/>
    <col min="8710" max="8710" width="13" style="32" customWidth="1"/>
    <col min="8711" max="8712" width="11.453125" style="32" customWidth="1"/>
    <col min="8713" max="8714" width="13.26953125" style="32" customWidth="1"/>
    <col min="8715" max="8960" width="9.26953125" style="32"/>
    <col min="8961" max="8961" width="0" style="32" hidden="1" customWidth="1"/>
    <col min="8962" max="8962" width="25.54296875" style="32" customWidth="1"/>
    <col min="8963" max="8965" width="11.453125" style="32" customWidth="1"/>
    <col min="8966" max="8966" width="13" style="32" customWidth="1"/>
    <col min="8967" max="8968" width="11.453125" style="32" customWidth="1"/>
    <col min="8969" max="8970" width="13.26953125" style="32" customWidth="1"/>
    <col min="8971" max="9216" width="9.26953125" style="32"/>
    <col min="9217" max="9217" width="0" style="32" hidden="1" customWidth="1"/>
    <col min="9218" max="9218" width="25.54296875" style="32" customWidth="1"/>
    <col min="9219" max="9221" width="11.453125" style="32" customWidth="1"/>
    <col min="9222" max="9222" width="13" style="32" customWidth="1"/>
    <col min="9223" max="9224" width="11.453125" style="32" customWidth="1"/>
    <col min="9225" max="9226" width="13.26953125" style="32" customWidth="1"/>
    <col min="9227" max="9472" width="9.26953125" style="32"/>
    <col min="9473" max="9473" width="0" style="32" hidden="1" customWidth="1"/>
    <col min="9474" max="9474" width="25.54296875" style="32" customWidth="1"/>
    <col min="9475" max="9477" width="11.453125" style="32" customWidth="1"/>
    <col min="9478" max="9478" width="13" style="32" customWidth="1"/>
    <col min="9479" max="9480" width="11.453125" style="32" customWidth="1"/>
    <col min="9481" max="9482" width="13.26953125" style="32" customWidth="1"/>
    <col min="9483" max="9728" width="9.26953125" style="32"/>
    <col min="9729" max="9729" width="0" style="32" hidden="1" customWidth="1"/>
    <col min="9730" max="9730" width="25.54296875" style="32" customWidth="1"/>
    <col min="9731" max="9733" width="11.453125" style="32" customWidth="1"/>
    <col min="9734" max="9734" width="13" style="32" customWidth="1"/>
    <col min="9735" max="9736" width="11.453125" style="32" customWidth="1"/>
    <col min="9737" max="9738" width="13.26953125" style="32" customWidth="1"/>
    <col min="9739" max="9984" width="9.26953125" style="32"/>
    <col min="9985" max="9985" width="0" style="32" hidden="1" customWidth="1"/>
    <col min="9986" max="9986" width="25.54296875" style="32" customWidth="1"/>
    <col min="9987" max="9989" width="11.453125" style="32" customWidth="1"/>
    <col min="9990" max="9990" width="13" style="32" customWidth="1"/>
    <col min="9991" max="9992" width="11.453125" style="32" customWidth="1"/>
    <col min="9993" max="9994" width="13.26953125" style="32" customWidth="1"/>
    <col min="9995" max="10240" width="9.26953125" style="32"/>
    <col min="10241" max="10241" width="0" style="32" hidden="1" customWidth="1"/>
    <col min="10242" max="10242" width="25.54296875" style="32" customWidth="1"/>
    <col min="10243" max="10245" width="11.453125" style="32" customWidth="1"/>
    <col min="10246" max="10246" width="13" style="32" customWidth="1"/>
    <col min="10247" max="10248" width="11.453125" style="32" customWidth="1"/>
    <col min="10249" max="10250" width="13.26953125" style="32" customWidth="1"/>
    <col min="10251" max="10496" width="9.26953125" style="32"/>
    <col min="10497" max="10497" width="0" style="32" hidden="1" customWidth="1"/>
    <col min="10498" max="10498" width="25.54296875" style="32" customWidth="1"/>
    <col min="10499" max="10501" width="11.453125" style="32" customWidth="1"/>
    <col min="10502" max="10502" width="13" style="32" customWidth="1"/>
    <col min="10503" max="10504" width="11.453125" style="32" customWidth="1"/>
    <col min="10505" max="10506" width="13.26953125" style="32" customWidth="1"/>
    <col min="10507" max="10752" width="9.26953125" style="32"/>
    <col min="10753" max="10753" width="0" style="32" hidden="1" customWidth="1"/>
    <col min="10754" max="10754" width="25.54296875" style="32" customWidth="1"/>
    <col min="10755" max="10757" width="11.453125" style="32" customWidth="1"/>
    <col min="10758" max="10758" width="13" style="32" customWidth="1"/>
    <col min="10759" max="10760" width="11.453125" style="32" customWidth="1"/>
    <col min="10761" max="10762" width="13.26953125" style="32" customWidth="1"/>
    <col min="10763" max="11008" width="9.26953125" style="32"/>
    <col min="11009" max="11009" width="0" style="32" hidden="1" customWidth="1"/>
    <col min="11010" max="11010" width="25.54296875" style="32" customWidth="1"/>
    <col min="11011" max="11013" width="11.453125" style="32" customWidth="1"/>
    <col min="11014" max="11014" width="13" style="32" customWidth="1"/>
    <col min="11015" max="11016" width="11.453125" style="32" customWidth="1"/>
    <col min="11017" max="11018" width="13.26953125" style="32" customWidth="1"/>
    <col min="11019" max="11264" width="9.26953125" style="32"/>
    <col min="11265" max="11265" width="0" style="32" hidden="1" customWidth="1"/>
    <col min="11266" max="11266" width="25.54296875" style="32" customWidth="1"/>
    <col min="11267" max="11269" width="11.453125" style="32" customWidth="1"/>
    <col min="11270" max="11270" width="13" style="32" customWidth="1"/>
    <col min="11271" max="11272" width="11.453125" style="32" customWidth="1"/>
    <col min="11273" max="11274" width="13.26953125" style="32" customWidth="1"/>
    <col min="11275" max="11520" width="9.26953125" style="32"/>
    <col min="11521" max="11521" width="0" style="32" hidden="1" customWidth="1"/>
    <col min="11522" max="11522" width="25.54296875" style="32" customWidth="1"/>
    <col min="11523" max="11525" width="11.453125" style="32" customWidth="1"/>
    <col min="11526" max="11526" width="13" style="32" customWidth="1"/>
    <col min="11527" max="11528" width="11.453125" style="32" customWidth="1"/>
    <col min="11529" max="11530" width="13.26953125" style="32" customWidth="1"/>
    <col min="11531" max="11776" width="9.26953125" style="32"/>
    <col min="11777" max="11777" width="0" style="32" hidden="1" customWidth="1"/>
    <col min="11778" max="11778" width="25.54296875" style="32" customWidth="1"/>
    <col min="11779" max="11781" width="11.453125" style="32" customWidth="1"/>
    <col min="11782" max="11782" width="13" style="32" customWidth="1"/>
    <col min="11783" max="11784" width="11.453125" style="32" customWidth="1"/>
    <col min="11785" max="11786" width="13.26953125" style="32" customWidth="1"/>
    <col min="11787" max="12032" width="9.26953125" style="32"/>
    <col min="12033" max="12033" width="0" style="32" hidden="1" customWidth="1"/>
    <col min="12034" max="12034" width="25.54296875" style="32" customWidth="1"/>
    <col min="12035" max="12037" width="11.453125" style="32" customWidth="1"/>
    <col min="12038" max="12038" width="13" style="32" customWidth="1"/>
    <col min="12039" max="12040" width="11.453125" style="32" customWidth="1"/>
    <col min="12041" max="12042" width="13.26953125" style="32" customWidth="1"/>
    <col min="12043" max="12288" width="9.26953125" style="32"/>
    <col min="12289" max="12289" width="0" style="32" hidden="1" customWidth="1"/>
    <col min="12290" max="12290" width="25.54296875" style="32" customWidth="1"/>
    <col min="12291" max="12293" width="11.453125" style="32" customWidth="1"/>
    <col min="12294" max="12294" width="13" style="32" customWidth="1"/>
    <col min="12295" max="12296" width="11.453125" style="32" customWidth="1"/>
    <col min="12297" max="12298" width="13.26953125" style="32" customWidth="1"/>
    <col min="12299" max="12544" width="9.26953125" style="32"/>
    <col min="12545" max="12545" width="0" style="32" hidden="1" customWidth="1"/>
    <col min="12546" max="12546" width="25.54296875" style="32" customWidth="1"/>
    <col min="12547" max="12549" width="11.453125" style="32" customWidth="1"/>
    <col min="12550" max="12550" width="13" style="32" customWidth="1"/>
    <col min="12551" max="12552" width="11.453125" style="32" customWidth="1"/>
    <col min="12553" max="12554" width="13.26953125" style="32" customWidth="1"/>
    <col min="12555" max="12800" width="9.26953125" style="32"/>
    <col min="12801" max="12801" width="0" style="32" hidden="1" customWidth="1"/>
    <col min="12802" max="12802" width="25.54296875" style="32" customWidth="1"/>
    <col min="12803" max="12805" width="11.453125" style="32" customWidth="1"/>
    <col min="12806" max="12806" width="13" style="32" customWidth="1"/>
    <col min="12807" max="12808" width="11.453125" style="32" customWidth="1"/>
    <col min="12809" max="12810" width="13.26953125" style="32" customWidth="1"/>
    <col min="12811" max="13056" width="9.26953125" style="32"/>
    <col min="13057" max="13057" width="0" style="32" hidden="1" customWidth="1"/>
    <col min="13058" max="13058" width="25.54296875" style="32" customWidth="1"/>
    <col min="13059" max="13061" width="11.453125" style="32" customWidth="1"/>
    <col min="13062" max="13062" width="13" style="32" customWidth="1"/>
    <col min="13063" max="13064" width="11.453125" style="32" customWidth="1"/>
    <col min="13065" max="13066" width="13.26953125" style="32" customWidth="1"/>
    <col min="13067" max="13312" width="9.26953125" style="32"/>
    <col min="13313" max="13313" width="0" style="32" hidden="1" customWidth="1"/>
    <col min="13314" max="13314" width="25.54296875" style="32" customWidth="1"/>
    <col min="13315" max="13317" width="11.453125" style="32" customWidth="1"/>
    <col min="13318" max="13318" width="13" style="32" customWidth="1"/>
    <col min="13319" max="13320" width="11.453125" style="32" customWidth="1"/>
    <col min="13321" max="13322" width="13.26953125" style="32" customWidth="1"/>
    <col min="13323" max="13568" width="9.26953125" style="32"/>
    <col min="13569" max="13569" width="0" style="32" hidden="1" customWidth="1"/>
    <col min="13570" max="13570" width="25.54296875" style="32" customWidth="1"/>
    <col min="13571" max="13573" width="11.453125" style="32" customWidth="1"/>
    <col min="13574" max="13574" width="13" style="32" customWidth="1"/>
    <col min="13575" max="13576" width="11.453125" style="32" customWidth="1"/>
    <col min="13577" max="13578" width="13.26953125" style="32" customWidth="1"/>
    <col min="13579" max="13824" width="9.26953125" style="32"/>
    <col min="13825" max="13825" width="0" style="32" hidden="1" customWidth="1"/>
    <col min="13826" max="13826" width="25.54296875" style="32" customWidth="1"/>
    <col min="13827" max="13829" width="11.453125" style="32" customWidth="1"/>
    <col min="13830" max="13830" width="13" style="32" customWidth="1"/>
    <col min="13831" max="13832" width="11.453125" style="32" customWidth="1"/>
    <col min="13833" max="13834" width="13.26953125" style="32" customWidth="1"/>
    <col min="13835" max="14080" width="9.26953125" style="32"/>
    <col min="14081" max="14081" width="0" style="32" hidden="1" customWidth="1"/>
    <col min="14082" max="14082" width="25.54296875" style="32" customWidth="1"/>
    <col min="14083" max="14085" width="11.453125" style="32" customWidth="1"/>
    <col min="14086" max="14086" width="13" style="32" customWidth="1"/>
    <col min="14087" max="14088" width="11.453125" style="32" customWidth="1"/>
    <col min="14089" max="14090" width="13.26953125" style="32" customWidth="1"/>
    <col min="14091" max="14336" width="9.26953125" style="32"/>
    <col min="14337" max="14337" width="0" style="32" hidden="1" customWidth="1"/>
    <col min="14338" max="14338" width="25.54296875" style="32" customWidth="1"/>
    <col min="14339" max="14341" width="11.453125" style="32" customWidth="1"/>
    <col min="14342" max="14342" width="13" style="32" customWidth="1"/>
    <col min="14343" max="14344" width="11.453125" style="32" customWidth="1"/>
    <col min="14345" max="14346" width="13.26953125" style="32" customWidth="1"/>
    <col min="14347" max="14592" width="9.26953125" style="32"/>
    <col min="14593" max="14593" width="0" style="32" hidden="1" customWidth="1"/>
    <col min="14594" max="14594" width="25.54296875" style="32" customWidth="1"/>
    <col min="14595" max="14597" width="11.453125" style="32" customWidth="1"/>
    <col min="14598" max="14598" width="13" style="32" customWidth="1"/>
    <col min="14599" max="14600" width="11.453125" style="32" customWidth="1"/>
    <col min="14601" max="14602" width="13.26953125" style="32" customWidth="1"/>
    <col min="14603" max="14848" width="9.26953125" style="32"/>
    <col min="14849" max="14849" width="0" style="32" hidden="1" customWidth="1"/>
    <col min="14850" max="14850" width="25.54296875" style="32" customWidth="1"/>
    <col min="14851" max="14853" width="11.453125" style="32" customWidth="1"/>
    <col min="14854" max="14854" width="13" style="32" customWidth="1"/>
    <col min="14855" max="14856" width="11.453125" style="32" customWidth="1"/>
    <col min="14857" max="14858" width="13.26953125" style="32" customWidth="1"/>
    <col min="14859" max="15104" width="9.26953125" style="32"/>
    <col min="15105" max="15105" width="0" style="32" hidden="1" customWidth="1"/>
    <col min="15106" max="15106" width="25.54296875" style="32" customWidth="1"/>
    <col min="15107" max="15109" width="11.453125" style="32" customWidth="1"/>
    <col min="15110" max="15110" width="13" style="32" customWidth="1"/>
    <col min="15111" max="15112" width="11.453125" style="32" customWidth="1"/>
    <col min="15113" max="15114" width="13.26953125" style="32" customWidth="1"/>
    <col min="15115" max="15360" width="9.26953125" style="32"/>
    <col min="15361" max="15361" width="0" style="32" hidden="1" customWidth="1"/>
    <col min="15362" max="15362" width="25.54296875" style="32" customWidth="1"/>
    <col min="15363" max="15365" width="11.453125" style="32" customWidth="1"/>
    <col min="15366" max="15366" width="13" style="32" customWidth="1"/>
    <col min="15367" max="15368" width="11.453125" style="32" customWidth="1"/>
    <col min="15369" max="15370" width="13.26953125" style="32" customWidth="1"/>
    <col min="15371" max="15616" width="9.26953125" style="32"/>
    <col min="15617" max="15617" width="0" style="32" hidden="1" customWidth="1"/>
    <col min="15618" max="15618" width="25.54296875" style="32" customWidth="1"/>
    <col min="15619" max="15621" width="11.453125" style="32" customWidth="1"/>
    <col min="15622" max="15622" width="13" style="32" customWidth="1"/>
    <col min="15623" max="15624" width="11.453125" style="32" customWidth="1"/>
    <col min="15625" max="15626" width="13.26953125" style="32" customWidth="1"/>
    <col min="15627" max="15872" width="9.26953125" style="32"/>
    <col min="15873" max="15873" width="0" style="32" hidden="1" customWidth="1"/>
    <col min="15874" max="15874" width="25.54296875" style="32" customWidth="1"/>
    <col min="15875" max="15877" width="11.453125" style="32" customWidth="1"/>
    <col min="15878" max="15878" width="13" style="32" customWidth="1"/>
    <col min="15879" max="15880" width="11.453125" style="32" customWidth="1"/>
    <col min="15881" max="15882" width="13.26953125" style="32" customWidth="1"/>
    <col min="15883" max="16128" width="9.26953125" style="32"/>
    <col min="16129" max="16129" width="0" style="32" hidden="1" customWidth="1"/>
    <col min="16130" max="16130" width="25.54296875" style="32" customWidth="1"/>
    <col min="16131" max="16133" width="11.453125" style="32" customWidth="1"/>
    <col min="16134" max="16134" width="13" style="32" customWidth="1"/>
    <col min="16135" max="16136" width="11.453125" style="32" customWidth="1"/>
    <col min="16137" max="16138" width="13.26953125" style="32" customWidth="1"/>
    <col min="16139" max="16384" width="9.26953125" style="32"/>
  </cols>
  <sheetData>
    <row r="1" spans="1:20" ht="40.5" customHeight="1" x14ac:dyDescent="0.3">
      <c r="B1" s="128" t="s">
        <v>124</v>
      </c>
      <c r="C1" s="129"/>
      <c r="D1" s="129"/>
      <c r="E1" s="129"/>
      <c r="F1" s="129"/>
      <c r="G1" s="129"/>
      <c r="H1" s="129"/>
      <c r="I1" s="129"/>
      <c r="J1" s="130"/>
    </row>
    <row r="2" spans="1:20" s="33" customFormat="1" ht="60.75" customHeight="1" x14ac:dyDescent="0.3">
      <c r="B2" s="120"/>
      <c r="C2" s="122" t="s">
        <v>67</v>
      </c>
      <c r="D2" s="131"/>
      <c r="E2" s="132" t="s">
        <v>68</v>
      </c>
      <c r="F2" s="132"/>
      <c r="G2" s="132" t="s">
        <v>69</v>
      </c>
      <c r="H2" s="132"/>
      <c r="I2" s="122" t="s">
        <v>70</v>
      </c>
      <c r="J2" s="131"/>
      <c r="K2" s="32"/>
    </row>
    <row r="3" spans="1:20" s="33" customFormat="1" ht="24" customHeight="1" x14ac:dyDescent="0.35">
      <c r="B3" s="121"/>
      <c r="C3" s="34" t="s">
        <v>71</v>
      </c>
      <c r="D3" s="35" t="s">
        <v>72</v>
      </c>
      <c r="E3" s="34" t="s">
        <v>71</v>
      </c>
      <c r="F3" s="35" t="s">
        <v>72</v>
      </c>
      <c r="G3" s="34" t="s">
        <v>71</v>
      </c>
      <c r="H3" s="35" t="s">
        <v>72</v>
      </c>
      <c r="I3" s="34" t="s">
        <v>71</v>
      </c>
      <c r="J3" s="35" t="s">
        <v>72</v>
      </c>
    </row>
    <row r="4" spans="1:20" s="33" customFormat="1" ht="24" hidden="1" customHeight="1" x14ac:dyDescent="0.35">
      <c r="C4" s="36" t="s">
        <v>73</v>
      </c>
      <c r="D4" s="36" t="s">
        <v>73</v>
      </c>
      <c r="E4" s="37" t="s">
        <v>74</v>
      </c>
      <c r="F4" s="37" t="s">
        <v>74</v>
      </c>
      <c r="G4" s="37" t="s">
        <v>75</v>
      </c>
      <c r="H4" s="37" t="s">
        <v>75</v>
      </c>
      <c r="I4" s="36" t="s">
        <v>76</v>
      </c>
      <c r="J4" s="36" t="s">
        <v>76</v>
      </c>
    </row>
    <row r="5" spans="1:20" s="33" customFormat="1" ht="24" hidden="1" customHeight="1" x14ac:dyDescent="0.35">
      <c r="C5" s="36" t="s">
        <v>71</v>
      </c>
      <c r="D5" s="37" t="s">
        <v>72</v>
      </c>
      <c r="E5" s="36" t="s">
        <v>71</v>
      </c>
      <c r="F5" s="37" t="s">
        <v>72</v>
      </c>
      <c r="G5" s="36" t="s">
        <v>71</v>
      </c>
      <c r="H5" s="37" t="s">
        <v>72</v>
      </c>
      <c r="I5" s="36" t="s">
        <v>71</v>
      </c>
      <c r="J5" s="37" t="s">
        <v>72</v>
      </c>
    </row>
    <row r="6" spans="1:20" s="33" customFormat="1" ht="25.5" customHeight="1" x14ac:dyDescent="0.35">
      <c r="B6" s="38" t="s">
        <v>0</v>
      </c>
      <c r="C6" s="39">
        <f t="shared" ref="C6:J6" si="0">C7+C48</f>
        <v>581364</v>
      </c>
      <c r="D6" s="39">
        <f t="shared" si="0"/>
        <v>689712.78</v>
      </c>
      <c r="E6" s="39">
        <f t="shared" si="0"/>
        <v>268176</v>
      </c>
      <c r="F6" s="39">
        <f t="shared" si="0"/>
        <v>319565.42333333334</v>
      </c>
      <c r="G6" s="39">
        <f t="shared" si="0"/>
        <v>128797</v>
      </c>
      <c r="H6" s="39">
        <f t="shared" si="0"/>
        <v>176594.90000000002</v>
      </c>
      <c r="I6" s="39">
        <f t="shared" si="0"/>
        <v>44388</v>
      </c>
      <c r="J6" s="39">
        <f t="shared" si="0"/>
        <v>67054.459999999992</v>
      </c>
      <c r="L6" s="40"/>
      <c r="M6" s="40"/>
      <c r="N6" s="41"/>
      <c r="O6" s="41"/>
      <c r="P6" s="41"/>
      <c r="Q6" s="41"/>
      <c r="R6" s="41"/>
      <c r="S6" s="41"/>
      <c r="T6" s="41"/>
    </row>
    <row r="7" spans="1:20" s="38" customFormat="1" ht="26.25" customHeight="1" x14ac:dyDescent="0.35">
      <c r="A7" s="28"/>
      <c r="B7" s="38" t="s">
        <v>52</v>
      </c>
      <c r="C7" s="42">
        <f t="shared" ref="C7:J7" si="1">SUM(C8:C47)</f>
        <v>301400</v>
      </c>
      <c r="D7" s="42">
        <f t="shared" si="1"/>
        <v>358005.68</v>
      </c>
      <c r="E7" s="42">
        <f t="shared" si="1"/>
        <v>158517</v>
      </c>
      <c r="F7" s="42">
        <f t="shared" si="1"/>
        <v>176360.84</v>
      </c>
      <c r="G7" s="42">
        <f t="shared" si="1"/>
        <v>61547</v>
      </c>
      <c r="H7" s="42">
        <f t="shared" si="1"/>
        <v>73721.3</v>
      </c>
      <c r="I7" s="42">
        <f t="shared" si="1"/>
        <v>19608</v>
      </c>
      <c r="J7" s="42">
        <f t="shared" si="1"/>
        <v>21261.46</v>
      </c>
      <c r="L7" s="41"/>
      <c r="M7" s="41"/>
      <c r="N7" s="41"/>
      <c r="O7" s="41"/>
      <c r="P7" s="41"/>
      <c r="Q7" s="41"/>
      <c r="R7" s="41"/>
      <c r="S7" s="41"/>
    </row>
    <row r="8" spans="1:20" s="33" customFormat="1" ht="12.5" x14ac:dyDescent="0.35">
      <c r="A8" s="29">
        <v>51</v>
      </c>
      <c r="B8" s="33" t="s">
        <v>5</v>
      </c>
      <c r="C8" s="43">
        <v>7884</v>
      </c>
      <c r="D8" s="43">
        <v>6030</v>
      </c>
      <c r="E8" s="43">
        <v>4725</v>
      </c>
      <c r="F8" s="43">
        <v>3615</v>
      </c>
      <c r="G8" s="43">
        <v>3240</v>
      </c>
      <c r="H8" s="43">
        <v>2515</v>
      </c>
      <c r="I8" s="43">
        <v>1423</v>
      </c>
      <c r="J8" s="43">
        <v>710</v>
      </c>
      <c r="L8" s="41"/>
      <c r="M8" s="41"/>
      <c r="N8" s="41"/>
      <c r="O8" s="41"/>
      <c r="P8" s="41"/>
      <c r="Q8" s="41"/>
      <c r="R8" s="41"/>
      <c r="S8" s="41"/>
    </row>
    <row r="9" spans="1:20" s="33" customFormat="1" ht="12.5" x14ac:dyDescent="0.35">
      <c r="A9" s="29">
        <v>52</v>
      </c>
      <c r="B9" s="33" t="s">
        <v>6</v>
      </c>
      <c r="C9" s="43">
        <v>4346</v>
      </c>
      <c r="D9" s="43">
        <v>3961.53</v>
      </c>
      <c r="E9" s="43">
        <v>2684</v>
      </c>
      <c r="F9" s="43">
        <v>0</v>
      </c>
      <c r="G9" s="43">
        <v>0</v>
      </c>
      <c r="H9" s="43">
        <v>0</v>
      </c>
      <c r="I9" s="43">
        <v>1145</v>
      </c>
      <c r="J9" s="43">
        <v>0</v>
      </c>
      <c r="L9" s="41"/>
      <c r="M9" s="41"/>
      <c r="N9" s="41"/>
      <c r="O9" s="41"/>
      <c r="P9" s="41"/>
      <c r="Q9" s="41"/>
      <c r="R9" s="41"/>
      <c r="S9" s="41"/>
    </row>
    <row r="10" spans="1:20" s="33" customFormat="1" ht="13.5" customHeight="1" x14ac:dyDescent="0.35">
      <c r="A10" s="29">
        <v>86</v>
      </c>
      <c r="B10" s="33" t="s">
        <v>7</v>
      </c>
      <c r="C10" s="43">
        <v>9485</v>
      </c>
      <c r="D10" s="43">
        <v>11108</v>
      </c>
      <c r="E10" s="43">
        <v>5163</v>
      </c>
      <c r="F10" s="43">
        <v>10326</v>
      </c>
      <c r="G10" s="43">
        <v>1939</v>
      </c>
      <c r="H10" s="43">
        <v>3878</v>
      </c>
      <c r="I10" s="43">
        <v>0</v>
      </c>
      <c r="J10" s="43">
        <v>0</v>
      </c>
      <c r="L10" s="41"/>
      <c r="M10" s="41"/>
      <c r="N10" s="41"/>
      <c r="O10" s="41"/>
      <c r="P10" s="41"/>
      <c r="Q10" s="41"/>
      <c r="R10" s="41"/>
      <c r="S10" s="41"/>
    </row>
    <row r="11" spans="1:20" s="33" customFormat="1" ht="12.5" x14ac:dyDescent="0.35">
      <c r="A11" s="29">
        <v>53</v>
      </c>
      <c r="B11" s="33" t="s">
        <v>8</v>
      </c>
      <c r="C11" s="43">
        <v>4115</v>
      </c>
      <c r="D11" s="43">
        <v>5100</v>
      </c>
      <c r="E11" s="43">
        <v>1648</v>
      </c>
      <c r="F11" s="43">
        <v>840</v>
      </c>
      <c r="G11" s="43">
        <v>358</v>
      </c>
      <c r="H11" s="43">
        <v>220</v>
      </c>
      <c r="I11" s="43">
        <v>0</v>
      </c>
      <c r="J11" s="43">
        <v>0</v>
      </c>
      <c r="L11" s="41"/>
      <c r="M11" s="41"/>
      <c r="N11" s="41"/>
      <c r="O11" s="41"/>
      <c r="P11" s="41"/>
      <c r="Q11" s="41"/>
      <c r="R11" s="41"/>
      <c r="S11" s="41"/>
    </row>
    <row r="12" spans="1:20" s="33" customFormat="1" ht="12.5" x14ac:dyDescent="0.35">
      <c r="A12" s="29">
        <v>54</v>
      </c>
      <c r="B12" s="33" t="s">
        <v>9</v>
      </c>
      <c r="C12" s="43">
        <v>2510</v>
      </c>
      <c r="D12" s="43">
        <v>2395</v>
      </c>
      <c r="E12" s="43">
        <v>1421</v>
      </c>
      <c r="F12" s="43">
        <v>1540</v>
      </c>
      <c r="G12" s="43">
        <v>972</v>
      </c>
      <c r="H12" s="43">
        <v>1194</v>
      </c>
      <c r="I12" s="43">
        <v>852</v>
      </c>
      <c r="J12" s="43">
        <v>738</v>
      </c>
      <c r="L12" s="41"/>
      <c r="M12" s="41"/>
      <c r="N12" s="41"/>
      <c r="O12" s="41"/>
      <c r="P12" s="41"/>
      <c r="Q12" s="41"/>
      <c r="R12" s="41"/>
      <c r="S12" s="41"/>
    </row>
    <row r="13" spans="1:20" s="33" customFormat="1" ht="12.5" x14ac:dyDescent="0.35">
      <c r="A13" s="29">
        <v>55</v>
      </c>
      <c r="B13" s="33" t="s">
        <v>10</v>
      </c>
      <c r="C13" s="43">
        <v>29162</v>
      </c>
      <c r="D13" s="43">
        <v>12285</v>
      </c>
      <c r="E13" s="43">
        <v>24129</v>
      </c>
      <c r="F13" s="43">
        <v>10042</v>
      </c>
      <c r="G13" s="43">
        <v>7835</v>
      </c>
      <c r="H13" s="43">
        <v>3941</v>
      </c>
      <c r="I13" s="43">
        <v>0</v>
      </c>
      <c r="J13" s="43">
        <v>0</v>
      </c>
      <c r="L13" s="41"/>
      <c r="M13" s="41"/>
      <c r="N13" s="41"/>
      <c r="O13" s="41"/>
      <c r="P13" s="41"/>
      <c r="Q13" s="41"/>
      <c r="R13" s="41"/>
      <c r="S13" s="41"/>
    </row>
    <row r="14" spans="1:20" s="33" customFormat="1" ht="12.5" x14ac:dyDescent="0.35">
      <c r="A14" s="29">
        <v>56</v>
      </c>
      <c r="B14" s="33" t="s">
        <v>11</v>
      </c>
      <c r="C14" s="43">
        <v>22045</v>
      </c>
      <c r="D14" s="43">
        <v>83914</v>
      </c>
      <c r="E14" s="43">
        <v>8520</v>
      </c>
      <c r="F14" s="43">
        <v>29040</v>
      </c>
      <c r="G14" s="43">
        <v>3310</v>
      </c>
      <c r="H14" s="43">
        <v>10620</v>
      </c>
      <c r="I14" s="43">
        <v>1667</v>
      </c>
      <c r="J14" s="43">
        <v>5001</v>
      </c>
      <c r="L14" s="41"/>
      <c r="M14" s="41"/>
      <c r="N14" s="41"/>
      <c r="O14" s="41"/>
      <c r="P14" s="41"/>
      <c r="Q14" s="41"/>
      <c r="R14" s="41"/>
      <c r="S14" s="41"/>
    </row>
    <row r="15" spans="1:20" s="33" customFormat="1" ht="12.5" x14ac:dyDescent="0.35">
      <c r="A15" s="29">
        <v>57</v>
      </c>
      <c r="B15" s="33" t="s">
        <v>12</v>
      </c>
      <c r="C15" s="43">
        <v>4076</v>
      </c>
      <c r="D15" s="43">
        <v>2839</v>
      </c>
      <c r="E15" s="43">
        <v>1897</v>
      </c>
      <c r="F15" s="43">
        <v>949</v>
      </c>
      <c r="G15" s="43">
        <v>2396</v>
      </c>
      <c r="H15" s="43">
        <v>1278</v>
      </c>
      <c r="I15" s="43">
        <v>1077</v>
      </c>
      <c r="J15" s="43">
        <v>395</v>
      </c>
      <c r="L15" s="41"/>
      <c r="M15" s="41"/>
      <c r="N15" s="41"/>
      <c r="O15" s="41"/>
      <c r="P15" s="41"/>
      <c r="Q15" s="41"/>
      <c r="R15" s="41"/>
      <c r="S15" s="41"/>
    </row>
    <row r="16" spans="1:20" s="33" customFormat="1" ht="12.5" x14ac:dyDescent="0.35">
      <c r="A16" s="29">
        <v>59</v>
      </c>
      <c r="B16" s="33" t="s">
        <v>13</v>
      </c>
      <c r="C16" s="43">
        <v>8551</v>
      </c>
      <c r="D16" s="43">
        <v>6019</v>
      </c>
      <c r="E16" s="43">
        <v>1580</v>
      </c>
      <c r="F16" s="43">
        <v>2124</v>
      </c>
      <c r="G16" s="43">
        <v>514</v>
      </c>
      <c r="H16" s="43">
        <v>688</v>
      </c>
      <c r="I16" s="43">
        <v>0</v>
      </c>
      <c r="J16" s="43">
        <v>0</v>
      </c>
      <c r="L16" s="41"/>
      <c r="M16" s="41"/>
      <c r="N16" s="41"/>
      <c r="O16" s="41"/>
      <c r="P16" s="41"/>
      <c r="Q16" s="41"/>
      <c r="R16" s="41"/>
      <c r="S16" s="41"/>
    </row>
    <row r="17" spans="1:19" s="33" customFormat="1" ht="12.5" x14ac:dyDescent="0.35">
      <c r="A17" s="29">
        <v>60</v>
      </c>
      <c r="B17" s="33" t="s">
        <v>14</v>
      </c>
      <c r="C17" s="43">
        <v>11636</v>
      </c>
      <c r="D17" s="43">
        <v>15189</v>
      </c>
      <c r="E17" s="43">
        <v>8051</v>
      </c>
      <c r="F17" s="43">
        <v>10213</v>
      </c>
      <c r="G17" s="43">
        <v>2826</v>
      </c>
      <c r="H17" s="43">
        <v>4477</v>
      </c>
      <c r="I17" s="43">
        <v>5336</v>
      </c>
      <c r="J17" s="43">
        <v>5382</v>
      </c>
      <c r="L17" s="41"/>
      <c r="M17" s="41"/>
      <c r="N17" s="41"/>
      <c r="O17" s="41"/>
      <c r="P17" s="41"/>
      <c r="Q17" s="41"/>
      <c r="R17" s="41"/>
      <c r="S17" s="41"/>
    </row>
    <row r="18" spans="1:19" s="33" customFormat="1" ht="12.5" x14ac:dyDescent="0.35">
      <c r="A18" s="29">
        <v>61</v>
      </c>
      <c r="B18" s="44" t="s">
        <v>53</v>
      </c>
      <c r="C18" s="43">
        <v>9968</v>
      </c>
      <c r="D18" s="43">
        <v>11332</v>
      </c>
      <c r="E18" s="43">
        <v>5289</v>
      </c>
      <c r="F18" s="43">
        <v>6656</v>
      </c>
      <c r="G18" s="43">
        <v>1663</v>
      </c>
      <c r="H18" s="43">
        <v>1936</v>
      </c>
      <c r="I18" s="43">
        <v>0</v>
      </c>
      <c r="J18" s="43">
        <v>0</v>
      </c>
      <c r="L18" s="41"/>
      <c r="M18" s="41"/>
      <c r="N18" s="41"/>
      <c r="O18" s="41"/>
      <c r="P18" s="41"/>
      <c r="Q18" s="41"/>
      <c r="R18" s="41"/>
      <c r="S18" s="41"/>
    </row>
    <row r="19" spans="1:19" s="33" customFormat="1" ht="12.5" x14ac:dyDescent="0.35">
      <c r="A19" s="29">
        <v>62</v>
      </c>
      <c r="B19" s="44" t="s">
        <v>126</v>
      </c>
      <c r="C19" s="43" t="s">
        <v>127</v>
      </c>
      <c r="D19" s="43" t="s">
        <v>127</v>
      </c>
      <c r="E19" s="43" t="s">
        <v>127</v>
      </c>
      <c r="F19" s="43" t="s">
        <v>127</v>
      </c>
      <c r="G19" s="43" t="s">
        <v>127</v>
      </c>
      <c r="H19" s="43" t="s">
        <v>127</v>
      </c>
      <c r="I19" s="43" t="s">
        <v>127</v>
      </c>
      <c r="J19" s="43" t="s">
        <v>127</v>
      </c>
      <c r="L19" s="41"/>
      <c r="M19" s="41"/>
      <c r="N19" s="41"/>
      <c r="O19" s="41"/>
      <c r="P19" s="41"/>
      <c r="Q19" s="41"/>
      <c r="R19" s="41"/>
      <c r="S19" s="41"/>
    </row>
    <row r="20" spans="1:19" s="33" customFormat="1" ht="12.5" x14ac:dyDescent="0.35">
      <c r="A20" s="29">
        <v>58</v>
      </c>
      <c r="B20" s="33" t="s">
        <v>16</v>
      </c>
      <c r="C20" s="43">
        <v>12002</v>
      </c>
      <c r="D20" s="43">
        <v>16062</v>
      </c>
      <c r="E20" s="43">
        <v>7653</v>
      </c>
      <c r="F20" s="43">
        <v>10504</v>
      </c>
      <c r="G20" s="43">
        <v>0</v>
      </c>
      <c r="H20" s="43">
        <v>0</v>
      </c>
      <c r="I20" s="43">
        <v>25</v>
      </c>
      <c r="J20" s="43">
        <v>25</v>
      </c>
      <c r="L20" s="41"/>
      <c r="M20" s="41"/>
      <c r="N20" s="41"/>
      <c r="O20" s="41"/>
      <c r="P20" s="41"/>
      <c r="Q20" s="41"/>
      <c r="R20" s="41"/>
      <c r="S20" s="41"/>
    </row>
    <row r="21" spans="1:19" s="33" customFormat="1" ht="12.5" x14ac:dyDescent="0.35">
      <c r="A21" s="29">
        <v>63</v>
      </c>
      <c r="B21" s="33" t="s">
        <v>17</v>
      </c>
      <c r="C21" s="43">
        <v>20537</v>
      </c>
      <c r="D21" s="43">
        <v>14775</v>
      </c>
      <c r="E21" s="43">
        <v>6370</v>
      </c>
      <c r="F21" s="43">
        <v>5021</v>
      </c>
      <c r="G21" s="43">
        <v>474</v>
      </c>
      <c r="H21" s="43">
        <v>466</v>
      </c>
      <c r="I21" s="43">
        <v>0</v>
      </c>
      <c r="J21" s="43">
        <v>0</v>
      </c>
      <c r="L21" s="41"/>
      <c r="M21" s="41"/>
      <c r="N21" s="41"/>
      <c r="O21" s="41"/>
      <c r="P21" s="41"/>
      <c r="Q21" s="41"/>
      <c r="R21" s="41"/>
      <c r="S21" s="41"/>
    </row>
    <row r="22" spans="1:19" s="33" customFormat="1" ht="12.5" x14ac:dyDescent="0.35">
      <c r="A22" s="29">
        <v>64</v>
      </c>
      <c r="B22" s="33" t="s">
        <v>18</v>
      </c>
      <c r="C22" s="43">
        <v>9897</v>
      </c>
      <c r="D22" s="43">
        <v>17425.75</v>
      </c>
      <c r="E22" s="43">
        <v>6310</v>
      </c>
      <c r="F22" s="43">
        <v>10894</v>
      </c>
      <c r="G22" s="43">
        <v>4771</v>
      </c>
      <c r="H22" s="43">
        <v>8136.75</v>
      </c>
      <c r="I22" s="43">
        <v>0</v>
      </c>
      <c r="J22" s="43">
        <v>0</v>
      </c>
      <c r="L22" s="41"/>
      <c r="M22" s="41"/>
      <c r="N22" s="41"/>
      <c r="O22" s="41"/>
      <c r="P22" s="41"/>
      <c r="Q22" s="41"/>
      <c r="R22" s="41"/>
      <c r="S22" s="41"/>
    </row>
    <row r="23" spans="1:19" s="33" customFormat="1" ht="12.5" x14ac:dyDescent="0.35">
      <c r="A23" s="29">
        <v>65</v>
      </c>
      <c r="B23" s="33" t="s">
        <v>19</v>
      </c>
      <c r="C23" s="43">
        <v>4595</v>
      </c>
      <c r="D23" s="43">
        <v>5934.15</v>
      </c>
      <c r="E23" s="43">
        <v>2288</v>
      </c>
      <c r="F23" s="43">
        <v>3049.34</v>
      </c>
      <c r="G23" s="43">
        <v>563</v>
      </c>
      <c r="H23" s="43">
        <v>780.8</v>
      </c>
      <c r="I23" s="43">
        <v>977</v>
      </c>
      <c r="J23" s="43">
        <v>778.21</v>
      </c>
      <c r="L23" s="41"/>
      <c r="M23" s="41"/>
      <c r="N23" s="41"/>
      <c r="O23" s="41"/>
      <c r="P23" s="41"/>
      <c r="Q23" s="41"/>
      <c r="R23" s="41"/>
      <c r="S23" s="41"/>
    </row>
    <row r="24" spans="1:19" s="33" customFormat="1" ht="12.5" x14ac:dyDescent="0.35">
      <c r="A24" s="29">
        <v>67</v>
      </c>
      <c r="B24" s="33" t="s">
        <v>20</v>
      </c>
      <c r="C24" s="43">
        <v>6294</v>
      </c>
      <c r="D24" s="43">
        <v>5194</v>
      </c>
      <c r="E24" s="43">
        <v>3919</v>
      </c>
      <c r="F24" s="43">
        <v>3396</v>
      </c>
      <c r="G24" s="43">
        <v>1489</v>
      </c>
      <c r="H24" s="43">
        <v>1771</v>
      </c>
      <c r="I24" s="43">
        <v>0</v>
      </c>
      <c r="J24" s="43">
        <v>0</v>
      </c>
      <c r="L24" s="41"/>
      <c r="M24" s="41"/>
      <c r="N24" s="41"/>
      <c r="O24" s="41"/>
      <c r="P24" s="41"/>
      <c r="Q24" s="41"/>
      <c r="R24" s="41"/>
      <c r="S24" s="41"/>
    </row>
    <row r="25" spans="1:19" s="33" customFormat="1" ht="12.5" x14ac:dyDescent="0.35">
      <c r="A25" s="29">
        <v>68</v>
      </c>
      <c r="B25" s="33" t="s">
        <v>23</v>
      </c>
      <c r="C25" s="43">
        <v>4392</v>
      </c>
      <c r="D25" s="43">
        <v>10147</v>
      </c>
      <c r="E25" s="43">
        <v>3046</v>
      </c>
      <c r="F25" s="43">
        <v>6923</v>
      </c>
      <c r="G25" s="43">
        <v>0</v>
      </c>
      <c r="H25" s="43">
        <v>0</v>
      </c>
      <c r="I25" s="43">
        <v>430</v>
      </c>
      <c r="J25" s="43">
        <v>799</v>
      </c>
      <c r="L25" s="41"/>
      <c r="M25" s="41"/>
      <c r="N25" s="41"/>
      <c r="O25" s="41"/>
      <c r="P25" s="41"/>
      <c r="Q25" s="41"/>
      <c r="R25" s="41"/>
      <c r="S25" s="41"/>
    </row>
    <row r="26" spans="1:19" s="33" customFormat="1" ht="12.5" x14ac:dyDescent="0.35">
      <c r="A26" s="29">
        <v>69</v>
      </c>
      <c r="B26" s="33" t="s">
        <v>54</v>
      </c>
      <c r="C26" s="43">
        <v>4025</v>
      </c>
      <c r="D26" s="43">
        <v>4798</v>
      </c>
      <c r="E26" s="43">
        <v>2352</v>
      </c>
      <c r="F26" s="43">
        <v>2983</v>
      </c>
      <c r="G26" s="43">
        <v>1363</v>
      </c>
      <c r="H26" s="43">
        <v>1870</v>
      </c>
      <c r="I26" s="43">
        <v>0</v>
      </c>
      <c r="J26" s="43">
        <v>0</v>
      </c>
      <c r="L26" s="41"/>
      <c r="M26" s="41"/>
      <c r="N26" s="41"/>
      <c r="O26" s="41"/>
      <c r="P26" s="41"/>
      <c r="Q26" s="41"/>
      <c r="R26" s="41"/>
      <c r="S26" s="41"/>
    </row>
    <row r="27" spans="1:19" s="33" customFormat="1" ht="12.5" x14ac:dyDescent="0.35">
      <c r="A27" s="29">
        <v>70</v>
      </c>
      <c r="B27" s="33" t="s">
        <v>25</v>
      </c>
      <c r="C27" s="43">
        <v>4535</v>
      </c>
      <c r="D27" s="43">
        <v>8163</v>
      </c>
      <c r="E27" s="43">
        <v>2140</v>
      </c>
      <c r="F27" s="43">
        <v>3852</v>
      </c>
      <c r="G27" s="43">
        <v>799</v>
      </c>
      <c r="H27" s="43">
        <v>1438</v>
      </c>
      <c r="I27" s="43">
        <v>2134</v>
      </c>
      <c r="J27" s="43">
        <v>4268</v>
      </c>
      <c r="L27" s="41"/>
      <c r="M27" s="41"/>
      <c r="N27" s="41"/>
      <c r="O27" s="41"/>
      <c r="P27" s="41"/>
      <c r="Q27" s="41"/>
      <c r="R27" s="41"/>
      <c r="S27" s="41"/>
    </row>
    <row r="28" spans="1:19" s="33" customFormat="1" ht="12.5" x14ac:dyDescent="0.35">
      <c r="A28" s="29">
        <v>71</v>
      </c>
      <c r="B28" s="33" t="s">
        <v>26</v>
      </c>
      <c r="C28" s="43">
        <v>8576</v>
      </c>
      <c r="D28" s="43">
        <v>8122</v>
      </c>
      <c r="E28" s="43">
        <v>3490</v>
      </c>
      <c r="F28" s="43">
        <v>3289</v>
      </c>
      <c r="G28" s="43">
        <v>1825</v>
      </c>
      <c r="H28" s="43">
        <v>1706</v>
      </c>
      <c r="I28" s="43">
        <v>0</v>
      </c>
      <c r="J28" s="43">
        <v>0</v>
      </c>
      <c r="L28" s="41"/>
      <c r="M28" s="41"/>
      <c r="N28" s="41"/>
      <c r="O28" s="41"/>
      <c r="P28" s="41"/>
      <c r="Q28" s="41"/>
      <c r="R28" s="41"/>
      <c r="S28" s="41"/>
    </row>
    <row r="29" spans="1:19" s="33" customFormat="1" ht="12.5" x14ac:dyDescent="0.35">
      <c r="A29" s="29">
        <v>73</v>
      </c>
      <c r="B29" s="33" t="s">
        <v>55</v>
      </c>
      <c r="C29" s="43">
        <v>490</v>
      </c>
      <c r="D29" s="43">
        <v>366</v>
      </c>
      <c r="E29" s="43">
        <v>353</v>
      </c>
      <c r="F29" s="43">
        <v>268</v>
      </c>
      <c r="G29" s="43">
        <v>0</v>
      </c>
      <c r="H29" s="43">
        <v>0</v>
      </c>
      <c r="I29" s="43">
        <v>227</v>
      </c>
      <c r="J29" s="43">
        <v>176</v>
      </c>
      <c r="L29" s="41"/>
      <c r="M29" s="41"/>
      <c r="N29" s="41"/>
      <c r="O29" s="41"/>
      <c r="P29" s="41"/>
      <c r="Q29" s="41"/>
      <c r="R29" s="41"/>
      <c r="S29" s="41"/>
    </row>
    <row r="30" spans="1:19" s="33" customFormat="1" ht="12.5" x14ac:dyDescent="0.35">
      <c r="A30" s="29">
        <v>74</v>
      </c>
      <c r="B30" s="33" t="s">
        <v>29</v>
      </c>
      <c r="C30" s="43">
        <v>8969</v>
      </c>
      <c r="D30" s="43">
        <v>6956</v>
      </c>
      <c r="E30" s="43">
        <v>2009</v>
      </c>
      <c r="F30" s="43">
        <v>1467</v>
      </c>
      <c r="G30" s="43">
        <v>4382</v>
      </c>
      <c r="H30" s="43">
        <v>3370</v>
      </c>
      <c r="I30" s="43">
        <v>196</v>
      </c>
      <c r="J30" s="43">
        <v>0</v>
      </c>
      <c r="L30" s="41"/>
      <c r="M30" s="41"/>
      <c r="N30" s="41"/>
      <c r="O30" s="41"/>
      <c r="P30" s="41"/>
      <c r="Q30" s="41"/>
      <c r="R30" s="41"/>
      <c r="S30" s="41"/>
    </row>
    <row r="31" spans="1:19" s="33" customFormat="1" ht="12.5" x14ac:dyDescent="0.35">
      <c r="A31" s="29">
        <v>75</v>
      </c>
      <c r="B31" s="33" t="s">
        <v>30</v>
      </c>
      <c r="C31" s="43">
        <v>16252</v>
      </c>
      <c r="D31" s="43">
        <v>22101</v>
      </c>
      <c r="E31" s="43">
        <v>8551</v>
      </c>
      <c r="F31" s="43">
        <v>9411</v>
      </c>
      <c r="G31" s="43">
        <v>6741</v>
      </c>
      <c r="H31" s="43">
        <v>7415</v>
      </c>
      <c r="I31" s="43">
        <v>3</v>
      </c>
      <c r="J31" s="43">
        <v>3</v>
      </c>
      <c r="L31" s="41"/>
      <c r="M31" s="41"/>
      <c r="N31" s="41"/>
      <c r="O31" s="41"/>
      <c r="P31" s="41"/>
      <c r="Q31" s="41"/>
      <c r="R31" s="41"/>
      <c r="S31" s="41"/>
    </row>
    <row r="32" spans="1:19" s="33" customFormat="1" ht="12.5" x14ac:dyDescent="0.35">
      <c r="A32" s="29">
        <v>76</v>
      </c>
      <c r="B32" s="33" t="s">
        <v>31</v>
      </c>
      <c r="C32" s="43">
        <v>5086</v>
      </c>
      <c r="D32" s="43">
        <v>8901</v>
      </c>
      <c r="E32" s="43">
        <v>2766</v>
      </c>
      <c r="F32" s="43">
        <v>4841</v>
      </c>
      <c r="G32" s="43">
        <v>1608</v>
      </c>
      <c r="H32" s="43">
        <v>2814</v>
      </c>
      <c r="I32" s="43">
        <v>472</v>
      </c>
      <c r="J32" s="43">
        <v>826</v>
      </c>
      <c r="L32" s="41"/>
      <c r="M32" s="41"/>
      <c r="N32" s="41"/>
      <c r="O32" s="41"/>
      <c r="P32" s="41"/>
      <c r="Q32" s="41"/>
      <c r="R32" s="41"/>
      <c r="S32" s="41"/>
    </row>
    <row r="33" spans="1:19" s="33" customFormat="1" ht="12.5" x14ac:dyDescent="0.35">
      <c r="A33" s="29">
        <v>79</v>
      </c>
      <c r="B33" s="33" t="s">
        <v>32</v>
      </c>
      <c r="C33" s="43">
        <v>4704</v>
      </c>
      <c r="D33" s="43">
        <v>9700</v>
      </c>
      <c r="E33" s="43">
        <v>2028</v>
      </c>
      <c r="F33" s="43">
        <v>4300</v>
      </c>
      <c r="G33" s="43">
        <v>1862</v>
      </c>
      <c r="H33" s="43">
        <v>3980</v>
      </c>
      <c r="I33" s="43">
        <v>34</v>
      </c>
      <c r="J33" s="43">
        <v>38</v>
      </c>
      <c r="L33" s="41"/>
      <c r="M33" s="41"/>
      <c r="N33" s="41"/>
      <c r="O33" s="41"/>
      <c r="P33" s="41"/>
      <c r="Q33" s="41"/>
      <c r="R33" s="41"/>
      <c r="S33" s="41"/>
    </row>
    <row r="34" spans="1:19" s="33" customFormat="1" ht="12.5" x14ac:dyDescent="0.35">
      <c r="A34" s="29">
        <v>80</v>
      </c>
      <c r="B34" s="33" t="s">
        <v>34</v>
      </c>
      <c r="C34" s="43">
        <v>3286</v>
      </c>
      <c r="D34" s="43">
        <v>3671</v>
      </c>
      <c r="E34" s="43">
        <v>2003</v>
      </c>
      <c r="F34" s="43">
        <v>2239</v>
      </c>
      <c r="G34" s="43">
        <v>0</v>
      </c>
      <c r="H34" s="43">
        <v>0</v>
      </c>
      <c r="I34" s="43">
        <v>23</v>
      </c>
      <c r="J34" s="43">
        <v>6</v>
      </c>
      <c r="L34" s="41"/>
      <c r="M34" s="41"/>
      <c r="N34" s="41"/>
      <c r="O34" s="41"/>
      <c r="P34" s="41"/>
      <c r="Q34" s="41"/>
      <c r="R34" s="41"/>
      <c r="S34" s="41"/>
    </row>
    <row r="35" spans="1:19" s="33" customFormat="1" ht="12.5" x14ac:dyDescent="0.35">
      <c r="A35" s="29">
        <v>81</v>
      </c>
      <c r="B35" s="33" t="s">
        <v>35</v>
      </c>
      <c r="C35" s="43">
        <v>3198</v>
      </c>
      <c r="D35" s="43">
        <v>4186</v>
      </c>
      <c r="E35" s="43">
        <v>2031</v>
      </c>
      <c r="F35" s="43">
        <v>2608</v>
      </c>
      <c r="G35" s="43">
        <v>0</v>
      </c>
      <c r="H35" s="43">
        <v>0</v>
      </c>
      <c r="I35" s="43">
        <v>69</v>
      </c>
      <c r="J35" s="43">
        <v>42</v>
      </c>
      <c r="L35" s="41"/>
      <c r="M35" s="41"/>
      <c r="N35" s="41"/>
      <c r="O35" s="41"/>
      <c r="P35" s="41"/>
      <c r="Q35" s="41"/>
      <c r="R35" s="41"/>
      <c r="S35" s="41"/>
    </row>
    <row r="36" spans="1:19" s="33" customFormat="1" ht="12.5" x14ac:dyDescent="0.35">
      <c r="A36" s="29">
        <v>83</v>
      </c>
      <c r="B36" s="33" t="s">
        <v>36</v>
      </c>
      <c r="C36" s="43">
        <v>3946</v>
      </c>
      <c r="D36" s="43">
        <v>2843</v>
      </c>
      <c r="E36" s="43">
        <v>1406</v>
      </c>
      <c r="F36" s="43">
        <v>1135</v>
      </c>
      <c r="G36" s="43">
        <v>649</v>
      </c>
      <c r="H36" s="43">
        <v>521</v>
      </c>
      <c r="I36" s="43">
        <v>53</v>
      </c>
      <c r="J36" s="43">
        <v>53</v>
      </c>
      <c r="L36" s="41"/>
      <c r="M36" s="41"/>
      <c r="N36" s="41"/>
      <c r="O36" s="41"/>
      <c r="P36" s="41"/>
      <c r="Q36" s="41"/>
      <c r="R36" s="41"/>
      <c r="S36" s="41"/>
    </row>
    <row r="37" spans="1:19" s="33" customFormat="1" ht="12.5" x14ac:dyDescent="0.35">
      <c r="A37" s="29">
        <v>84</v>
      </c>
      <c r="B37" s="33" t="s">
        <v>37</v>
      </c>
      <c r="C37" s="43">
        <v>8617</v>
      </c>
      <c r="D37" s="43">
        <v>8866.25</v>
      </c>
      <c r="E37" s="43">
        <v>4188</v>
      </c>
      <c r="F37" s="43">
        <v>4389.5</v>
      </c>
      <c r="G37" s="43">
        <v>711</v>
      </c>
      <c r="H37" s="43">
        <v>818.75</v>
      </c>
      <c r="I37" s="43">
        <v>1097</v>
      </c>
      <c r="J37" s="43">
        <v>633.75</v>
      </c>
      <c r="L37" s="41"/>
      <c r="M37" s="41"/>
      <c r="N37" s="41"/>
      <c r="O37" s="41"/>
      <c r="P37" s="41"/>
      <c r="Q37" s="41"/>
      <c r="R37" s="41"/>
      <c r="S37" s="41"/>
    </row>
    <row r="38" spans="1:19" s="33" customFormat="1" ht="12.5" x14ac:dyDescent="0.35">
      <c r="A38" s="29">
        <v>85</v>
      </c>
      <c r="B38" s="33" t="s">
        <v>38</v>
      </c>
      <c r="C38" s="43">
        <v>3846</v>
      </c>
      <c r="D38" s="43">
        <v>5548</v>
      </c>
      <c r="E38" s="43">
        <v>2001</v>
      </c>
      <c r="F38" s="43">
        <v>2787</v>
      </c>
      <c r="G38" s="43">
        <v>1593</v>
      </c>
      <c r="H38" s="43">
        <v>2540</v>
      </c>
      <c r="I38" s="43">
        <v>526</v>
      </c>
      <c r="J38" s="43">
        <v>733</v>
      </c>
      <c r="L38" s="41"/>
      <c r="M38" s="41"/>
      <c r="N38" s="41"/>
      <c r="O38" s="41"/>
      <c r="P38" s="41"/>
      <c r="Q38" s="41"/>
      <c r="R38" s="41"/>
      <c r="S38" s="41"/>
    </row>
    <row r="39" spans="1:19" s="33" customFormat="1" ht="12.5" x14ac:dyDescent="0.35">
      <c r="A39" s="29">
        <v>87</v>
      </c>
      <c r="B39" s="33" t="s">
        <v>39</v>
      </c>
      <c r="C39" s="43">
        <v>2960</v>
      </c>
      <c r="D39" s="43">
        <v>7775</v>
      </c>
      <c r="E39" s="43">
        <v>1527</v>
      </c>
      <c r="F39" s="43">
        <v>3854</v>
      </c>
      <c r="G39" s="43" t="s">
        <v>84</v>
      </c>
      <c r="H39" s="43" t="s">
        <v>84</v>
      </c>
      <c r="I39" s="43">
        <v>0</v>
      </c>
      <c r="J39" s="43">
        <v>0</v>
      </c>
      <c r="L39" s="41"/>
      <c r="M39" s="41"/>
      <c r="N39" s="41"/>
      <c r="O39" s="41"/>
      <c r="P39" s="41"/>
      <c r="Q39" s="41"/>
      <c r="R39" s="41"/>
      <c r="S39" s="41"/>
    </row>
    <row r="40" spans="1:19" s="33" customFormat="1" ht="12.5" x14ac:dyDescent="0.35">
      <c r="A40" s="29">
        <v>90</v>
      </c>
      <c r="B40" s="33" t="s">
        <v>40</v>
      </c>
      <c r="C40" s="43">
        <v>3233</v>
      </c>
      <c r="D40" s="43">
        <v>3771</v>
      </c>
      <c r="E40" s="43">
        <v>1801</v>
      </c>
      <c r="F40" s="43">
        <v>2101</v>
      </c>
      <c r="G40" s="43">
        <v>0</v>
      </c>
      <c r="H40" s="43">
        <v>0</v>
      </c>
      <c r="I40" s="43">
        <v>531</v>
      </c>
      <c r="J40" s="43">
        <v>0</v>
      </c>
      <c r="L40" s="41"/>
      <c r="M40" s="41"/>
      <c r="N40" s="41"/>
      <c r="O40" s="41"/>
      <c r="P40" s="41"/>
      <c r="Q40" s="41"/>
      <c r="R40" s="41"/>
      <c r="S40" s="41"/>
    </row>
    <row r="41" spans="1:19" s="33" customFormat="1" ht="12.5" x14ac:dyDescent="0.35">
      <c r="A41" s="29">
        <v>91</v>
      </c>
      <c r="B41" s="33" t="s">
        <v>42</v>
      </c>
      <c r="C41" s="43">
        <v>29844</v>
      </c>
      <c r="D41" s="43">
        <v>0</v>
      </c>
      <c r="E41" s="43">
        <v>16318</v>
      </c>
      <c r="F41" s="43">
        <v>0</v>
      </c>
      <c r="G41" s="43">
        <v>2690</v>
      </c>
      <c r="H41" s="43">
        <v>0</v>
      </c>
      <c r="I41" s="43">
        <v>516</v>
      </c>
      <c r="J41" s="43">
        <v>0</v>
      </c>
      <c r="L41" s="41"/>
      <c r="M41" s="41"/>
      <c r="N41" s="41"/>
      <c r="O41" s="41"/>
      <c r="P41" s="41"/>
      <c r="Q41" s="41"/>
      <c r="R41" s="41"/>
      <c r="S41" s="41"/>
    </row>
    <row r="42" spans="1:19" s="33" customFormat="1" ht="12.5" x14ac:dyDescent="0.35">
      <c r="A42" s="29">
        <v>92</v>
      </c>
      <c r="B42" s="33" t="s">
        <v>43</v>
      </c>
      <c r="C42" s="43">
        <v>1242</v>
      </c>
      <c r="D42" s="43">
        <v>2465</v>
      </c>
      <c r="E42" s="43">
        <v>806</v>
      </c>
      <c r="F42" s="43">
        <v>1725</v>
      </c>
      <c r="G42" s="43">
        <v>190</v>
      </c>
      <c r="H42" s="43">
        <v>399</v>
      </c>
      <c r="I42" s="43">
        <v>0</v>
      </c>
      <c r="J42" s="43">
        <v>0</v>
      </c>
      <c r="L42" s="41"/>
      <c r="M42" s="41"/>
      <c r="N42" s="41"/>
      <c r="O42" s="41"/>
      <c r="P42" s="41"/>
      <c r="Q42" s="41"/>
      <c r="R42" s="41"/>
      <c r="S42" s="41"/>
    </row>
    <row r="43" spans="1:19" s="33" customFormat="1" ht="12.5" x14ac:dyDescent="0.35">
      <c r="A43" s="29">
        <v>94</v>
      </c>
      <c r="B43" s="33" t="s">
        <v>44</v>
      </c>
      <c r="C43" s="43">
        <v>3592</v>
      </c>
      <c r="D43" s="43">
        <v>4190</v>
      </c>
      <c r="E43" s="43">
        <v>2089</v>
      </c>
      <c r="F43" s="43">
        <v>2118</v>
      </c>
      <c r="G43" s="43">
        <v>1468</v>
      </c>
      <c r="H43" s="43">
        <v>1039</v>
      </c>
      <c r="I43" s="43">
        <v>7</v>
      </c>
      <c r="J43" s="43">
        <v>10.5</v>
      </c>
      <c r="L43" s="41"/>
      <c r="M43" s="41"/>
      <c r="N43" s="41"/>
      <c r="O43" s="41"/>
      <c r="P43" s="41"/>
      <c r="Q43" s="41"/>
      <c r="R43" s="41"/>
      <c r="S43" s="41"/>
    </row>
    <row r="44" spans="1:19" s="33" customFormat="1" ht="12.5" x14ac:dyDescent="0.35">
      <c r="A44" s="29">
        <v>96</v>
      </c>
      <c r="B44" s="33" t="s">
        <v>46</v>
      </c>
      <c r="C44" s="43">
        <v>4152</v>
      </c>
      <c r="D44" s="43">
        <v>4152</v>
      </c>
      <c r="E44" s="43">
        <v>661</v>
      </c>
      <c r="F44" s="43">
        <v>661</v>
      </c>
      <c r="G44" s="43">
        <v>2198</v>
      </c>
      <c r="H44" s="43">
        <v>2198</v>
      </c>
      <c r="I44" s="43">
        <v>213</v>
      </c>
      <c r="J44" s="43">
        <v>213</v>
      </c>
      <c r="L44" s="41"/>
      <c r="M44" s="41"/>
      <c r="N44" s="41"/>
      <c r="O44" s="41"/>
      <c r="P44" s="41"/>
      <c r="Q44" s="41"/>
      <c r="R44" s="41"/>
      <c r="S44" s="41"/>
    </row>
    <row r="45" spans="1:19" s="33" customFormat="1" ht="12.5" x14ac:dyDescent="0.35">
      <c r="A45" s="29">
        <v>98</v>
      </c>
      <c r="B45" s="33" t="s">
        <v>48</v>
      </c>
      <c r="C45" s="43">
        <v>6020</v>
      </c>
      <c r="D45" s="43">
        <v>8384</v>
      </c>
      <c r="E45" s="43">
        <v>5072</v>
      </c>
      <c r="F45" s="43">
        <v>6928</v>
      </c>
      <c r="G45" s="43">
        <v>948</v>
      </c>
      <c r="H45" s="43">
        <v>1456</v>
      </c>
      <c r="I45" s="43">
        <v>0</v>
      </c>
      <c r="J45" s="43">
        <v>0</v>
      </c>
      <c r="L45" s="41"/>
      <c r="M45" s="41"/>
      <c r="N45" s="41"/>
      <c r="O45" s="41"/>
      <c r="P45" s="41"/>
      <c r="Q45" s="41"/>
      <c r="R45" s="41"/>
      <c r="S45" s="41"/>
    </row>
    <row r="46" spans="1:19" s="33" customFormat="1" ht="12.5" x14ac:dyDescent="0.35">
      <c r="A46" s="29">
        <v>72</v>
      </c>
      <c r="B46" s="33" t="s">
        <v>50</v>
      </c>
      <c r="C46" s="43">
        <v>3253</v>
      </c>
      <c r="D46" s="43">
        <v>3296</v>
      </c>
      <c r="E46" s="43">
        <v>155</v>
      </c>
      <c r="F46" s="43">
        <v>233</v>
      </c>
      <c r="G46" s="43">
        <v>170</v>
      </c>
      <c r="H46" s="43">
        <v>255</v>
      </c>
      <c r="I46" s="43">
        <v>575</v>
      </c>
      <c r="J46" s="43">
        <v>431</v>
      </c>
      <c r="L46" s="41"/>
      <c r="M46" s="41"/>
      <c r="N46" s="41"/>
      <c r="O46" s="41"/>
      <c r="P46" s="41"/>
      <c r="Q46" s="41"/>
      <c r="R46" s="41"/>
      <c r="S46" s="41"/>
    </row>
    <row r="47" spans="1:19" s="38" customFormat="1" ht="26.25" customHeight="1" x14ac:dyDescent="0.35">
      <c r="B47" s="33" t="s">
        <v>28</v>
      </c>
      <c r="C47" s="43">
        <v>79</v>
      </c>
      <c r="D47" s="43">
        <v>41</v>
      </c>
      <c r="E47" s="43">
        <v>77</v>
      </c>
      <c r="F47" s="43">
        <v>39</v>
      </c>
      <c r="G47" s="43">
        <v>0</v>
      </c>
      <c r="H47" s="43">
        <v>0</v>
      </c>
      <c r="I47" s="43">
        <v>0</v>
      </c>
      <c r="J47" s="43">
        <v>0</v>
      </c>
      <c r="L47" s="41"/>
      <c r="M47" s="41"/>
      <c r="N47" s="41"/>
      <c r="O47" s="41"/>
      <c r="P47" s="41"/>
      <c r="Q47" s="41"/>
      <c r="R47" s="41"/>
      <c r="S47" s="41"/>
    </row>
    <row r="48" spans="1:19" s="33" customFormat="1" ht="14" x14ac:dyDescent="0.35">
      <c r="A48" s="29">
        <v>66</v>
      </c>
      <c r="B48" s="38" t="s">
        <v>56</v>
      </c>
      <c r="C48" s="42">
        <f>SUM(C49:C55)</f>
        <v>279964</v>
      </c>
      <c r="D48" s="42">
        <f t="shared" ref="D48:J48" si="2">SUM(D49:D55)</f>
        <v>331707.09999999998</v>
      </c>
      <c r="E48" s="42">
        <f t="shared" si="2"/>
        <v>109659</v>
      </c>
      <c r="F48" s="42">
        <f t="shared" si="2"/>
        <v>143204.58333333334</v>
      </c>
      <c r="G48" s="42">
        <f t="shared" si="2"/>
        <v>67250</v>
      </c>
      <c r="H48" s="42">
        <f t="shared" si="2"/>
        <v>102873.60000000001</v>
      </c>
      <c r="I48" s="42">
        <f t="shared" si="2"/>
        <v>24780</v>
      </c>
      <c r="J48" s="42">
        <f t="shared" si="2"/>
        <v>45793</v>
      </c>
      <c r="L48" s="41"/>
      <c r="M48" s="41"/>
      <c r="N48" s="41"/>
      <c r="O48" s="41"/>
      <c r="P48" s="41"/>
      <c r="Q48" s="41"/>
      <c r="R48" s="41"/>
      <c r="S48" s="41"/>
    </row>
    <row r="49" spans="1:19" s="33" customFormat="1" ht="14.25" customHeight="1" x14ac:dyDescent="0.35">
      <c r="A49" s="29">
        <v>78</v>
      </c>
      <c r="B49" s="33" t="s">
        <v>22</v>
      </c>
      <c r="C49" s="43">
        <v>44421</v>
      </c>
      <c r="D49" s="43">
        <v>48027</v>
      </c>
      <c r="E49" s="43">
        <v>6298</v>
      </c>
      <c r="F49" s="43">
        <v>7191.5</v>
      </c>
      <c r="G49" s="43">
        <v>1147</v>
      </c>
      <c r="H49" s="43">
        <v>1147</v>
      </c>
      <c r="I49" s="43">
        <v>6</v>
      </c>
      <c r="J49" s="43">
        <v>6</v>
      </c>
      <c r="L49" s="41"/>
      <c r="M49" s="41"/>
      <c r="N49" s="41"/>
      <c r="O49" s="41"/>
      <c r="P49" s="41"/>
      <c r="Q49" s="41"/>
      <c r="R49" s="41"/>
      <c r="S49" s="41"/>
    </row>
    <row r="50" spans="1:19" s="33" customFormat="1" ht="15.75" customHeight="1" x14ac:dyDescent="0.35">
      <c r="A50" s="29">
        <v>89</v>
      </c>
      <c r="B50" s="33" t="s">
        <v>33</v>
      </c>
      <c r="C50" s="43">
        <v>40280</v>
      </c>
      <c r="D50" s="43">
        <v>77532</v>
      </c>
      <c r="E50" s="43">
        <v>20621</v>
      </c>
      <c r="F50" s="43">
        <v>39180</v>
      </c>
      <c r="G50" s="43">
        <v>6010</v>
      </c>
      <c r="H50" s="43">
        <v>11419</v>
      </c>
      <c r="I50" s="43">
        <v>7570</v>
      </c>
      <c r="J50" s="43">
        <v>12036</v>
      </c>
      <c r="L50" s="41"/>
      <c r="M50" s="41"/>
      <c r="N50" s="41"/>
      <c r="O50" s="41"/>
      <c r="P50" s="41"/>
      <c r="Q50" s="41"/>
      <c r="R50" s="41"/>
      <c r="S50" s="41"/>
    </row>
    <row r="51" spans="1:19" s="33" customFormat="1" ht="12.5" x14ac:dyDescent="0.35">
      <c r="A51" s="29">
        <v>93</v>
      </c>
      <c r="B51" s="33" t="s">
        <v>41</v>
      </c>
      <c r="C51" s="43">
        <v>19895</v>
      </c>
      <c r="D51" s="43">
        <v>12556.1</v>
      </c>
      <c r="E51" s="43">
        <v>7035</v>
      </c>
      <c r="F51" s="43">
        <v>4639.083333333333</v>
      </c>
      <c r="G51" s="43">
        <v>3879</v>
      </c>
      <c r="H51" s="43">
        <v>2586.6</v>
      </c>
      <c r="I51" s="43">
        <v>0</v>
      </c>
      <c r="J51" s="43">
        <v>0</v>
      </c>
      <c r="L51" s="41"/>
      <c r="M51" s="41"/>
      <c r="N51" s="41"/>
      <c r="O51" s="41"/>
      <c r="P51" s="41"/>
      <c r="Q51" s="41"/>
      <c r="R51" s="41"/>
      <c r="S51" s="41"/>
    </row>
    <row r="52" spans="1:19" s="33" customFormat="1" ht="12.5" x14ac:dyDescent="0.35">
      <c r="A52" s="29">
        <v>95</v>
      </c>
      <c r="B52" s="33" t="s">
        <v>57</v>
      </c>
      <c r="C52" s="43">
        <v>29537</v>
      </c>
      <c r="D52" s="43">
        <v>16071</v>
      </c>
      <c r="E52" s="43">
        <v>11862</v>
      </c>
      <c r="F52" s="43">
        <v>7988</v>
      </c>
      <c r="G52" s="43">
        <v>4438</v>
      </c>
      <c r="H52" s="43">
        <v>3063</v>
      </c>
      <c r="I52" s="43">
        <v>5147</v>
      </c>
      <c r="J52" s="43">
        <v>1283</v>
      </c>
      <c r="L52" s="41"/>
      <c r="M52" s="41"/>
      <c r="N52" s="41"/>
      <c r="O52" s="41"/>
      <c r="P52" s="41"/>
      <c r="Q52" s="41"/>
      <c r="R52" s="41"/>
      <c r="S52" s="41"/>
    </row>
    <row r="53" spans="1:19" s="33" customFormat="1" ht="12.5" x14ac:dyDescent="0.35">
      <c r="A53" s="29">
        <v>97</v>
      </c>
      <c r="B53" s="33" t="s">
        <v>47</v>
      </c>
      <c r="C53" s="43">
        <v>28014</v>
      </c>
      <c r="D53" s="43">
        <v>112056</v>
      </c>
      <c r="E53" s="43">
        <v>13992</v>
      </c>
      <c r="F53" s="43">
        <v>55968</v>
      </c>
      <c r="G53" s="43">
        <v>16032</v>
      </c>
      <c r="H53" s="43">
        <v>64128</v>
      </c>
      <c r="I53" s="43">
        <v>8109</v>
      </c>
      <c r="J53" s="43">
        <v>32436</v>
      </c>
      <c r="L53" s="41"/>
      <c r="M53" s="41"/>
      <c r="N53" s="41"/>
      <c r="O53" s="41"/>
      <c r="P53" s="41"/>
      <c r="Q53" s="41"/>
      <c r="R53" s="41"/>
      <c r="S53" s="41"/>
    </row>
    <row r="54" spans="1:19" s="33" customFormat="1" ht="12.5" x14ac:dyDescent="0.35">
      <c r="A54" s="45">
        <v>77</v>
      </c>
      <c r="B54" s="33" t="s">
        <v>49</v>
      </c>
      <c r="C54" s="43">
        <v>37962</v>
      </c>
      <c r="D54" s="43">
        <v>29792</v>
      </c>
      <c r="E54" s="43">
        <v>15091</v>
      </c>
      <c r="F54" s="43">
        <v>12190</v>
      </c>
      <c r="G54" s="43">
        <v>8871</v>
      </c>
      <c r="H54" s="43">
        <v>7932</v>
      </c>
      <c r="I54" s="43">
        <v>45</v>
      </c>
      <c r="J54" s="43">
        <v>32</v>
      </c>
      <c r="L54" s="41"/>
      <c r="M54" s="41"/>
      <c r="N54" s="41"/>
      <c r="O54" s="41"/>
      <c r="P54" s="41"/>
      <c r="Q54" s="41"/>
      <c r="R54" s="41"/>
      <c r="S54" s="41"/>
    </row>
    <row r="55" spans="1:19" s="33" customFormat="1" ht="12.5" x14ac:dyDescent="0.35">
      <c r="B55" s="57" t="s">
        <v>21</v>
      </c>
      <c r="C55" s="43">
        <v>79855</v>
      </c>
      <c r="D55" s="43">
        <v>35673</v>
      </c>
      <c r="E55" s="43">
        <v>34760</v>
      </c>
      <c r="F55" s="43">
        <v>16048</v>
      </c>
      <c r="G55" s="43">
        <v>26873</v>
      </c>
      <c r="H55" s="43">
        <v>12598</v>
      </c>
      <c r="I55" s="43">
        <v>3903</v>
      </c>
      <c r="J55" s="43" t="s">
        <v>164</v>
      </c>
    </row>
    <row r="56" spans="1:19" s="33" customFormat="1" x14ac:dyDescent="0.35">
      <c r="B56" s="47"/>
      <c r="J56" s="48"/>
    </row>
    <row r="57" spans="1:19" s="33" customFormat="1" ht="12.5" x14ac:dyDescent="0.35">
      <c r="B57" s="33" t="s">
        <v>78</v>
      </c>
      <c r="J57" s="48"/>
    </row>
    <row r="58" spans="1:19" s="33" customFormat="1" ht="12.5" x14ac:dyDescent="0.35">
      <c r="J58" s="48"/>
    </row>
    <row r="59" spans="1:19" x14ac:dyDescent="0.3">
      <c r="B59" s="49" t="s">
        <v>79</v>
      </c>
      <c r="C59" s="33"/>
      <c r="D59" s="33"/>
      <c r="E59" s="33"/>
      <c r="F59" s="33"/>
      <c r="G59" s="33"/>
      <c r="H59" s="33"/>
      <c r="I59" s="33"/>
      <c r="J59" s="50"/>
    </row>
    <row r="61" spans="1:19" ht="9.75" customHeight="1" x14ac:dyDescent="0.3">
      <c r="B61" s="51" t="s">
        <v>80</v>
      </c>
    </row>
  </sheetData>
  <mergeCells count="6">
    <mergeCell ref="B1:J1"/>
    <mergeCell ref="B2:B3"/>
    <mergeCell ref="C2:D2"/>
    <mergeCell ref="E2:F2"/>
    <mergeCell ref="G2:H2"/>
    <mergeCell ref="I2:J2"/>
  </mergeCells>
  <pageMargins left="0.48" right="0.31" top="1" bottom="1" header="0.5" footer="0.5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0000"/>
  </sheetPr>
  <dimension ref="A1:T61"/>
  <sheetViews>
    <sheetView showGridLines="0" zoomScale="85" zoomScaleNormal="85" workbookViewId="0">
      <pane xSplit="2" ySplit="3" topLeftCell="C12" activePane="bottomRight" state="frozen"/>
      <selection activeCell="B1" sqref="B1"/>
      <selection pane="topRight" activeCell="C1" sqref="C1"/>
      <selection pane="bottomLeft" activeCell="B4" sqref="B4"/>
      <selection pane="bottomRight" activeCell="H39" sqref="H39"/>
    </sheetView>
  </sheetViews>
  <sheetFormatPr defaultRowHeight="13" x14ac:dyDescent="0.3"/>
  <cols>
    <col min="1" max="1" width="2.7265625" style="32" hidden="1" customWidth="1"/>
    <col min="2" max="2" width="25.54296875" style="32" customWidth="1"/>
    <col min="3" max="3" width="11.453125" style="32" customWidth="1"/>
    <col min="4" max="5" width="11.453125" style="52" customWidth="1"/>
    <col min="6" max="6" width="13" style="52" customWidth="1"/>
    <col min="7" max="8" width="11.453125" style="52" customWidth="1"/>
    <col min="9" max="10" width="13.26953125" style="52" customWidth="1"/>
    <col min="11" max="256" width="9.26953125" style="32"/>
    <col min="257" max="257" width="0" style="32" hidden="1" customWidth="1"/>
    <col min="258" max="258" width="25.54296875" style="32" customWidth="1"/>
    <col min="259" max="261" width="11.453125" style="32" customWidth="1"/>
    <col min="262" max="262" width="13" style="32" customWidth="1"/>
    <col min="263" max="264" width="11.453125" style="32" customWidth="1"/>
    <col min="265" max="266" width="13.26953125" style="32" customWidth="1"/>
    <col min="267" max="512" width="9.26953125" style="32"/>
    <col min="513" max="513" width="0" style="32" hidden="1" customWidth="1"/>
    <col min="514" max="514" width="25.54296875" style="32" customWidth="1"/>
    <col min="515" max="517" width="11.453125" style="32" customWidth="1"/>
    <col min="518" max="518" width="13" style="32" customWidth="1"/>
    <col min="519" max="520" width="11.453125" style="32" customWidth="1"/>
    <col min="521" max="522" width="13.26953125" style="32" customWidth="1"/>
    <col min="523" max="768" width="9.26953125" style="32"/>
    <col min="769" max="769" width="0" style="32" hidden="1" customWidth="1"/>
    <col min="770" max="770" width="25.54296875" style="32" customWidth="1"/>
    <col min="771" max="773" width="11.453125" style="32" customWidth="1"/>
    <col min="774" max="774" width="13" style="32" customWidth="1"/>
    <col min="775" max="776" width="11.453125" style="32" customWidth="1"/>
    <col min="777" max="778" width="13.26953125" style="32" customWidth="1"/>
    <col min="779" max="1024" width="9.26953125" style="32"/>
    <col min="1025" max="1025" width="0" style="32" hidden="1" customWidth="1"/>
    <col min="1026" max="1026" width="25.54296875" style="32" customWidth="1"/>
    <col min="1027" max="1029" width="11.453125" style="32" customWidth="1"/>
    <col min="1030" max="1030" width="13" style="32" customWidth="1"/>
    <col min="1031" max="1032" width="11.453125" style="32" customWidth="1"/>
    <col min="1033" max="1034" width="13.26953125" style="32" customWidth="1"/>
    <col min="1035" max="1280" width="9.26953125" style="32"/>
    <col min="1281" max="1281" width="0" style="32" hidden="1" customWidth="1"/>
    <col min="1282" max="1282" width="25.54296875" style="32" customWidth="1"/>
    <col min="1283" max="1285" width="11.453125" style="32" customWidth="1"/>
    <col min="1286" max="1286" width="13" style="32" customWidth="1"/>
    <col min="1287" max="1288" width="11.453125" style="32" customWidth="1"/>
    <col min="1289" max="1290" width="13.26953125" style="32" customWidth="1"/>
    <col min="1291" max="1536" width="9.26953125" style="32"/>
    <col min="1537" max="1537" width="0" style="32" hidden="1" customWidth="1"/>
    <col min="1538" max="1538" width="25.54296875" style="32" customWidth="1"/>
    <col min="1539" max="1541" width="11.453125" style="32" customWidth="1"/>
    <col min="1542" max="1542" width="13" style="32" customWidth="1"/>
    <col min="1543" max="1544" width="11.453125" style="32" customWidth="1"/>
    <col min="1545" max="1546" width="13.26953125" style="32" customWidth="1"/>
    <col min="1547" max="1792" width="9.26953125" style="32"/>
    <col min="1793" max="1793" width="0" style="32" hidden="1" customWidth="1"/>
    <col min="1794" max="1794" width="25.54296875" style="32" customWidth="1"/>
    <col min="1795" max="1797" width="11.453125" style="32" customWidth="1"/>
    <col min="1798" max="1798" width="13" style="32" customWidth="1"/>
    <col min="1799" max="1800" width="11.453125" style="32" customWidth="1"/>
    <col min="1801" max="1802" width="13.26953125" style="32" customWidth="1"/>
    <col min="1803" max="2048" width="9.26953125" style="32"/>
    <col min="2049" max="2049" width="0" style="32" hidden="1" customWidth="1"/>
    <col min="2050" max="2050" width="25.54296875" style="32" customWidth="1"/>
    <col min="2051" max="2053" width="11.453125" style="32" customWidth="1"/>
    <col min="2054" max="2054" width="13" style="32" customWidth="1"/>
    <col min="2055" max="2056" width="11.453125" style="32" customWidth="1"/>
    <col min="2057" max="2058" width="13.26953125" style="32" customWidth="1"/>
    <col min="2059" max="2304" width="9.26953125" style="32"/>
    <col min="2305" max="2305" width="0" style="32" hidden="1" customWidth="1"/>
    <col min="2306" max="2306" width="25.54296875" style="32" customWidth="1"/>
    <col min="2307" max="2309" width="11.453125" style="32" customWidth="1"/>
    <col min="2310" max="2310" width="13" style="32" customWidth="1"/>
    <col min="2311" max="2312" width="11.453125" style="32" customWidth="1"/>
    <col min="2313" max="2314" width="13.26953125" style="32" customWidth="1"/>
    <col min="2315" max="2560" width="9.26953125" style="32"/>
    <col min="2561" max="2561" width="0" style="32" hidden="1" customWidth="1"/>
    <col min="2562" max="2562" width="25.54296875" style="32" customWidth="1"/>
    <col min="2563" max="2565" width="11.453125" style="32" customWidth="1"/>
    <col min="2566" max="2566" width="13" style="32" customWidth="1"/>
    <col min="2567" max="2568" width="11.453125" style="32" customWidth="1"/>
    <col min="2569" max="2570" width="13.26953125" style="32" customWidth="1"/>
    <col min="2571" max="2816" width="9.26953125" style="32"/>
    <col min="2817" max="2817" width="0" style="32" hidden="1" customWidth="1"/>
    <col min="2818" max="2818" width="25.54296875" style="32" customWidth="1"/>
    <col min="2819" max="2821" width="11.453125" style="32" customWidth="1"/>
    <col min="2822" max="2822" width="13" style="32" customWidth="1"/>
    <col min="2823" max="2824" width="11.453125" style="32" customWidth="1"/>
    <col min="2825" max="2826" width="13.26953125" style="32" customWidth="1"/>
    <col min="2827" max="3072" width="9.26953125" style="32"/>
    <col min="3073" max="3073" width="0" style="32" hidden="1" customWidth="1"/>
    <col min="3074" max="3074" width="25.54296875" style="32" customWidth="1"/>
    <col min="3075" max="3077" width="11.453125" style="32" customWidth="1"/>
    <col min="3078" max="3078" width="13" style="32" customWidth="1"/>
    <col min="3079" max="3080" width="11.453125" style="32" customWidth="1"/>
    <col min="3081" max="3082" width="13.26953125" style="32" customWidth="1"/>
    <col min="3083" max="3328" width="9.26953125" style="32"/>
    <col min="3329" max="3329" width="0" style="32" hidden="1" customWidth="1"/>
    <col min="3330" max="3330" width="25.54296875" style="32" customWidth="1"/>
    <col min="3331" max="3333" width="11.453125" style="32" customWidth="1"/>
    <col min="3334" max="3334" width="13" style="32" customWidth="1"/>
    <col min="3335" max="3336" width="11.453125" style="32" customWidth="1"/>
    <col min="3337" max="3338" width="13.26953125" style="32" customWidth="1"/>
    <col min="3339" max="3584" width="9.26953125" style="32"/>
    <col min="3585" max="3585" width="0" style="32" hidden="1" customWidth="1"/>
    <col min="3586" max="3586" width="25.54296875" style="32" customWidth="1"/>
    <col min="3587" max="3589" width="11.453125" style="32" customWidth="1"/>
    <col min="3590" max="3590" width="13" style="32" customWidth="1"/>
    <col min="3591" max="3592" width="11.453125" style="32" customWidth="1"/>
    <col min="3593" max="3594" width="13.26953125" style="32" customWidth="1"/>
    <col min="3595" max="3840" width="9.26953125" style="32"/>
    <col min="3841" max="3841" width="0" style="32" hidden="1" customWidth="1"/>
    <col min="3842" max="3842" width="25.54296875" style="32" customWidth="1"/>
    <col min="3843" max="3845" width="11.453125" style="32" customWidth="1"/>
    <col min="3846" max="3846" width="13" style="32" customWidth="1"/>
    <col min="3847" max="3848" width="11.453125" style="32" customWidth="1"/>
    <col min="3849" max="3850" width="13.26953125" style="32" customWidth="1"/>
    <col min="3851" max="4096" width="9.26953125" style="32"/>
    <col min="4097" max="4097" width="0" style="32" hidden="1" customWidth="1"/>
    <col min="4098" max="4098" width="25.54296875" style="32" customWidth="1"/>
    <col min="4099" max="4101" width="11.453125" style="32" customWidth="1"/>
    <col min="4102" max="4102" width="13" style="32" customWidth="1"/>
    <col min="4103" max="4104" width="11.453125" style="32" customWidth="1"/>
    <col min="4105" max="4106" width="13.26953125" style="32" customWidth="1"/>
    <col min="4107" max="4352" width="9.26953125" style="32"/>
    <col min="4353" max="4353" width="0" style="32" hidden="1" customWidth="1"/>
    <col min="4354" max="4354" width="25.54296875" style="32" customWidth="1"/>
    <col min="4355" max="4357" width="11.453125" style="32" customWidth="1"/>
    <col min="4358" max="4358" width="13" style="32" customWidth="1"/>
    <col min="4359" max="4360" width="11.453125" style="32" customWidth="1"/>
    <col min="4361" max="4362" width="13.26953125" style="32" customWidth="1"/>
    <col min="4363" max="4608" width="9.26953125" style="32"/>
    <col min="4609" max="4609" width="0" style="32" hidden="1" customWidth="1"/>
    <col min="4610" max="4610" width="25.54296875" style="32" customWidth="1"/>
    <col min="4611" max="4613" width="11.453125" style="32" customWidth="1"/>
    <col min="4614" max="4614" width="13" style="32" customWidth="1"/>
    <col min="4615" max="4616" width="11.453125" style="32" customWidth="1"/>
    <col min="4617" max="4618" width="13.26953125" style="32" customWidth="1"/>
    <col min="4619" max="4864" width="9.26953125" style="32"/>
    <col min="4865" max="4865" width="0" style="32" hidden="1" customWidth="1"/>
    <col min="4866" max="4866" width="25.54296875" style="32" customWidth="1"/>
    <col min="4867" max="4869" width="11.453125" style="32" customWidth="1"/>
    <col min="4870" max="4870" width="13" style="32" customWidth="1"/>
    <col min="4871" max="4872" width="11.453125" style="32" customWidth="1"/>
    <col min="4873" max="4874" width="13.26953125" style="32" customWidth="1"/>
    <col min="4875" max="5120" width="9.26953125" style="32"/>
    <col min="5121" max="5121" width="0" style="32" hidden="1" customWidth="1"/>
    <col min="5122" max="5122" width="25.54296875" style="32" customWidth="1"/>
    <col min="5123" max="5125" width="11.453125" style="32" customWidth="1"/>
    <col min="5126" max="5126" width="13" style="32" customWidth="1"/>
    <col min="5127" max="5128" width="11.453125" style="32" customWidth="1"/>
    <col min="5129" max="5130" width="13.26953125" style="32" customWidth="1"/>
    <col min="5131" max="5376" width="9.26953125" style="32"/>
    <col min="5377" max="5377" width="0" style="32" hidden="1" customWidth="1"/>
    <col min="5378" max="5378" width="25.54296875" style="32" customWidth="1"/>
    <col min="5379" max="5381" width="11.453125" style="32" customWidth="1"/>
    <col min="5382" max="5382" width="13" style="32" customWidth="1"/>
    <col min="5383" max="5384" width="11.453125" style="32" customWidth="1"/>
    <col min="5385" max="5386" width="13.26953125" style="32" customWidth="1"/>
    <col min="5387" max="5632" width="9.26953125" style="32"/>
    <col min="5633" max="5633" width="0" style="32" hidden="1" customWidth="1"/>
    <col min="5634" max="5634" width="25.54296875" style="32" customWidth="1"/>
    <col min="5635" max="5637" width="11.453125" style="32" customWidth="1"/>
    <col min="5638" max="5638" width="13" style="32" customWidth="1"/>
    <col min="5639" max="5640" width="11.453125" style="32" customWidth="1"/>
    <col min="5641" max="5642" width="13.26953125" style="32" customWidth="1"/>
    <col min="5643" max="5888" width="9.26953125" style="32"/>
    <col min="5889" max="5889" width="0" style="32" hidden="1" customWidth="1"/>
    <col min="5890" max="5890" width="25.54296875" style="32" customWidth="1"/>
    <col min="5891" max="5893" width="11.453125" style="32" customWidth="1"/>
    <col min="5894" max="5894" width="13" style="32" customWidth="1"/>
    <col min="5895" max="5896" width="11.453125" style="32" customWidth="1"/>
    <col min="5897" max="5898" width="13.26953125" style="32" customWidth="1"/>
    <col min="5899" max="6144" width="9.26953125" style="32"/>
    <col min="6145" max="6145" width="0" style="32" hidden="1" customWidth="1"/>
    <col min="6146" max="6146" width="25.54296875" style="32" customWidth="1"/>
    <col min="6147" max="6149" width="11.453125" style="32" customWidth="1"/>
    <col min="6150" max="6150" width="13" style="32" customWidth="1"/>
    <col min="6151" max="6152" width="11.453125" style="32" customWidth="1"/>
    <col min="6153" max="6154" width="13.26953125" style="32" customWidth="1"/>
    <col min="6155" max="6400" width="9.26953125" style="32"/>
    <col min="6401" max="6401" width="0" style="32" hidden="1" customWidth="1"/>
    <col min="6402" max="6402" width="25.54296875" style="32" customWidth="1"/>
    <col min="6403" max="6405" width="11.453125" style="32" customWidth="1"/>
    <col min="6406" max="6406" width="13" style="32" customWidth="1"/>
    <col min="6407" max="6408" width="11.453125" style="32" customWidth="1"/>
    <col min="6409" max="6410" width="13.26953125" style="32" customWidth="1"/>
    <col min="6411" max="6656" width="9.26953125" style="32"/>
    <col min="6657" max="6657" width="0" style="32" hidden="1" customWidth="1"/>
    <col min="6658" max="6658" width="25.54296875" style="32" customWidth="1"/>
    <col min="6659" max="6661" width="11.453125" style="32" customWidth="1"/>
    <col min="6662" max="6662" width="13" style="32" customWidth="1"/>
    <col min="6663" max="6664" width="11.453125" style="32" customWidth="1"/>
    <col min="6665" max="6666" width="13.26953125" style="32" customWidth="1"/>
    <col min="6667" max="6912" width="9.26953125" style="32"/>
    <col min="6913" max="6913" width="0" style="32" hidden="1" customWidth="1"/>
    <col min="6914" max="6914" width="25.54296875" style="32" customWidth="1"/>
    <col min="6915" max="6917" width="11.453125" style="32" customWidth="1"/>
    <col min="6918" max="6918" width="13" style="32" customWidth="1"/>
    <col min="6919" max="6920" width="11.453125" style="32" customWidth="1"/>
    <col min="6921" max="6922" width="13.26953125" style="32" customWidth="1"/>
    <col min="6923" max="7168" width="9.26953125" style="32"/>
    <col min="7169" max="7169" width="0" style="32" hidden="1" customWidth="1"/>
    <col min="7170" max="7170" width="25.54296875" style="32" customWidth="1"/>
    <col min="7171" max="7173" width="11.453125" style="32" customWidth="1"/>
    <col min="7174" max="7174" width="13" style="32" customWidth="1"/>
    <col min="7175" max="7176" width="11.453125" style="32" customWidth="1"/>
    <col min="7177" max="7178" width="13.26953125" style="32" customWidth="1"/>
    <col min="7179" max="7424" width="9.26953125" style="32"/>
    <col min="7425" max="7425" width="0" style="32" hidden="1" customWidth="1"/>
    <col min="7426" max="7426" width="25.54296875" style="32" customWidth="1"/>
    <col min="7427" max="7429" width="11.453125" style="32" customWidth="1"/>
    <col min="7430" max="7430" width="13" style="32" customWidth="1"/>
    <col min="7431" max="7432" width="11.453125" style="32" customWidth="1"/>
    <col min="7433" max="7434" width="13.26953125" style="32" customWidth="1"/>
    <col min="7435" max="7680" width="9.26953125" style="32"/>
    <col min="7681" max="7681" width="0" style="32" hidden="1" customWidth="1"/>
    <col min="7682" max="7682" width="25.54296875" style="32" customWidth="1"/>
    <col min="7683" max="7685" width="11.453125" style="32" customWidth="1"/>
    <col min="7686" max="7686" width="13" style="32" customWidth="1"/>
    <col min="7687" max="7688" width="11.453125" style="32" customWidth="1"/>
    <col min="7689" max="7690" width="13.26953125" style="32" customWidth="1"/>
    <col min="7691" max="7936" width="9.26953125" style="32"/>
    <col min="7937" max="7937" width="0" style="32" hidden="1" customWidth="1"/>
    <col min="7938" max="7938" width="25.54296875" style="32" customWidth="1"/>
    <col min="7939" max="7941" width="11.453125" style="32" customWidth="1"/>
    <col min="7942" max="7942" width="13" style="32" customWidth="1"/>
    <col min="7943" max="7944" width="11.453125" style="32" customWidth="1"/>
    <col min="7945" max="7946" width="13.26953125" style="32" customWidth="1"/>
    <col min="7947" max="8192" width="9.26953125" style="32"/>
    <col min="8193" max="8193" width="0" style="32" hidden="1" customWidth="1"/>
    <col min="8194" max="8194" width="25.54296875" style="32" customWidth="1"/>
    <col min="8195" max="8197" width="11.453125" style="32" customWidth="1"/>
    <col min="8198" max="8198" width="13" style="32" customWidth="1"/>
    <col min="8199" max="8200" width="11.453125" style="32" customWidth="1"/>
    <col min="8201" max="8202" width="13.26953125" style="32" customWidth="1"/>
    <col min="8203" max="8448" width="9.26953125" style="32"/>
    <col min="8449" max="8449" width="0" style="32" hidden="1" customWidth="1"/>
    <col min="8450" max="8450" width="25.54296875" style="32" customWidth="1"/>
    <col min="8451" max="8453" width="11.453125" style="32" customWidth="1"/>
    <col min="8454" max="8454" width="13" style="32" customWidth="1"/>
    <col min="8455" max="8456" width="11.453125" style="32" customWidth="1"/>
    <col min="8457" max="8458" width="13.26953125" style="32" customWidth="1"/>
    <col min="8459" max="8704" width="9.26953125" style="32"/>
    <col min="8705" max="8705" width="0" style="32" hidden="1" customWidth="1"/>
    <col min="8706" max="8706" width="25.54296875" style="32" customWidth="1"/>
    <col min="8707" max="8709" width="11.453125" style="32" customWidth="1"/>
    <col min="8710" max="8710" width="13" style="32" customWidth="1"/>
    <col min="8711" max="8712" width="11.453125" style="32" customWidth="1"/>
    <col min="8713" max="8714" width="13.26953125" style="32" customWidth="1"/>
    <col min="8715" max="8960" width="9.26953125" style="32"/>
    <col min="8961" max="8961" width="0" style="32" hidden="1" customWidth="1"/>
    <col min="8962" max="8962" width="25.54296875" style="32" customWidth="1"/>
    <col min="8963" max="8965" width="11.453125" style="32" customWidth="1"/>
    <col min="8966" max="8966" width="13" style="32" customWidth="1"/>
    <col min="8967" max="8968" width="11.453125" style="32" customWidth="1"/>
    <col min="8969" max="8970" width="13.26953125" style="32" customWidth="1"/>
    <col min="8971" max="9216" width="9.26953125" style="32"/>
    <col min="9217" max="9217" width="0" style="32" hidden="1" customWidth="1"/>
    <col min="9218" max="9218" width="25.54296875" style="32" customWidth="1"/>
    <col min="9219" max="9221" width="11.453125" style="32" customWidth="1"/>
    <col min="9222" max="9222" width="13" style="32" customWidth="1"/>
    <col min="9223" max="9224" width="11.453125" style="32" customWidth="1"/>
    <col min="9225" max="9226" width="13.26953125" style="32" customWidth="1"/>
    <col min="9227" max="9472" width="9.26953125" style="32"/>
    <col min="9473" max="9473" width="0" style="32" hidden="1" customWidth="1"/>
    <col min="9474" max="9474" width="25.54296875" style="32" customWidth="1"/>
    <col min="9475" max="9477" width="11.453125" style="32" customWidth="1"/>
    <col min="9478" max="9478" width="13" style="32" customWidth="1"/>
    <col min="9479" max="9480" width="11.453125" style="32" customWidth="1"/>
    <col min="9481" max="9482" width="13.26953125" style="32" customWidth="1"/>
    <col min="9483" max="9728" width="9.26953125" style="32"/>
    <col min="9729" max="9729" width="0" style="32" hidden="1" customWidth="1"/>
    <col min="9730" max="9730" width="25.54296875" style="32" customWidth="1"/>
    <col min="9731" max="9733" width="11.453125" style="32" customWidth="1"/>
    <col min="9734" max="9734" width="13" style="32" customWidth="1"/>
    <col min="9735" max="9736" width="11.453125" style="32" customWidth="1"/>
    <col min="9737" max="9738" width="13.26953125" style="32" customWidth="1"/>
    <col min="9739" max="9984" width="9.26953125" style="32"/>
    <col min="9985" max="9985" width="0" style="32" hidden="1" customWidth="1"/>
    <col min="9986" max="9986" width="25.54296875" style="32" customWidth="1"/>
    <col min="9987" max="9989" width="11.453125" style="32" customWidth="1"/>
    <col min="9990" max="9990" width="13" style="32" customWidth="1"/>
    <col min="9991" max="9992" width="11.453125" style="32" customWidth="1"/>
    <col min="9993" max="9994" width="13.26953125" style="32" customWidth="1"/>
    <col min="9995" max="10240" width="9.26953125" style="32"/>
    <col min="10241" max="10241" width="0" style="32" hidden="1" customWidth="1"/>
    <col min="10242" max="10242" width="25.54296875" style="32" customWidth="1"/>
    <col min="10243" max="10245" width="11.453125" style="32" customWidth="1"/>
    <col min="10246" max="10246" width="13" style="32" customWidth="1"/>
    <col min="10247" max="10248" width="11.453125" style="32" customWidth="1"/>
    <col min="10249" max="10250" width="13.26953125" style="32" customWidth="1"/>
    <col min="10251" max="10496" width="9.26953125" style="32"/>
    <col min="10497" max="10497" width="0" style="32" hidden="1" customWidth="1"/>
    <col min="10498" max="10498" width="25.54296875" style="32" customWidth="1"/>
    <col min="10499" max="10501" width="11.453125" style="32" customWidth="1"/>
    <col min="10502" max="10502" width="13" style="32" customWidth="1"/>
    <col min="10503" max="10504" width="11.453125" style="32" customWidth="1"/>
    <col min="10505" max="10506" width="13.26953125" style="32" customWidth="1"/>
    <col min="10507" max="10752" width="9.26953125" style="32"/>
    <col min="10753" max="10753" width="0" style="32" hidden="1" customWidth="1"/>
    <col min="10754" max="10754" width="25.54296875" style="32" customWidth="1"/>
    <col min="10755" max="10757" width="11.453125" style="32" customWidth="1"/>
    <col min="10758" max="10758" width="13" style="32" customWidth="1"/>
    <col min="10759" max="10760" width="11.453125" style="32" customWidth="1"/>
    <col min="10761" max="10762" width="13.26953125" style="32" customWidth="1"/>
    <col min="10763" max="11008" width="9.26953125" style="32"/>
    <col min="11009" max="11009" width="0" style="32" hidden="1" customWidth="1"/>
    <col min="11010" max="11010" width="25.54296875" style="32" customWidth="1"/>
    <col min="11011" max="11013" width="11.453125" style="32" customWidth="1"/>
    <col min="11014" max="11014" width="13" style="32" customWidth="1"/>
    <col min="11015" max="11016" width="11.453125" style="32" customWidth="1"/>
    <col min="11017" max="11018" width="13.26953125" style="32" customWidth="1"/>
    <col min="11019" max="11264" width="9.26953125" style="32"/>
    <col min="11265" max="11265" width="0" style="32" hidden="1" customWidth="1"/>
    <col min="11266" max="11266" width="25.54296875" style="32" customWidth="1"/>
    <col min="11267" max="11269" width="11.453125" style="32" customWidth="1"/>
    <col min="11270" max="11270" width="13" style="32" customWidth="1"/>
    <col min="11271" max="11272" width="11.453125" style="32" customWidth="1"/>
    <col min="11273" max="11274" width="13.26953125" style="32" customWidth="1"/>
    <col min="11275" max="11520" width="9.26953125" style="32"/>
    <col min="11521" max="11521" width="0" style="32" hidden="1" customWidth="1"/>
    <col min="11522" max="11522" width="25.54296875" style="32" customWidth="1"/>
    <col min="11523" max="11525" width="11.453125" style="32" customWidth="1"/>
    <col min="11526" max="11526" width="13" style="32" customWidth="1"/>
    <col min="11527" max="11528" width="11.453125" style="32" customWidth="1"/>
    <col min="11529" max="11530" width="13.26953125" style="32" customWidth="1"/>
    <col min="11531" max="11776" width="9.26953125" style="32"/>
    <col min="11777" max="11777" width="0" style="32" hidden="1" customWidth="1"/>
    <col min="11778" max="11778" width="25.54296875" style="32" customWidth="1"/>
    <col min="11779" max="11781" width="11.453125" style="32" customWidth="1"/>
    <col min="11782" max="11782" width="13" style="32" customWidth="1"/>
    <col min="11783" max="11784" width="11.453125" style="32" customWidth="1"/>
    <col min="11785" max="11786" width="13.26953125" style="32" customWidth="1"/>
    <col min="11787" max="12032" width="9.26953125" style="32"/>
    <col min="12033" max="12033" width="0" style="32" hidden="1" customWidth="1"/>
    <col min="12034" max="12034" width="25.54296875" style="32" customWidth="1"/>
    <col min="12035" max="12037" width="11.453125" style="32" customWidth="1"/>
    <col min="12038" max="12038" width="13" style="32" customWidth="1"/>
    <col min="12039" max="12040" width="11.453125" style="32" customWidth="1"/>
    <col min="12041" max="12042" width="13.26953125" style="32" customWidth="1"/>
    <col min="12043" max="12288" width="9.26953125" style="32"/>
    <col min="12289" max="12289" width="0" style="32" hidden="1" customWidth="1"/>
    <col min="12290" max="12290" width="25.54296875" style="32" customWidth="1"/>
    <col min="12291" max="12293" width="11.453125" style="32" customWidth="1"/>
    <col min="12294" max="12294" width="13" style="32" customWidth="1"/>
    <col min="12295" max="12296" width="11.453125" style="32" customWidth="1"/>
    <col min="12297" max="12298" width="13.26953125" style="32" customWidth="1"/>
    <col min="12299" max="12544" width="9.26953125" style="32"/>
    <col min="12545" max="12545" width="0" style="32" hidden="1" customWidth="1"/>
    <col min="12546" max="12546" width="25.54296875" style="32" customWidth="1"/>
    <col min="12547" max="12549" width="11.453125" style="32" customWidth="1"/>
    <col min="12550" max="12550" width="13" style="32" customWidth="1"/>
    <col min="12551" max="12552" width="11.453125" style="32" customWidth="1"/>
    <col min="12553" max="12554" width="13.26953125" style="32" customWidth="1"/>
    <col min="12555" max="12800" width="9.26953125" style="32"/>
    <col min="12801" max="12801" width="0" style="32" hidden="1" customWidth="1"/>
    <col min="12802" max="12802" width="25.54296875" style="32" customWidth="1"/>
    <col min="12803" max="12805" width="11.453125" style="32" customWidth="1"/>
    <col min="12806" max="12806" width="13" style="32" customWidth="1"/>
    <col min="12807" max="12808" width="11.453125" style="32" customWidth="1"/>
    <col min="12809" max="12810" width="13.26953125" style="32" customWidth="1"/>
    <col min="12811" max="13056" width="9.26953125" style="32"/>
    <col min="13057" max="13057" width="0" style="32" hidden="1" customWidth="1"/>
    <col min="13058" max="13058" width="25.54296875" style="32" customWidth="1"/>
    <col min="13059" max="13061" width="11.453125" style="32" customWidth="1"/>
    <col min="13062" max="13062" width="13" style="32" customWidth="1"/>
    <col min="13063" max="13064" width="11.453125" style="32" customWidth="1"/>
    <col min="13065" max="13066" width="13.26953125" style="32" customWidth="1"/>
    <col min="13067" max="13312" width="9.26953125" style="32"/>
    <col min="13313" max="13313" width="0" style="32" hidden="1" customWidth="1"/>
    <col min="13314" max="13314" width="25.54296875" style="32" customWidth="1"/>
    <col min="13315" max="13317" width="11.453125" style="32" customWidth="1"/>
    <col min="13318" max="13318" width="13" style="32" customWidth="1"/>
    <col min="13319" max="13320" width="11.453125" style="32" customWidth="1"/>
    <col min="13321" max="13322" width="13.26953125" style="32" customWidth="1"/>
    <col min="13323" max="13568" width="9.26953125" style="32"/>
    <col min="13569" max="13569" width="0" style="32" hidden="1" customWidth="1"/>
    <col min="13570" max="13570" width="25.54296875" style="32" customWidth="1"/>
    <col min="13571" max="13573" width="11.453125" style="32" customWidth="1"/>
    <col min="13574" max="13574" width="13" style="32" customWidth="1"/>
    <col min="13575" max="13576" width="11.453125" style="32" customWidth="1"/>
    <col min="13577" max="13578" width="13.26953125" style="32" customWidth="1"/>
    <col min="13579" max="13824" width="9.26953125" style="32"/>
    <col min="13825" max="13825" width="0" style="32" hidden="1" customWidth="1"/>
    <col min="13826" max="13826" width="25.54296875" style="32" customWidth="1"/>
    <col min="13827" max="13829" width="11.453125" style="32" customWidth="1"/>
    <col min="13830" max="13830" width="13" style="32" customWidth="1"/>
    <col min="13831" max="13832" width="11.453125" style="32" customWidth="1"/>
    <col min="13833" max="13834" width="13.26953125" style="32" customWidth="1"/>
    <col min="13835" max="14080" width="9.26953125" style="32"/>
    <col min="14081" max="14081" width="0" style="32" hidden="1" customWidth="1"/>
    <col min="14082" max="14082" width="25.54296875" style="32" customWidth="1"/>
    <col min="14083" max="14085" width="11.453125" style="32" customWidth="1"/>
    <col min="14086" max="14086" width="13" style="32" customWidth="1"/>
    <col min="14087" max="14088" width="11.453125" style="32" customWidth="1"/>
    <col min="14089" max="14090" width="13.26953125" style="32" customWidth="1"/>
    <col min="14091" max="14336" width="9.26953125" style="32"/>
    <col min="14337" max="14337" width="0" style="32" hidden="1" customWidth="1"/>
    <col min="14338" max="14338" width="25.54296875" style="32" customWidth="1"/>
    <col min="14339" max="14341" width="11.453125" style="32" customWidth="1"/>
    <col min="14342" max="14342" width="13" style="32" customWidth="1"/>
    <col min="14343" max="14344" width="11.453125" style="32" customWidth="1"/>
    <col min="14345" max="14346" width="13.26953125" style="32" customWidth="1"/>
    <col min="14347" max="14592" width="9.26953125" style="32"/>
    <col min="14593" max="14593" width="0" style="32" hidden="1" customWidth="1"/>
    <col min="14594" max="14594" width="25.54296875" style="32" customWidth="1"/>
    <col min="14595" max="14597" width="11.453125" style="32" customWidth="1"/>
    <col min="14598" max="14598" width="13" style="32" customWidth="1"/>
    <col min="14599" max="14600" width="11.453125" style="32" customWidth="1"/>
    <col min="14601" max="14602" width="13.26953125" style="32" customWidth="1"/>
    <col min="14603" max="14848" width="9.26953125" style="32"/>
    <col min="14849" max="14849" width="0" style="32" hidden="1" customWidth="1"/>
    <col min="14850" max="14850" width="25.54296875" style="32" customWidth="1"/>
    <col min="14851" max="14853" width="11.453125" style="32" customWidth="1"/>
    <col min="14854" max="14854" width="13" style="32" customWidth="1"/>
    <col min="14855" max="14856" width="11.453125" style="32" customWidth="1"/>
    <col min="14857" max="14858" width="13.26953125" style="32" customWidth="1"/>
    <col min="14859" max="15104" width="9.26953125" style="32"/>
    <col min="15105" max="15105" width="0" style="32" hidden="1" customWidth="1"/>
    <col min="15106" max="15106" width="25.54296875" style="32" customWidth="1"/>
    <col min="15107" max="15109" width="11.453125" style="32" customWidth="1"/>
    <col min="15110" max="15110" width="13" style="32" customWidth="1"/>
    <col min="15111" max="15112" width="11.453125" style="32" customWidth="1"/>
    <col min="15113" max="15114" width="13.26953125" style="32" customWidth="1"/>
    <col min="15115" max="15360" width="9.26953125" style="32"/>
    <col min="15361" max="15361" width="0" style="32" hidden="1" customWidth="1"/>
    <col min="15362" max="15362" width="25.54296875" style="32" customWidth="1"/>
    <col min="15363" max="15365" width="11.453125" style="32" customWidth="1"/>
    <col min="15366" max="15366" width="13" style="32" customWidth="1"/>
    <col min="15367" max="15368" width="11.453125" style="32" customWidth="1"/>
    <col min="15369" max="15370" width="13.26953125" style="32" customWidth="1"/>
    <col min="15371" max="15616" width="9.26953125" style="32"/>
    <col min="15617" max="15617" width="0" style="32" hidden="1" customWidth="1"/>
    <col min="15618" max="15618" width="25.54296875" style="32" customWidth="1"/>
    <col min="15619" max="15621" width="11.453125" style="32" customWidth="1"/>
    <col min="15622" max="15622" width="13" style="32" customWidth="1"/>
    <col min="15623" max="15624" width="11.453125" style="32" customWidth="1"/>
    <col min="15625" max="15626" width="13.26953125" style="32" customWidth="1"/>
    <col min="15627" max="15872" width="9.26953125" style="32"/>
    <col min="15873" max="15873" width="0" style="32" hidden="1" customWidth="1"/>
    <col min="15874" max="15874" width="25.54296875" style="32" customWidth="1"/>
    <col min="15875" max="15877" width="11.453125" style="32" customWidth="1"/>
    <col min="15878" max="15878" width="13" style="32" customWidth="1"/>
    <col min="15879" max="15880" width="11.453125" style="32" customWidth="1"/>
    <col min="15881" max="15882" width="13.26953125" style="32" customWidth="1"/>
    <col min="15883" max="16128" width="9.26953125" style="32"/>
    <col min="16129" max="16129" width="0" style="32" hidden="1" customWidth="1"/>
    <col min="16130" max="16130" width="25.54296875" style="32" customWidth="1"/>
    <col min="16131" max="16133" width="11.453125" style="32" customWidth="1"/>
    <col min="16134" max="16134" width="13" style="32" customWidth="1"/>
    <col min="16135" max="16136" width="11.453125" style="32" customWidth="1"/>
    <col min="16137" max="16138" width="13.26953125" style="32" customWidth="1"/>
    <col min="16139" max="16384" width="9.26953125" style="32"/>
  </cols>
  <sheetData>
    <row r="1" spans="1:20" ht="40.5" customHeight="1" x14ac:dyDescent="0.3">
      <c r="B1" s="128" t="s">
        <v>124</v>
      </c>
      <c r="C1" s="129"/>
      <c r="D1" s="129"/>
      <c r="E1" s="129"/>
      <c r="F1" s="129"/>
      <c r="G1" s="129"/>
      <c r="H1" s="129"/>
      <c r="I1" s="129"/>
      <c r="J1" s="130"/>
    </row>
    <row r="2" spans="1:20" s="33" customFormat="1" ht="60.75" customHeight="1" x14ac:dyDescent="0.3">
      <c r="B2" s="120"/>
      <c r="C2" s="122" t="s">
        <v>67</v>
      </c>
      <c r="D2" s="131"/>
      <c r="E2" s="132" t="s">
        <v>68</v>
      </c>
      <c r="F2" s="132"/>
      <c r="G2" s="132" t="s">
        <v>69</v>
      </c>
      <c r="H2" s="132"/>
      <c r="I2" s="122" t="s">
        <v>70</v>
      </c>
      <c r="J2" s="131"/>
      <c r="K2" s="32"/>
    </row>
    <row r="3" spans="1:20" s="33" customFormat="1" ht="24" customHeight="1" x14ac:dyDescent="0.35">
      <c r="B3" s="121"/>
      <c r="C3" s="34" t="s">
        <v>71</v>
      </c>
      <c r="D3" s="35" t="s">
        <v>72</v>
      </c>
      <c r="E3" s="34" t="s">
        <v>71</v>
      </c>
      <c r="F3" s="35" t="s">
        <v>72</v>
      </c>
      <c r="G3" s="34" t="s">
        <v>71</v>
      </c>
      <c r="H3" s="35" t="s">
        <v>72</v>
      </c>
      <c r="I3" s="34" t="s">
        <v>71</v>
      </c>
      <c r="J3" s="35" t="s">
        <v>72</v>
      </c>
    </row>
    <row r="4" spans="1:20" s="33" customFormat="1" ht="24" hidden="1" customHeight="1" x14ac:dyDescent="0.35">
      <c r="C4" s="36" t="s">
        <v>73</v>
      </c>
      <c r="D4" s="36" t="s">
        <v>73</v>
      </c>
      <c r="E4" s="37" t="s">
        <v>74</v>
      </c>
      <c r="F4" s="37" t="s">
        <v>74</v>
      </c>
      <c r="G4" s="37" t="s">
        <v>75</v>
      </c>
      <c r="H4" s="37" t="s">
        <v>75</v>
      </c>
      <c r="I4" s="36" t="s">
        <v>76</v>
      </c>
      <c r="J4" s="36" t="s">
        <v>76</v>
      </c>
    </row>
    <row r="5" spans="1:20" s="33" customFormat="1" ht="24" hidden="1" customHeight="1" x14ac:dyDescent="0.35">
      <c r="C5" s="36" t="s">
        <v>71</v>
      </c>
      <c r="D5" s="37" t="s">
        <v>72</v>
      </c>
      <c r="E5" s="36" t="s">
        <v>71</v>
      </c>
      <c r="F5" s="37" t="s">
        <v>72</v>
      </c>
      <c r="G5" s="36" t="s">
        <v>71</v>
      </c>
      <c r="H5" s="37" t="s">
        <v>72</v>
      </c>
      <c r="I5" s="36" t="s">
        <v>71</v>
      </c>
      <c r="J5" s="37" t="s">
        <v>72</v>
      </c>
    </row>
    <row r="6" spans="1:20" s="33" customFormat="1" ht="25.5" customHeight="1" x14ac:dyDescent="0.35">
      <c r="B6" s="38" t="s">
        <v>0</v>
      </c>
      <c r="C6" s="39">
        <v>581364</v>
      </c>
      <c r="D6" s="39">
        <v>729661.84618249536</v>
      </c>
      <c r="E6" s="39">
        <v>268176</v>
      </c>
      <c r="F6" s="39">
        <v>319566</v>
      </c>
      <c r="G6" s="39">
        <v>130971</v>
      </c>
      <c r="H6" s="39">
        <v>182969</v>
      </c>
      <c r="I6" s="39">
        <v>44388</v>
      </c>
      <c r="J6" s="39">
        <v>67055</v>
      </c>
      <c r="L6" s="40"/>
      <c r="M6" s="40"/>
      <c r="N6" s="40"/>
      <c r="O6" s="40"/>
      <c r="P6" s="40"/>
      <c r="Q6" s="40"/>
      <c r="R6" s="40"/>
      <c r="S6" s="40"/>
      <c r="T6" s="41"/>
    </row>
    <row r="7" spans="1:20" s="38" customFormat="1" ht="26.25" customHeight="1" x14ac:dyDescent="0.35">
      <c r="A7" s="28"/>
      <c r="B7" s="38" t="s">
        <v>52</v>
      </c>
      <c r="C7" s="42">
        <v>301400</v>
      </c>
      <c r="D7" s="42">
        <v>397954.84618249536</v>
      </c>
      <c r="E7" s="42">
        <v>158517</v>
      </c>
      <c r="F7" s="42">
        <v>176361</v>
      </c>
      <c r="G7" s="42">
        <v>63721</v>
      </c>
      <c r="H7" s="42">
        <v>80095</v>
      </c>
      <c r="I7" s="42">
        <v>19608</v>
      </c>
      <c r="J7" s="42">
        <v>21262</v>
      </c>
      <c r="L7" s="40"/>
      <c r="M7" s="40"/>
      <c r="N7" s="40"/>
      <c r="O7" s="40"/>
      <c r="P7" s="40"/>
      <c r="Q7" s="40"/>
      <c r="R7" s="40"/>
      <c r="S7" s="40"/>
    </row>
    <row r="8" spans="1:20" s="33" customFormat="1" ht="12.5" x14ac:dyDescent="0.35">
      <c r="A8" s="29">
        <v>51</v>
      </c>
      <c r="B8" s="33" t="s">
        <v>5</v>
      </c>
      <c r="C8" s="43">
        <v>7884</v>
      </c>
      <c r="D8" s="43">
        <v>6030</v>
      </c>
      <c r="E8" s="43">
        <v>4725</v>
      </c>
      <c r="F8" s="43">
        <v>3615</v>
      </c>
      <c r="G8" s="43">
        <v>3240</v>
      </c>
      <c r="H8" s="43">
        <v>2515</v>
      </c>
      <c r="I8" s="43">
        <v>1423</v>
      </c>
      <c r="J8" s="43">
        <v>710</v>
      </c>
      <c r="L8" s="40"/>
      <c r="M8" s="40"/>
      <c r="N8" s="40"/>
      <c r="O8" s="40"/>
      <c r="P8" s="40"/>
      <c r="Q8" s="40"/>
      <c r="R8" s="40"/>
      <c r="S8" s="40"/>
    </row>
    <row r="9" spans="1:20" s="33" customFormat="1" ht="12.5" x14ac:dyDescent="0.35">
      <c r="A9" s="29">
        <v>52</v>
      </c>
      <c r="B9" s="33" t="s">
        <v>6</v>
      </c>
      <c r="C9" s="43">
        <v>4346</v>
      </c>
      <c r="D9" s="43">
        <v>3962</v>
      </c>
      <c r="E9" s="43">
        <v>2684</v>
      </c>
      <c r="F9" s="65" t="s">
        <v>77</v>
      </c>
      <c r="G9" s="65" t="s">
        <v>77</v>
      </c>
      <c r="H9" s="65" t="s">
        <v>77</v>
      </c>
      <c r="I9" s="43">
        <v>1145</v>
      </c>
      <c r="J9" s="65" t="s">
        <v>77</v>
      </c>
      <c r="L9" s="40"/>
      <c r="M9" s="40"/>
      <c r="N9" s="40"/>
      <c r="O9" s="40"/>
      <c r="P9" s="40"/>
      <c r="Q9" s="40"/>
      <c r="R9" s="40"/>
      <c r="S9" s="40"/>
    </row>
    <row r="10" spans="1:20" s="33" customFormat="1" ht="13.5" customHeight="1" x14ac:dyDescent="0.35">
      <c r="A10" s="29">
        <v>86</v>
      </c>
      <c r="B10" s="33" t="s">
        <v>7</v>
      </c>
      <c r="C10" s="43">
        <v>9485</v>
      </c>
      <c r="D10" s="43">
        <v>11108</v>
      </c>
      <c r="E10" s="43">
        <v>5163</v>
      </c>
      <c r="F10" s="43">
        <v>10326</v>
      </c>
      <c r="G10" s="43">
        <v>1939</v>
      </c>
      <c r="H10" s="43">
        <v>3878</v>
      </c>
      <c r="I10" s="65" t="s">
        <v>77</v>
      </c>
      <c r="J10" s="65" t="s">
        <v>77</v>
      </c>
      <c r="L10" s="40"/>
      <c r="M10" s="40"/>
      <c r="N10" s="40"/>
      <c r="O10" s="40"/>
      <c r="P10" s="40"/>
      <c r="Q10" s="40"/>
      <c r="R10" s="40"/>
      <c r="S10" s="40"/>
    </row>
    <row r="11" spans="1:20" s="33" customFormat="1" ht="12.5" x14ac:dyDescent="0.35">
      <c r="A11" s="29">
        <v>53</v>
      </c>
      <c r="B11" s="33" t="s">
        <v>8</v>
      </c>
      <c r="C11" s="43">
        <v>4115</v>
      </c>
      <c r="D11" s="43">
        <v>5100</v>
      </c>
      <c r="E11" s="43">
        <v>1648</v>
      </c>
      <c r="F11" s="43">
        <v>840</v>
      </c>
      <c r="G11" s="43">
        <v>358</v>
      </c>
      <c r="H11" s="43">
        <v>220</v>
      </c>
      <c r="I11" s="43">
        <v>0</v>
      </c>
      <c r="J11" s="43">
        <v>0</v>
      </c>
      <c r="L11" s="40"/>
      <c r="M11" s="40"/>
      <c r="N11" s="40"/>
      <c r="O11" s="40"/>
      <c r="P11" s="40"/>
      <c r="Q11" s="40"/>
      <c r="R11" s="40"/>
      <c r="S11" s="40"/>
    </row>
    <row r="12" spans="1:20" s="33" customFormat="1" ht="12.5" x14ac:dyDescent="0.35">
      <c r="A12" s="29">
        <v>54</v>
      </c>
      <c r="B12" s="33" t="s">
        <v>9</v>
      </c>
      <c r="C12" s="43">
        <v>2510</v>
      </c>
      <c r="D12" s="43">
        <v>2395</v>
      </c>
      <c r="E12" s="43">
        <v>1421</v>
      </c>
      <c r="F12" s="43">
        <v>1540</v>
      </c>
      <c r="G12" s="43">
        <v>972</v>
      </c>
      <c r="H12" s="43">
        <v>1194</v>
      </c>
      <c r="I12" s="43">
        <v>852</v>
      </c>
      <c r="J12" s="43">
        <v>738</v>
      </c>
      <c r="L12" s="40"/>
      <c r="M12" s="40"/>
      <c r="N12" s="40"/>
      <c r="O12" s="40"/>
      <c r="P12" s="40"/>
      <c r="Q12" s="40"/>
      <c r="R12" s="40"/>
      <c r="S12" s="40"/>
    </row>
    <row r="13" spans="1:20" s="33" customFormat="1" ht="12.5" x14ac:dyDescent="0.35">
      <c r="A13" s="29">
        <v>55</v>
      </c>
      <c r="B13" s="33" t="s">
        <v>10</v>
      </c>
      <c r="C13" s="43">
        <v>29162</v>
      </c>
      <c r="D13" s="43">
        <v>12285</v>
      </c>
      <c r="E13" s="43">
        <v>24129</v>
      </c>
      <c r="F13" s="43">
        <v>10042</v>
      </c>
      <c r="G13" s="43">
        <v>7835</v>
      </c>
      <c r="H13" s="43">
        <v>3941</v>
      </c>
      <c r="I13" s="65" t="s">
        <v>77</v>
      </c>
      <c r="J13" s="65" t="s">
        <v>77</v>
      </c>
      <c r="L13" s="40"/>
      <c r="M13" s="40"/>
      <c r="N13" s="40"/>
      <c r="O13" s="40"/>
      <c r="P13" s="40"/>
      <c r="Q13" s="40"/>
      <c r="R13" s="40"/>
      <c r="S13" s="40"/>
    </row>
    <row r="14" spans="1:20" s="33" customFormat="1" ht="12.5" x14ac:dyDescent="0.35">
      <c r="A14" s="29">
        <v>56</v>
      </c>
      <c r="B14" s="33" t="s">
        <v>11</v>
      </c>
      <c r="C14" s="43">
        <v>22045</v>
      </c>
      <c r="D14" s="43">
        <v>83914</v>
      </c>
      <c r="E14" s="43">
        <v>8520</v>
      </c>
      <c r="F14" s="43">
        <v>29040</v>
      </c>
      <c r="G14" s="43">
        <v>3310</v>
      </c>
      <c r="H14" s="43">
        <v>10620</v>
      </c>
      <c r="I14" s="43">
        <v>1667</v>
      </c>
      <c r="J14" s="43">
        <v>5001</v>
      </c>
      <c r="L14" s="40"/>
      <c r="M14" s="40"/>
      <c r="N14" s="40"/>
      <c r="O14" s="40"/>
      <c r="P14" s="40"/>
      <c r="Q14" s="40"/>
      <c r="R14" s="40"/>
      <c r="S14" s="40"/>
    </row>
    <row r="15" spans="1:20" s="33" customFormat="1" ht="12.5" x14ac:dyDescent="0.35">
      <c r="A15" s="29">
        <v>57</v>
      </c>
      <c r="B15" s="33" t="s">
        <v>12</v>
      </c>
      <c r="C15" s="43">
        <v>4076</v>
      </c>
      <c r="D15" s="43">
        <v>2839</v>
      </c>
      <c r="E15" s="43">
        <v>1897</v>
      </c>
      <c r="F15" s="43">
        <v>949</v>
      </c>
      <c r="G15" s="43">
        <v>2396</v>
      </c>
      <c r="H15" s="43">
        <v>1278</v>
      </c>
      <c r="I15" s="43">
        <v>1077</v>
      </c>
      <c r="J15" s="43">
        <v>395</v>
      </c>
      <c r="L15" s="40"/>
      <c r="M15" s="40"/>
      <c r="N15" s="40"/>
      <c r="O15" s="40"/>
      <c r="P15" s="40"/>
      <c r="Q15" s="40"/>
      <c r="R15" s="40"/>
      <c r="S15" s="40"/>
    </row>
    <row r="16" spans="1:20" s="33" customFormat="1" ht="12.5" x14ac:dyDescent="0.35">
      <c r="A16" s="29">
        <v>59</v>
      </c>
      <c r="B16" s="33" t="s">
        <v>13</v>
      </c>
      <c r="C16" s="43">
        <v>8551</v>
      </c>
      <c r="D16" s="43">
        <v>6019</v>
      </c>
      <c r="E16" s="43">
        <v>1580</v>
      </c>
      <c r="F16" s="43">
        <v>2124</v>
      </c>
      <c r="G16" s="43">
        <v>514</v>
      </c>
      <c r="H16" s="43">
        <v>688</v>
      </c>
      <c r="I16" s="65" t="s">
        <v>77</v>
      </c>
      <c r="J16" s="65" t="s">
        <v>77</v>
      </c>
      <c r="L16" s="40"/>
      <c r="M16" s="40"/>
      <c r="N16" s="40"/>
      <c r="O16" s="40"/>
      <c r="P16" s="40"/>
      <c r="Q16" s="40"/>
      <c r="R16" s="40"/>
      <c r="S16" s="40"/>
    </row>
    <row r="17" spans="1:19" s="33" customFormat="1" ht="12.5" x14ac:dyDescent="0.35">
      <c r="A17" s="29">
        <v>60</v>
      </c>
      <c r="B17" s="33" t="s">
        <v>14</v>
      </c>
      <c r="C17" s="43">
        <v>11636</v>
      </c>
      <c r="D17" s="43">
        <v>15189</v>
      </c>
      <c r="E17" s="43">
        <v>8051</v>
      </c>
      <c r="F17" s="43">
        <v>10213</v>
      </c>
      <c r="G17" s="43">
        <v>2826</v>
      </c>
      <c r="H17" s="43">
        <v>4477</v>
      </c>
      <c r="I17" s="43">
        <v>5336</v>
      </c>
      <c r="J17" s="43">
        <v>5382</v>
      </c>
      <c r="L17" s="40"/>
      <c r="M17" s="40"/>
      <c r="N17" s="40"/>
      <c r="O17" s="40"/>
      <c r="P17" s="40"/>
      <c r="Q17" s="40"/>
      <c r="R17" s="40"/>
      <c r="S17" s="40"/>
    </row>
    <row r="18" spans="1:19" s="33" customFormat="1" ht="12.5" x14ac:dyDescent="0.35">
      <c r="A18" s="29">
        <v>61</v>
      </c>
      <c r="B18" s="44" t="s">
        <v>53</v>
      </c>
      <c r="C18" s="43">
        <v>9968</v>
      </c>
      <c r="D18" s="43">
        <v>11332</v>
      </c>
      <c r="E18" s="43">
        <v>5289</v>
      </c>
      <c r="F18" s="43">
        <v>6656</v>
      </c>
      <c r="G18" s="43">
        <v>1663</v>
      </c>
      <c r="H18" s="43">
        <v>1936</v>
      </c>
      <c r="I18" s="65" t="s">
        <v>77</v>
      </c>
      <c r="J18" s="65" t="s">
        <v>77</v>
      </c>
      <c r="L18" s="40"/>
      <c r="M18" s="40"/>
      <c r="N18" s="40"/>
      <c r="O18" s="40"/>
      <c r="P18" s="40"/>
      <c r="Q18" s="40"/>
      <c r="R18" s="40"/>
      <c r="S18" s="40"/>
    </row>
    <row r="19" spans="1:19" s="33" customFormat="1" ht="12.5" x14ac:dyDescent="0.35">
      <c r="A19" s="29">
        <v>62</v>
      </c>
      <c r="B19" s="44" t="s">
        <v>126</v>
      </c>
      <c r="C19" s="43" t="s">
        <v>127</v>
      </c>
      <c r="D19" s="43" t="s">
        <v>127</v>
      </c>
      <c r="E19" s="43" t="s">
        <v>127</v>
      </c>
      <c r="F19" s="43" t="s">
        <v>127</v>
      </c>
      <c r="G19" s="43" t="s">
        <v>127</v>
      </c>
      <c r="H19" s="43" t="s">
        <v>127</v>
      </c>
      <c r="I19" s="43" t="s">
        <v>127</v>
      </c>
      <c r="J19" s="43" t="s">
        <v>127</v>
      </c>
      <c r="L19" s="40"/>
      <c r="M19" s="40"/>
      <c r="N19" s="40"/>
      <c r="O19" s="40"/>
      <c r="P19" s="40"/>
      <c r="Q19" s="40"/>
      <c r="R19" s="40"/>
      <c r="S19" s="40"/>
    </row>
    <row r="20" spans="1:19" s="33" customFormat="1" ht="12.5" x14ac:dyDescent="0.35">
      <c r="A20" s="29">
        <v>58</v>
      </c>
      <c r="B20" s="33" t="s">
        <v>16</v>
      </c>
      <c r="C20" s="43">
        <v>12002</v>
      </c>
      <c r="D20" s="43">
        <v>16062</v>
      </c>
      <c r="E20" s="43">
        <v>7653</v>
      </c>
      <c r="F20" s="43">
        <v>10504</v>
      </c>
      <c r="G20" s="65" t="s">
        <v>77</v>
      </c>
      <c r="H20" s="65" t="s">
        <v>77</v>
      </c>
      <c r="I20" s="43">
        <v>25</v>
      </c>
      <c r="J20" s="43">
        <v>25</v>
      </c>
      <c r="L20" s="40"/>
      <c r="M20" s="40"/>
      <c r="N20" s="40"/>
      <c r="O20" s="40"/>
      <c r="P20" s="40"/>
      <c r="Q20" s="40"/>
      <c r="R20" s="40"/>
      <c r="S20" s="40"/>
    </row>
    <row r="21" spans="1:19" s="33" customFormat="1" ht="12.5" x14ac:dyDescent="0.35">
      <c r="A21" s="29">
        <v>63</v>
      </c>
      <c r="B21" s="33" t="s">
        <v>17</v>
      </c>
      <c r="C21" s="43">
        <v>20537</v>
      </c>
      <c r="D21" s="43">
        <v>14775</v>
      </c>
      <c r="E21" s="43">
        <v>6370</v>
      </c>
      <c r="F21" s="43">
        <v>5021</v>
      </c>
      <c r="G21" s="43">
        <v>474</v>
      </c>
      <c r="H21" s="43">
        <v>466</v>
      </c>
      <c r="I21" s="65" t="s">
        <v>77</v>
      </c>
      <c r="J21" s="65" t="s">
        <v>77</v>
      </c>
      <c r="L21" s="40"/>
      <c r="M21" s="40"/>
      <c r="N21" s="40"/>
      <c r="O21" s="40"/>
      <c r="P21" s="40"/>
      <c r="Q21" s="40"/>
      <c r="R21" s="40"/>
      <c r="S21" s="40"/>
    </row>
    <row r="22" spans="1:19" s="33" customFormat="1" ht="12.5" x14ac:dyDescent="0.35">
      <c r="A22" s="29">
        <v>64</v>
      </c>
      <c r="B22" s="33" t="s">
        <v>18</v>
      </c>
      <c r="C22" s="43">
        <v>9897</v>
      </c>
      <c r="D22" s="43">
        <v>17426</v>
      </c>
      <c r="E22" s="43">
        <v>6310</v>
      </c>
      <c r="F22" s="43">
        <v>10894</v>
      </c>
      <c r="G22" s="43">
        <v>4771</v>
      </c>
      <c r="H22" s="43">
        <v>8137</v>
      </c>
      <c r="I22" s="65" t="s">
        <v>77</v>
      </c>
      <c r="J22" s="65" t="s">
        <v>77</v>
      </c>
      <c r="L22" s="40"/>
      <c r="M22" s="40"/>
      <c r="N22" s="40"/>
      <c r="O22" s="40"/>
      <c r="P22" s="40"/>
      <c r="Q22" s="40"/>
      <c r="R22" s="40"/>
      <c r="S22" s="40"/>
    </row>
    <row r="23" spans="1:19" s="33" customFormat="1" ht="12.5" x14ac:dyDescent="0.35">
      <c r="A23" s="29">
        <v>65</v>
      </c>
      <c r="B23" s="33" t="s">
        <v>19</v>
      </c>
      <c r="C23" s="43">
        <v>4595</v>
      </c>
      <c r="D23" s="43">
        <v>5934</v>
      </c>
      <c r="E23" s="43">
        <v>2288</v>
      </c>
      <c r="F23" s="43">
        <v>3049</v>
      </c>
      <c r="G23" s="43">
        <v>563</v>
      </c>
      <c r="H23" s="43">
        <v>781</v>
      </c>
      <c r="I23" s="43">
        <v>977</v>
      </c>
      <c r="J23" s="43">
        <v>778</v>
      </c>
      <c r="L23" s="40"/>
      <c r="M23" s="40"/>
      <c r="N23" s="40"/>
      <c r="O23" s="40"/>
      <c r="P23" s="40"/>
      <c r="Q23" s="40"/>
      <c r="R23" s="40"/>
      <c r="S23" s="40"/>
    </row>
    <row r="24" spans="1:19" s="33" customFormat="1" ht="12.5" x14ac:dyDescent="0.35">
      <c r="A24" s="29">
        <v>67</v>
      </c>
      <c r="B24" s="33" t="s">
        <v>20</v>
      </c>
      <c r="C24" s="43">
        <v>6294</v>
      </c>
      <c r="D24" s="43">
        <v>5194</v>
      </c>
      <c r="E24" s="43">
        <v>3919</v>
      </c>
      <c r="F24" s="43">
        <v>3396</v>
      </c>
      <c r="G24" s="43">
        <v>1489</v>
      </c>
      <c r="H24" s="43">
        <v>1771</v>
      </c>
      <c r="I24" s="65" t="s">
        <v>77</v>
      </c>
      <c r="J24" s="65" t="s">
        <v>77</v>
      </c>
      <c r="L24" s="40"/>
      <c r="M24" s="40"/>
      <c r="N24" s="40"/>
      <c r="O24" s="40"/>
      <c r="P24" s="40"/>
      <c r="Q24" s="40"/>
      <c r="R24" s="40"/>
      <c r="S24" s="40"/>
    </row>
    <row r="25" spans="1:19" s="33" customFormat="1" ht="12.5" x14ac:dyDescent="0.35">
      <c r="A25" s="29">
        <v>68</v>
      </c>
      <c r="B25" s="33" t="s">
        <v>23</v>
      </c>
      <c r="C25" s="43">
        <v>4392</v>
      </c>
      <c r="D25" s="43">
        <v>10147</v>
      </c>
      <c r="E25" s="43">
        <v>3046</v>
      </c>
      <c r="F25" s="43">
        <v>6923</v>
      </c>
      <c r="G25" s="65" t="s">
        <v>77</v>
      </c>
      <c r="H25" s="65" t="s">
        <v>77</v>
      </c>
      <c r="I25" s="43">
        <v>430</v>
      </c>
      <c r="J25" s="43">
        <v>799</v>
      </c>
      <c r="L25" s="40"/>
      <c r="M25" s="40"/>
      <c r="N25" s="40"/>
      <c r="O25" s="40"/>
      <c r="P25" s="40"/>
      <c r="Q25" s="40"/>
      <c r="R25" s="40"/>
      <c r="S25" s="40"/>
    </row>
    <row r="26" spans="1:19" s="33" customFormat="1" ht="12.5" x14ac:dyDescent="0.35">
      <c r="A26" s="29">
        <v>69</v>
      </c>
      <c r="B26" s="33" t="s">
        <v>54</v>
      </c>
      <c r="C26" s="43">
        <v>4025</v>
      </c>
      <c r="D26" s="43">
        <v>4798</v>
      </c>
      <c r="E26" s="43">
        <v>2352</v>
      </c>
      <c r="F26" s="43">
        <v>2983</v>
      </c>
      <c r="G26" s="43">
        <v>1363</v>
      </c>
      <c r="H26" s="43">
        <v>1870</v>
      </c>
      <c r="I26" s="65" t="s">
        <v>77</v>
      </c>
      <c r="J26" s="65" t="s">
        <v>77</v>
      </c>
      <c r="L26" s="40"/>
      <c r="M26" s="40"/>
      <c r="N26" s="40"/>
      <c r="O26" s="40"/>
      <c r="P26" s="40"/>
      <c r="Q26" s="40"/>
      <c r="R26" s="40"/>
      <c r="S26" s="40"/>
    </row>
    <row r="27" spans="1:19" s="33" customFormat="1" ht="12.5" x14ac:dyDescent="0.35">
      <c r="A27" s="29">
        <v>70</v>
      </c>
      <c r="B27" s="33" t="s">
        <v>25</v>
      </c>
      <c r="C27" s="43">
        <v>4535</v>
      </c>
      <c r="D27" s="43">
        <v>8163</v>
      </c>
      <c r="E27" s="43">
        <v>2140</v>
      </c>
      <c r="F27" s="43">
        <v>3852</v>
      </c>
      <c r="G27" s="43">
        <v>799</v>
      </c>
      <c r="H27" s="43">
        <v>1438</v>
      </c>
      <c r="I27" s="43">
        <v>2134</v>
      </c>
      <c r="J27" s="43">
        <v>4268</v>
      </c>
      <c r="L27" s="40"/>
      <c r="M27" s="40"/>
      <c r="N27" s="40"/>
      <c r="O27" s="40"/>
      <c r="P27" s="40"/>
      <c r="Q27" s="40"/>
      <c r="R27" s="40"/>
      <c r="S27" s="40"/>
    </row>
    <row r="28" spans="1:19" s="33" customFormat="1" ht="12.5" x14ac:dyDescent="0.35">
      <c r="A28" s="29">
        <v>71</v>
      </c>
      <c r="B28" s="33" t="s">
        <v>26</v>
      </c>
      <c r="C28" s="43">
        <v>8576</v>
      </c>
      <c r="D28" s="43">
        <v>8122</v>
      </c>
      <c r="E28" s="43">
        <v>3490</v>
      </c>
      <c r="F28" s="43">
        <v>3289</v>
      </c>
      <c r="G28" s="43">
        <v>1825</v>
      </c>
      <c r="H28" s="43">
        <v>1706</v>
      </c>
      <c r="I28" s="65" t="s">
        <v>77</v>
      </c>
      <c r="J28" s="65" t="s">
        <v>77</v>
      </c>
      <c r="L28" s="40"/>
      <c r="M28" s="40"/>
      <c r="N28" s="40"/>
      <c r="O28" s="40"/>
      <c r="P28" s="40"/>
      <c r="Q28" s="40"/>
      <c r="R28" s="40"/>
      <c r="S28" s="40"/>
    </row>
    <row r="29" spans="1:19" s="33" customFormat="1" ht="12.5" x14ac:dyDescent="0.35">
      <c r="A29" s="29">
        <v>73</v>
      </c>
      <c r="B29" s="33" t="s">
        <v>55</v>
      </c>
      <c r="C29" s="43">
        <v>490</v>
      </c>
      <c r="D29" s="43">
        <v>366</v>
      </c>
      <c r="E29" s="43">
        <v>353</v>
      </c>
      <c r="F29" s="43">
        <v>268</v>
      </c>
      <c r="G29" s="65" t="s">
        <v>77</v>
      </c>
      <c r="H29" s="65" t="s">
        <v>77</v>
      </c>
      <c r="I29" s="43">
        <v>227</v>
      </c>
      <c r="J29" s="43">
        <v>176</v>
      </c>
      <c r="L29" s="40"/>
      <c r="M29" s="40"/>
      <c r="N29" s="40"/>
      <c r="O29" s="40"/>
      <c r="P29" s="40"/>
      <c r="Q29" s="40"/>
      <c r="R29" s="40"/>
      <c r="S29" s="40"/>
    </row>
    <row r="30" spans="1:19" s="33" customFormat="1" ht="12.5" x14ac:dyDescent="0.35">
      <c r="A30" s="29">
        <v>74</v>
      </c>
      <c r="B30" s="33" t="s">
        <v>29</v>
      </c>
      <c r="C30" s="43">
        <v>8969</v>
      </c>
      <c r="D30" s="43">
        <v>6956</v>
      </c>
      <c r="E30" s="43">
        <v>2009</v>
      </c>
      <c r="F30" s="43">
        <v>1467</v>
      </c>
      <c r="G30" s="43">
        <v>4382</v>
      </c>
      <c r="H30" s="43">
        <v>3370</v>
      </c>
      <c r="I30" s="43">
        <v>196</v>
      </c>
      <c r="J30" s="65" t="s">
        <v>77</v>
      </c>
      <c r="L30" s="40"/>
      <c r="M30" s="40"/>
      <c r="N30" s="40"/>
      <c r="O30" s="40"/>
      <c r="P30" s="40"/>
      <c r="Q30" s="40"/>
      <c r="R30" s="40"/>
      <c r="S30" s="40"/>
    </row>
    <row r="31" spans="1:19" s="33" customFormat="1" ht="12.5" x14ac:dyDescent="0.35">
      <c r="A31" s="29">
        <v>75</v>
      </c>
      <c r="B31" s="33" t="s">
        <v>30</v>
      </c>
      <c r="C31" s="43">
        <v>16252</v>
      </c>
      <c r="D31" s="43">
        <v>22101</v>
      </c>
      <c r="E31" s="43">
        <v>8551</v>
      </c>
      <c r="F31" s="43">
        <v>9411</v>
      </c>
      <c r="G31" s="43">
        <v>6741</v>
      </c>
      <c r="H31" s="43">
        <v>7415</v>
      </c>
      <c r="I31" s="43">
        <v>3</v>
      </c>
      <c r="J31" s="43">
        <v>3</v>
      </c>
      <c r="L31" s="40"/>
      <c r="M31" s="40"/>
      <c r="N31" s="40"/>
      <c r="O31" s="40"/>
      <c r="P31" s="40"/>
      <c r="Q31" s="40"/>
      <c r="R31" s="40"/>
      <c r="S31" s="40"/>
    </row>
    <row r="32" spans="1:19" s="33" customFormat="1" ht="12.5" x14ac:dyDescent="0.35">
      <c r="A32" s="29">
        <v>76</v>
      </c>
      <c r="B32" s="33" t="s">
        <v>31</v>
      </c>
      <c r="C32" s="43">
        <v>5086</v>
      </c>
      <c r="D32" s="43">
        <v>8901</v>
      </c>
      <c r="E32" s="43">
        <v>2766</v>
      </c>
      <c r="F32" s="43">
        <v>4841</v>
      </c>
      <c r="G32" s="43">
        <v>1608</v>
      </c>
      <c r="H32" s="43">
        <v>2814</v>
      </c>
      <c r="I32" s="43">
        <v>472</v>
      </c>
      <c r="J32" s="43">
        <v>826</v>
      </c>
      <c r="L32" s="40"/>
      <c r="M32" s="40"/>
      <c r="N32" s="40"/>
      <c r="O32" s="40"/>
      <c r="P32" s="40"/>
      <c r="Q32" s="40"/>
      <c r="R32" s="40"/>
      <c r="S32" s="40"/>
    </row>
    <row r="33" spans="1:19" s="33" customFormat="1" ht="12.5" x14ac:dyDescent="0.35">
      <c r="A33" s="29">
        <v>79</v>
      </c>
      <c r="B33" s="33" t="s">
        <v>32</v>
      </c>
      <c r="C33" s="43">
        <v>4704</v>
      </c>
      <c r="D33" s="43">
        <v>9700</v>
      </c>
      <c r="E33" s="43">
        <v>2028</v>
      </c>
      <c r="F33" s="43">
        <v>4300</v>
      </c>
      <c r="G33" s="43">
        <v>1862</v>
      </c>
      <c r="H33" s="43">
        <v>3980</v>
      </c>
      <c r="I33" s="43">
        <v>34</v>
      </c>
      <c r="J33" s="43">
        <v>38</v>
      </c>
      <c r="L33" s="40"/>
      <c r="M33" s="40"/>
      <c r="N33" s="40"/>
      <c r="O33" s="40"/>
      <c r="P33" s="40"/>
      <c r="Q33" s="40"/>
      <c r="R33" s="40"/>
      <c r="S33" s="40"/>
    </row>
    <row r="34" spans="1:19" s="33" customFormat="1" ht="12.5" x14ac:dyDescent="0.35">
      <c r="A34" s="29">
        <v>80</v>
      </c>
      <c r="B34" s="33" t="s">
        <v>34</v>
      </c>
      <c r="C34" s="43">
        <v>3286</v>
      </c>
      <c r="D34" s="43">
        <v>3671</v>
      </c>
      <c r="E34" s="43">
        <v>2003</v>
      </c>
      <c r="F34" s="43">
        <v>2239</v>
      </c>
      <c r="G34" s="65" t="s">
        <v>77</v>
      </c>
      <c r="H34" s="65" t="s">
        <v>77</v>
      </c>
      <c r="I34" s="43">
        <v>23</v>
      </c>
      <c r="J34" s="43">
        <v>6</v>
      </c>
      <c r="L34" s="40"/>
      <c r="M34" s="40"/>
      <c r="N34" s="40"/>
      <c r="O34" s="40"/>
      <c r="P34" s="40"/>
      <c r="Q34" s="40"/>
      <c r="R34" s="40"/>
      <c r="S34" s="40"/>
    </row>
    <row r="35" spans="1:19" s="33" customFormat="1" ht="12.5" x14ac:dyDescent="0.35">
      <c r="A35" s="29">
        <v>81</v>
      </c>
      <c r="B35" s="33" t="s">
        <v>35</v>
      </c>
      <c r="C35" s="43">
        <v>3198</v>
      </c>
      <c r="D35" s="43">
        <v>4186</v>
      </c>
      <c r="E35" s="43">
        <v>2031</v>
      </c>
      <c r="F35" s="43">
        <v>2608</v>
      </c>
      <c r="G35" s="65" t="s">
        <v>77</v>
      </c>
      <c r="H35" s="65" t="s">
        <v>77</v>
      </c>
      <c r="I35" s="43">
        <v>69</v>
      </c>
      <c r="J35" s="43">
        <v>42</v>
      </c>
      <c r="L35" s="40"/>
      <c r="M35" s="40"/>
      <c r="N35" s="40"/>
      <c r="O35" s="40"/>
      <c r="P35" s="40"/>
      <c r="Q35" s="40"/>
      <c r="R35" s="40"/>
      <c r="S35" s="40"/>
    </row>
    <row r="36" spans="1:19" s="33" customFormat="1" ht="12.5" x14ac:dyDescent="0.35">
      <c r="A36" s="29">
        <v>83</v>
      </c>
      <c r="B36" s="33" t="s">
        <v>36</v>
      </c>
      <c r="C36" s="43">
        <v>3946</v>
      </c>
      <c r="D36" s="43">
        <v>2843</v>
      </c>
      <c r="E36" s="43">
        <v>1406</v>
      </c>
      <c r="F36" s="43">
        <v>1135</v>
      </c>
      <c r="G36" s="43">
        <v>649</v>
      </c>
      <c r="H36" s="43">
        <v>521</v>
      </c>
      <c r="I36" s="43">
        <v>53</v>
      </c>
      <c r="J36" s="43">
        <v>53</v>
      </c>
      <c r="L36" s="40"/>
      <c r="M36" s="40"/>
      <c r="N36" s="40"/>
      <c r="O36" s="40"/>
      <c r="P36" s="40"/>
      <c r="Q36" s="40"/>
      <c r="R36" s="40"/>
      <c r="S36" s="40"/>
    </row>
    <row r="37" spans="1:19" s="33" customFormat="1" ht="12.5" x14ac:dyDescent="0.35">
      <c r="A37" s="29">
        <v>84</v>
      </c>
      <c r="B37" s="33" t="s">
        <v>37</v>
      </c>
      <c r="C37" s="43">
        <v>8617</v>
      </c>
      <c r="D37" s="43">
        <v>8866</v>
      </c>
      <c r="E37" s="43">
        <v>4188</v>
      </c>
      <c r="F37" s="43">
        <v>4390</v>
      </c>
      <c r="G37" s="43">
        <v>711</v>
      </c>
      <c r="H37" s="43">
        <v>819</v>
      </c>
      <c r="I37" s="43">
        <v>1097</v>
      </c>
      <c r="J37" s="43">
        <v>634</v>
      </c>
      <c r="L37" s="40"/>
      <c r="M37" s="40"/>
      <c r="N37" s="40"/>
      <c r="O37" s="40"/>
      <c r="P37" s="40"/>
      <c r="Q37" s="40"/>
      <c r="R37" s="40"/>
      <c r="S37" s="40"/>
    </row>
    <row r="38" spans="1:19" s="33" customFormat="1" ht="12.5" x14ac:dyDescent="0.35">
      <c r="A38" s="29">
        <v>85</v>
      </c>
      <c r="B38" s="33" t="s">
        <v>38</v>
      </c>
      <c r="C38" s="43">
        <v>3846</v>
      </c>
      <c r="D38" s="43">
        <v>5548</v>
      </c>
      <c r="E38" s="43">
        <v>2001</v>
      </c>
      <c r="F38" s="43">
        <v>2787</v>
      </c>
      <c r="G38" s="43">
        <v>1593</v>
      </c>
      <c r="H38" s="43">
        <v>2540</v>
      </c>
      <c r="I38" s="43">
        <v>526</v>
      </c>
      <c r="J38" s="43">
        <v>733</v>
      </c>
      <c r="L38" s="40"/>
      <c r="M38" s="40"/>
      <c r="N38" s="40"/>
      <c r="O38" s="40"/>
      <c r="P38" s="40"/>
      <c r="Q38" s="40"/>
      <c r="R38" s="40"/>
      <c r="S38" s="40"/>
    </row>
    <row r="39" spans="1:19" s="33" customFormat="1" ht="12.5" x14ac:dyDescent="0.35">
      <c r="A39" s="29">
        <v>87</v>
      </c>
      <c r="B39" s="33" t="s">
        <v>39</v>
      </c>
      <c r="C39" s="43">
        <v>2960</v>
      </c>
      <c r="D39" s="43">
        <v>7775</v>
      </c>
      <c r="E39" s="43">
        <v>1527</v>
      </c>
      <c r="F39" s="43">
        <v>3854</v>
      </c>
      <c r="G39" s="43" t="s">
        <v>77</v>
      </c>
      <c r="H39" s="43" t="s">
        <v>77</v>
      </c>
      <c r="I39" s="65" t="s">
        <v>77</v>
      </c>
      <c r="J39" s="65" t="s">
        <v>77</v>
      </c>
      <c r="L39" s="40"/>
      <c r="M39" s="40"/>
      <c r="N39" s="40"/>
      <c r="O39" s="40"/>
      <c r="P39" s="40"/>
      <c r="Q39" s="40"/>
      <c r="R39" s="40"/>
      <c r="S39" s="40"/>
    </row>
    <row r="40" spans="1:19" s="33" customFormat="1" ht="12.5" x14ac:dyDescent="0.35">
      <c r="A40" s="29">
        <v>90</v>
      </c>
      <c r="B40" s="33" t="s">
        <v>40</v>
      </c>
      <c r="C40" s="43">
        <v>3233</v>
      </c>
      <c r="D40" s="43">
        <v>3771</v>
      </c>
      <c r="E40" s="43">
        <v>1801</v>
      </c>
      <c r="F40" s="43">
        <v>2101</v>
      </c>
      <c r="G40" s="65" t="s">
        <v>77</v>
      </c>
      <c r="H40" s="65" t="s">
        <v>77</v>
      </c>
      <c r="I40" s="43">
        <v>531</v>
      </c>
      <c r="J40" s="65" t="s">
        <v>77</v>
      </c>
      <c r="L40" s="40"/>
      <c r="M40" s="40"/>
      <c r="N40" s="40"/>
      <c r="O40" s="40"/>
      <c r="P40" s="40"/>
      <c r="Q40" s="40"/>
      <c r="R40" s="40"/>
      <c r="S40" s="40"/>
    </row>
    <row r="41" spans="1:19" s="33" customFormat="1" ht="12.5" x14ac:dyDescent="0.35">
      <c r="A41" s="29">
        <v>91</v>
      </c>
      <c r="B41" s="33" t="s">
        <v>42</v>
      </c>
      <c r="C41" s="43">
        <v>29844</v>
      </c>
      <c r="D41" s="64" t="s">
        <v>77</v>
      </c>
      <c r="E41" s="43">
        <v>16318</v>
      </c>
      <c r="F41" s="65" t="s">
        <v>77</v>
      </c>
      <c r="G41" s="43">
        <v>2690</v>
      </c>
      <c r="H41" s="65" t="s">
        <v>77</v>
      </c>
      <c r="I41" s="43">
        <v>516</v>
      </c>
      <c r="J41" s="65" t="s">
        <v>77</v>
      </c>
      <c r="L41" s="40"/>
      <c r="M41" s="40"/>
      <c r="N41" s="40"/>
      <c r="O41" s="40"/>
      <c r="P41" s="40"/>
      <c r="Q41" s="40"/>
      <c r="R41" s="40"/>
      <c r="S41" s="40"/>
    </row>
    <row r="42" spans="1:19" s="33" customFormat="1" ht="12.5" x14ac:dyDescent="0.35">
      <c r="A42" s="29">
        <v>92</v>
      </c>
      <c r="B42" s="33" t="s">
        <v>43</v>
      </c>
      <c r="C42" s="43">
        <v>1242</v>
      </c>
      <c r="D42" s="43">
        <v>2465</v>
      </c>
      <c r="E42" s="43">
        <v>806</v>
      </c>
      <c r="F42" s="43">
        <v>1725</v>
      </c>
      <c r="G42" s="43">
        <v>190</v>
      </c>
      <c r="H42" s="43">
        <v>399</v>
      </c>
      <c r="I42" s="65" t="s">
        <v>77</v>
      </c>
      <c r="J42" s="65" t="s">
        <v>77</v>
      </c>
      <c r="L42" s="40"/>
      <c r="M42" s="40"/>
      <c r="N42" s="40"/>
      <c r="O42" s="40"/>
      <c r="P42" s="40"/>
      <c r="Q42" s="40"/>
      <c r="R42" s="40"/>
      <c r="S42" s="40"/>
    </row>
    <row r="43" spans="1:19" s="33" customFormat="1" ht="12.5" x14ac:dyDescent="0.35">
      <c r="A43" s="29">
        <v>94</v>
      </c>
      <c r="B43" s="33" t="s">
        <v>44</v>
      </c>
      <c r="C43" s="43">
        <v>3592</v>
      </c>
      <c r="D43" s="43">
        <v>4190</v>
      </c>
      <c r="E43" s="43">
        <v>2089</v>
      </c>
      <c r="F43" s="43">
        <v>2118</v>
      </c>
      <c r="G43" s="43">
        <v>1468</v>
      </c>
      <c r="H43" s="43">
        <v>1039</v>
      </c>
      <c r="I43" s="43">
        <v>7</v>
      </c>
      <c r="J43" s="43">
        <v>11</v>
      </c>
      <c r="L43" s="40"/>
      <c r="M43" s="40"/>
      <c r="N43" s="40"/>
      <c r="O43" s="40"/>
      <c r="P43" s="40"/>
      <c r="Q43" s="40"/>
      <c r="R43" s="40"/>
      <c r="S43" s="40"/>
    </row>
    <row r="44" spans="1:19" s="33" customFormat="1" ht="12.5" x14ac:dyDescent="0.35">
      <c r="A44" s="29">
        <v>96</v>
      </c>
      <c r="B44" s="33" t="s">
        <v>46</v>
      </c>
      <c r="C44" s="43">
        <v>4152</v>
      </c>
      <c r="D44" s="43">
        <v>4152</v>
      </c>
      <c r="E44" s="43">
        <v>661</v>
      </c>
      <c r="F44" s="43">
        <v>661</v>
      </c>
      <c r="G44" s="43">
        <v>2198</v>
      </c>
      <c r="H44" s="43">
        <v>2198</v>
      </c>
      <c r="I44" s="43">
        <v>213</v>
      </c>
      <c r="J44" s="43">
        <v>213</v>
      </c>
      <c r="L44" s="40"/>
      <c r="M44" s="40"/>
      <c r="N44" s="40"/>
      <c r="O44" s="40"/>
      <c r="P44" s="40"/>
      <c r="Q44" s="40"/>
      <c r="R44" s="40"/>
      <c r="S44" s="40"/>
    </row>
    <row r="45" spans="1:19" s="33" customFormat="1" ht="12.5" x14ac:dyDescent="0.35">
      <c r="A45" s="29">
        <v>98</v>
      </c>
      <c r="B45" s="33" t="s">
        <v>48</v>
      </c>
      <c r="C45" s="43">
        <v>6020</v>
      </c>
      <c r="D45" s="43">
        <v>8384</v>
      </c>
      <c r="E45" s="43">
        <v>5072</v>
      </c>
      <c r="F45" s="43">
        <v>6928</v>
      </c>
      <c r="G45" s="43">
        <v>948</v>
      </c>
      <c r="H45" s="43">
        <v>1456</v>
      </c>
      <c r="I45" s="65" t="s">
        <v>77</v>
      </c>
      <c r="J45" s="65" t="s">
        <v>77</v>
      </c>
      <c r="L45" s="40"/>
      <c r="M45" s="40"/>
      <c r="N45" s="40"/>
      <c r="O45" s="40"/>
      <c r="P45" s="40"/>
      <c r="Q45" s="40"/>
      <c r="R45" s="40"/>
      <c r="S45" s="40"/>
    </row>
    <row r="46" spans="1:19" s="33" customFormat="1" ht="12.5" x14ac:dyDescent="0.35">
      <c r="A46" s="29">
        <v>72</v>
      </c>
      <c r="B46" s="33" t="s">
        <v>50</v>
      </c>
      <c r="C46" s="43">
        <v>3253</v>
      </c>
      <c r="D46" s="43">
        <v>3296</v>
      </c>
      <c r="E46" s="43">
        <v>155</v>
      </c>
      <c r="F46" s="43">
        <v>233</v>
      </c>
      <c r="G46" s="43">
        <v>170</v>
      </c>
      <c r="H46" s="43">
        <v>255</v>
      </c>
      <c r="I46" s="43">
        <v>575</v>
      </c>
      <c r="J46" s="43">
        <v>431</v>
      </c>
      <c r="L46" s="40"/>
      <c r="M46" s="40"/>
      <c r="N46" s="40"/>
      <c r="O46" s="40"/>
      <c r="P46" s="40"/>
      <c r="Q46" s="40"/>
      <c r="R46" s="40"/>
      <c r="S46" s="40"/>
    </row>
    <row r="47" spans="1:19" s="38" customFormat="1" ht="14" x14ac:dyDescent="0.35">
      <c r="B47" s="33" t="s">
        <v>28</v>
      </c>
      <c r="C47" s="43">
        <v>79</v>
      </c>
      <c r="D47" s="43">
        <v>41</v>
      </c>
      <c r="E47" s="43">
        <v>77</v>
      </c>
      <c r="F47" s="43">
        <v>39</v>
      </c>
      <c r="G47" s="43">
        <v>0</v>
      </c>
      <c r="H47" s="43">
        <v>0</v>
      </c>
      <c r="I47" s="43">
        <v>0</v>
      </c>
      <c r="J47" s="43">
        <v>0</v>
      </c>
      <c r="L47" s="40"/>
      <c r="M47" s="40"/>
      <c r="N47" s="40"/>
      <c r="O47" s="40"/>
      <c r="P47" s="40"/>
      <c r="Q47" s="40"/>
      <c r="R47" s="40"/>
      <c r="S47" s="40"/>
    </row>
    <row r="48" spans="1:19" s="33" customFormat="1" ht="14" x14ac:dyDescent="0.35">
      <c r="A48" s="29">
        <v>66</v>
      </c>
      <c r="B48" s="38" t="s">
        <v>56</v>
      </c>
      <c r="C48" s="42">
        <v>279964</v>
      </c>
      <c r="D48" s="42">
        <v>331707</v>
      </c>
      <c r="E48" s="42">
        <v>109659</v>
      </c>
      <c r="F48" s="42">
        <v>143205</v>
      </c>
      <c r="G48" s="42">
        <v>67250</v>
      </c>
      <c r="H48" s="42">
        <v>102874</v>
      </c>
      <c r="I48" s="42">
        <v>24780</v>
      </c>
      <c r="J48" s="42">
        <v>45793</v>
      </c>
      <c r="L48" s="40"/>
      <c r="M48" s="40"/>
      <c r="N48" s="40"/>
      <c r="O48" s="40"/>
      <c r="P48" s="40"/>
      <c r="Q48" s="40"/>
      <c r="R48" s="40"/>
      <c r="S48" s="40"/>
    </row>
    <row r="49" spans="1:19" s="33" customFormat="1" ht="14.25" customHeight="1" x14ac:dyDescent="0.35">
      <c r="A49" s="29">
        <v>78</v>
      </c>
      <c r="B49" s="33" t="s">
        <v>22</v>
      </c>
      <c r="C49" s="43">
        <v>44421</v>
      </c>
      <c r="D49" s="43">
        <v>48027</v>
      </c>
      <c r="E49" s="43">
        <v>6298</v>
      </c>
      <c r="F49" s="43">
        <v>7192</v>
      </c>
      <c r="G49" s="43">
        <v>1147</v>
      </c>
      <c r="H49" s="43">
        <v>1147</v>
      </c>
      <c r="I49" s="43">
        <v>6</v>
      </c>
      <c r="J49" s="43">
        <v>6</v>
      </c>
      <c r="L49" s="40"/>
      <c r="M49" s="40"/>
      <c r="N49" s="40"/>
      <c r="O49" s="40"/>
      <c r="P49" s="40"/>
      <c r="Q49" s="40"/>
      <c r="R49" s="40"/>
      <c r="S49" s="40"/>
    </row>
    <row r="50" spans="1:19" s="33" customFormat="1" ht="15.75" customHeight="1" x14ac:dyDescent="0.35">
      <c r="A50" s="29">
        <v>89</v>
      </c>
      <c r="B50" s="33" t="s">
        <v>33</v>
      </c>
      <c r="C50" s="43">
        <v>40280</v>
      </c>
      <c r="D50" s="43">
        <v>77532</v>
      </c>
      <c r="E50" s="43">
        <v>20621</v>
      </c>
      <c r="F50" s="43">
        <v>39180</v>
      </c>
      <c r="G50" s="43">
        <v>6010</v>
      </c>
      <c r="H50" s="43">
        <v>11419</v>
      </c>
      <c r="I50" s="43">
        <v>7570</v>
      </c>
      <c r="J50" s="43">
        <v>12036</v>
      </c>
      <c r="L50" s="40"/>
      <c r="M50" s="40"/>
      <c r="N50" s="40"/>
      <c r="O50" s="40"/>
      <c r="P50" s="40"/>
      <c r="Q50" s="40"/>
      <c r="R50" s="40"/>
      <c r="S50" s="40"/>
    </row>
    <row r="51" spans="1:19" s="33" customFormat="1" ht="12.5" x14ac:dyDescent="0.35">
      <c r="A51" s="29">
        <v>93</v>
      </c>
      <c r="B51" s="33" t="s">
        <v>41</v>
      </c>
      <c r="C51" s="43">
        <v>19895</v>
      </c>
      <c r="D51" s="43">
        <v>12556</v>
      </c>
      <c r="E51" s="43">
        <v>7035</v>
      </c>
      <c r="F51" s="43">
        <v>4639</v>
      </c>
      <c r="G51" s="43">
        <v>3879</v>
      </c>
      <c r="H51" s="43">
        <v>2587</v>
      </c>
      <c r="I51" s="43">
        <v>0</v>
      </c>
      <c r="J51" s="43">
        <v>0</v>
      </c>
      <c r="L51" s="40"/>
      <c r="M51" s="40"/>
      <c r="N51" s="40"/>
      <c r="O51" s="40"/>
      <c r="P51" s="40"/>
      <c r="Q51" s="40"/>
      <c r="R51" s="40"/>
      <c r="S51" s="40"/>
    </row>
    <row r="52" spans="1:19" s="33" customFormat="1" ht="12.5" x14ac:dyDescent="0.35">
      <c r="A52" s="29">
        <v>95</v>
      </c>
      <c r="B52" s="33" t="s">
        <v>57</v>
      </c>
      <c r="C52" s="43">
        <v>29537</v>
      </c>
      <c r="D52" s="43">
        <v>16071</v>
      </c>
      <c r="E52" s="43">
        <v>11862</v>
      </c>
      <c r="F52" s="43">
        <v>7988</v>
      </c>
      <c r="G52" s="43">
        <v>4438</v>
      </c>
      <c r="H52" s="43">
        <v>3063</v>
      </c>
      <c r="I52" s="43">
        <v>5147</v>
      </c>
      <c r="J52" s="43">
        <v>1283</v>
      </c>
      <c r="L52" s="40"/>
      <c r="M52" s="40"/>
      <c r="N52" s="40"/>
      <c r="O52" s="40"/>
      <c r="P52" s="40"/>
      <c r="Q52" s="40"/>
      <c r="R52" s="40"/>
      <c r="S52" s="40"/>
    </row>
    <row r="53" spans="1:19" s="33" customFormat="1" ht="12.5" x14ac:dyDescent="0.35">
      <c r="A53" s="29">
        <v>97</v>
      </c>
      <c r="B53" s="33" t="s">
        <v>47</v>
      </c>
      <c r="C53" s="43">
        <v>28014</v>
      </c>
      <c r="D53" s="43">
        <v>112056</v>
      </c>
      <c r="E53" s="43">
        <v>13992</v>
      </c>
      <c r="F53" s="43">
        <v>55968</v>
      </c>
      <c r="G53" s="43">
        <v>16032</v>
      </c>
      <c r="H53" s="43">
        <v>64128</v>
      </c>
      <c r="I53" s="43">
        <v>8109</v>
      </c>
      <c r="J53" s="43">
        <v>32436</v>
      </c>
      <c r="L53" s="40"/>
      <c r="M53" s="40"/>
      <c r="N53" s="40"/>
      <c r="O53" s="40"/>
      <c r="P53" s="40"/>
      <c r="Q53" s="40"/>
      <c r="R53" s="40"/>
      <c r="S53" s="40"/>
    </row>
    <row r="54" spans="1:19" s="33" customFormat="1" ht="12.5" x14ac:dyDescent="0.35">
      <c r="A54" s="45">
        <v>77</v>
      </c>
      <c r="B54" s="33" t="s">
        <v>49</v>
      </c>
      <c r="C54" s="43">
        <v>37962</v>
      </c>
      <c r="D54" s="43">
        <v>29792</v>
      </c>
      <c r="E54" s="43">
        <v>15091</v>
      </c>
      <c r="F54" s="43">
        <v>12190</v>
      </c>
      <c r="G54" s="43">
        <v>8871</v>
      </c>
      <c r="H54" s="43">
        <v>7932</v>
      </c>
      <c r="I54" s="43">
        <v>45</v>
      </c>
      <c r="J54" s="43">
        <v>32</v>
      </c>
      <c r="L54" s="40"/>
      <c r="M54" s="40"/>
      <c r="N54" s="40"/>
      <c r="O54" s="40"/>
      <c r="P54" s="40"/>
      <c r="Q54" s="40"/>
      <c r="R54" s="40"/>
      <c r="S54" s="40"/>
    </row>
    <row r="55" spans="1:19" s="33" customFormat="1" ht="12.5" x14ac:dyDescent="0.35">
      <c r="B55" s="60" t="s">
        <v>21</v>
      </c>
      <c r="C55" s="43">
        <v>79855</v>
      </c>
      <c r="D55" s="43">
        <v>35673</v>
      </c>
      <c r="E55" s="43">
        <v>34760</v>
      </c>
      <c r="F55" s="43">
        <v>16048</v>
      </c>
      <c r="G55" s="43">
        <v>26873</v>
      </c>
      <c r="H55" s="43">
        <v>12598</v>
      </c>
      <c r="I55" s="43">
        <v>3903</v>
      </c>
      <c r="J55" s="65" t="s">
        <v>77</v>
      </c>
      <c r="L55" s="40"/>
      <c r="M55" s="40"/>
      <c r="N55" s="40"/>
      <c r="O55" s="40"/>
      <c r="P55" s="40"/>
      <c r="Q55" s="40"/>
      <c r="R55" s="40"/>
      <c r="S55" s="40"/>
    </row>
    <row r="56" spans="1:19" s="33" customFormat="1" x14ac:dyDescent="0.35">
      <c r="B56" s="47"/>
      <c r="J56" s="48"/>
    </row>
    <row r="57" spans="1:19" s="33" customFormat="1" ht="12.5" x14ac:dyDescent="0.35">
      <c r="B57" s="33" t="s">
        <v>78</v>
      </c>
      <c r="J57" s="48"/>
    </row>
    <row r="58" spans="1:19" s="33" customFormat="1" ht="12.5" x14ac:dyDescent="0.35">
      <c r="J58" s="48"/>
    </row>
    <row r="59" spans="1:19" x14ac:dyDescent="0.3">
      <c r="B59" s="49" t="s">
        <v>79</v>
      </c>
      <c r="C59" s="33"/>
      <c r="D59" s="33"/>
      <c r="E59" s="33"/>
      <c r="F59" s="33"/>
      <c r="G59" s="33"/>
      <c r="H59" s="33"/>
      <c r="I59" s="33"/>
      <c r="J59" s="50"/>
    </row>
    <row r="61" spans="1:19" ht="9.75" customHeight="1" x14ac:dyDescent="0.3">
      <c r="B61" s="51" t="s">
        <v>80</v>
      </c>
    </row>
  </sheetData>
  <mergeCells count="6">
    <mergeCell ref="B1:J1"/>
    <mergeCell ref="B2:B3"/>
    <mergeCell ref="C2:D2"/>
    <mergeCell ref="E2:F2"/>
    <mergeCell ref="G2:H2"/>
    <mergeCell ref="I2:J2"/>
  </mergeCells>
  <pageMargins left="0.48" right="0.31" top="1" bottom="1" header="0.5" footer="0.5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</sheetPr>
  <dimension ref="A1:T71"/>
  <sheetViews>
    <sheetView showGridLines="0" zoomScale="85" zoomScaleNormal="85" workbookViewId="0">
      <pane xSplit="2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G39" sqref="G39"/>
    </sheetView>
  </sheetViews>
  <sheetFormatPr defaultRowHeight="13" x14ac:dyDescent="0.3"/>
  <cols>
    <col min="1" max="1" width="2.7265625" style="32" hidden="1" customWidth="1"/>
    <col min="2" max="2" width="25.54296875" style="32" customWidth="1"/>
    <col min="3" max="3" width="11.453125" style="32" customWidth="1"/>
    <col min="4" max="5" width="11.453125" style="52" customWidth="1"/>
    <col min="6" max="6" width="13" style="52" customWidth="1"/>
    <col min="7" max="8" width="11.453125" style="52" customWidth="1"/>
    <col min="9" max="10" width="13.26953125" style="52" customWidth="1"/>
    <col min="11" max="256" width="9.26953125" style="32"/>
    <col min="257" max="257" width="0" style="32" hidden="1" customWidth="1"/>
    <col min="258" max="258" width="25.54296875" style="32" customWidth="1"/>
    <col min="259" max="261" width="11.453125" style="32" customWidth="1"/>
    <col min="262" max="262" width="13" style="32" customWidth="1"/>
    <col min="263" max="264" width="11.453125" style="32" customWidth="1"/>
    <col min="265" max="266" width="13.26953125" style="32" customWidth="1"/>
    <col min="267" max="512" width="9.26953125" style="32"/>
    <col min="513" max="513" width="0" style="32" hidden="1" customWidth="1"/>
    <col min="514" max="514" width="25.54296875" style="32" customWidth="1"/>
    <col min="515" max="517" width="11.453125" style="32" customWidth="1"/>
    <col min="518" max="518" width="13" style="32" customWidth="1"/>
    <col min="519" max="520" width="11.453125" style="32" customWidth="1"/>
    <col min="521" max="522" width="13.26953125" style="32" customWidth="1"/>
    <col min="523" max="768" width="9.26953125" style="32"/>
    <col min="769" max="769" width="0" style="32" hidden="1" customWidth="1"/>
    <col min="770" max="770" width="25.54296875" style="32" customWidth="1"/>
    <col min="771" max="773" width="11.453125" style="32" customWidth="1"/>
    <col min="774" max="774" width="13" style="32" customWidth="1"/>
    <col min="775" max="776" width="11.453125" style="32" customWidth="1"/>
    <col min="777" max="778" width="13.26953125" style="32" customWidth="1"/>
    <col min="779" max="1024" width="9.26953125" style="32"/>
    <col min="1025" max="1025" width="0" style="32" hidden="1" customWidth="1"/>
    <col min="1026" max="1026" width="25.54296875" style="32" customWidth="1"/>
    <col min="1027" max="1029" width="11.453125" style="32" customWidth="1"/>
    <col min="1030" max="1030" width="13" style="32" customWidth="1"/>
    <col min="1031" max="1032" width="11.453125" style="32" customWidth="1"/>
    <col min="1033" max="1034" width="13.26953125" style="32" customWidth="1"/>
    <col min="1035" max="1280" width="9.26953125" style="32"/>
    <col min="1281" max="1281" width="0" style="32" hidden="1" customWidth="1"/>
    <col min="1282" max="1282" width="25.54296875" style="32" customWidth="1"/>
    <col min="1283" max="1285" width="11.453125" style="32" customWidth="1"/>
    <col min="1286" max="1286" width="13" style="32" customWidth="1"/>
    <col min="1287" max="1288" width="11.453125" style="32" customWidth="1"/>
    <col min="1289" max="1290" width="13.26953125" style="32" customWidth="1"/>
    <col min="1291" max="1536" width="9.26953125" style="32"/>
    <col min="1537" max="1537" width="0" style="32" hidden="1" customWidth="1"/>
    <col min="1538" max="1538" width="25.54296875" style="32" customWidth="1"/>
    <col min="1539" max="1541" width="11.453125" style="32" customWidth="1"/>
    <col min="1542" max="1542" width="13" style="32" customWidth="1"/>
    <col min="1543" max="1544" width="11.453125" style="32" customWidth="1"/>
    <col min="1545" max="1546" width="13.26953125" style="32" customWidth="1"/>
    <col min="1547" max="1792" width="9.26953125" style="32"/>
    <col min="1793" max="1793" width="0" style="32" hidden="1" customWidth="1"/>
    <col min="1794" max="1794" width="25.54296875" style="32" customWidth="1"/>
    <col min="1795" max="1797" width="11.453125" style="32" customWidth="1"/>
    <col min="1798" max="1798" width="13" style="32" customWidth="1"/>
    <col min="1799" max="1800" width="11.453125" style="32" customWidth="1"/>
    <col min="1801" max="1802" width="13.26953125" style="32" customWidth="1"/>
    <col min="1803" max="2048" width="9.26953125" style="32"/>
    <col min="2049" max="2049" width="0" style="32" hidden="1" customWidth="1"/>
    <col min="2050" max="2050" width="25.54296875" style="32" customWidth="1"/>
    <col min="2051" max="2053" width="11.453125" style="32" customWidth="1"/>
    <col min="2054" max="2054" width="13" style="32" customWidth="1"/>
    <col min="2055" max="2056" width="11.453125" style="32" customWidth="1"/>
    <col min="2057" max="2058" width="13.26953125" style="32" customWidth="1"/>
    <col min="2059" max="2304" width="9.26953125" style="32"/>
    <col min="2305" max="2305" width="0" style="32" hidden="1" customWidth="1"/>
    <col min="2306" max="2306" width="25.54296875" style="32" customWidth="1"/>
    <col min="2307" max="2309" width="11.453125" style="32" customWidth="1"/>
    <col min="2310" max="2310" width="13" style="32" customWidth="1"/>
    <col min="2311" max="2312" width="11.453125" style="32" customWidth="1"/>
    <col min="2313" max="2314" width="13.26953125" style="32" customWidth="1"/>
    <col min="2315" max="2560" width="9.26953125" style="32"/>
    <col min="2561" max="2561" width="0" style="32" hidden="1" customWidth="1"/>
    <col min="2562" max="2562" width="25.54296875" style="32" customWidth="1"/>
    <col min="2563" max="2565" width="11.453125" style="32" customWidth="1"/>
    <col min="2566" max="2566" width="13" style="32" customWidth="1"/>
    <col min="2567" max="2568" width="11.453125" style="32" customWidth="1"/>
    <col min="2569" max="2570" width="13.26953125" style="32" customWidth="1"/>
    <col min="2571" max="2816" width="9.26953125" style="32"/>
    <col min="2817" max="2817" width="0" style="32" hidden="1" customWidth="1"/>
    <col min="2818" max="2818" width="25.54296875" style="32" customWidth="1"/>
    <col min="2819" max="2821" width="11.453125" style="32" customWidth="1"/>
    <col min="2822" max="2822" width="13" style="32" customWidth="1"/>
    <col min="2823" max="2824" width="11.453125" style="32" customWidth="1"/>
    <col min="2825" max="2826" width="13.26953125" style="32" customWidth="1"/>
    <col min="2827" max="3072" width="9.26953125" style="32"/>
    <col min="3073" max="3073" width="0" style="32" hidden="1" customWidth="1"/>
    <col min="3074" max="3074" width="25.54296875" style="32" customWidth="1"/>
    <col min="3075" max="3077" width="11.453125" style="32" customWidth="1"/>
    <col min="3078" max="3078" width="13" style="32" customWidth="1"/>
    <col min="3079" max="3080" width="11.453125" style="32" customWidth="1"/>
    <col min="3081" max="3082" width="13.26953125" style="32" customWidth="1"/>
    <col min="3083" max="3328" width="9.26953125" style="32"/>
    <col min="3329" max="3329" width="0" style="32" hidden="1" customWidth="1"/>
    <col min="3330" max="3330" width="25.54296875" style="32" customWidth="1"/>
    <col min="3331" max="3333" width="11.453125" style="32" customWidth="1"/>
    <col min="3334" max="3334" width="13" style="32" customWidth="1"/>
    <col min="3335" max="3336" width="11.453125" style="32" customWidth="1"/>
    <col min="3337" max="3338" width="13.26953125" style="32" customWidth="1"/>
    <col min="3339" max="3584" width="9.26953125" style="32"/>
    <col min="3585" max="3585" width="0" style="32" hidden="1" customWidth="1"/>
    <col min="3586" max="3586" width="25.54296875" style="32" customWidth="1"/>
    <col min="3587" max="3589" width="11.453125" style="32" customWidth="1"/>
    <col min="3590" max="3590" width="13" style="32" customWidth="1"/>
    <col min="3591" max="3592" width="11.453125" style="32" customWidth="1"/>
    <col min="3593" max="3594" width="13.26953125" style="32" customWidth="1"/>
    <col min="3595" max="3840" width="9.26953125" style="32"/>
    <col min="3841" max="3841" width="0" style="32" hidden="1" customWidth="1"/>
    <col min="3842" max="3842" width="25.54296875" style="32" customWidth="1"/>
    <col min="3843" max="3845" width="11.453125" style="32" customWidth="1"/>
    <col min="3846" max="3846" width="13" style="32" customWidth="1"/>
    <col min="3847" max="3848" width="11.453125" style="32" customWidth="1"/>
    <col min="3849" max="3850" width="13.26953125" style="32" customWidth="1"/>
    <col min="3851" max="4096" width="9.26953125" style="32"/>
    <col min="4097" max="4097" width="0" style="32" hidden="1" customWidth="1"/>
    <col min="4098" max="4098" width="25.54296875" style="32" customWidth="1"/>
    <col min="4099" max="4101" width="11.453125" style="32" customWidth="1"/>
    <col min="4102" max="4102" width="13" style="32" customWidth="1"/>
    <col min="4103" max="4104" width="11.453125" style="32" customWidth="1"/>
    <col min="4105" max="4106" width="13.26953125" style="32" customWidth="1"/>
    <col min="4107" max="4352" width="9.26953125" style="32"/>
    <col min="4353" max="4353" width="0" style="32" hidden="1" customWidth="1"/>
    <col min="4354" max="4354" width="25.54296875" style="32" customWidth="1"/>
    <col min="4355" max="4357" width="11.453125" style="32" customWidth="1"/>
    <col min="4358" max="4358" width="13" style="32" customWidth="1"/>
    <col min="4359" max="4360" width="11.453125" style="32" customWidth="1"/>
    <col min="4361" max="4362" width="13.26953125" style="32" customWidth="1"/>
    <col min="4363" max="4608" width="9.26953125" style="32"/>
    <col min="4609" max="4609" width="0" style="32" hidden="1" customWidth="1"/>
    <col min="4610" max="4610" width="25.54296875" style="32" customWidth="1"/>
    <col min="4611" max="4613" width="11.453125" style="32" customWidth="1"/>
    <col min="4614" max="4614" width="13" style="32" customWidth="1"/>
    <col min="4615" max="4616" width="11.453125" style="32" customWidth="1"/>
    <col min="4617" max="4618" width="13.26953125" style="32" customWidth="1"/>
    <col min="4619" max="4864" width="9.26953125" style="32"/>
    <col min="4865" max="4865" width="0" style="32" hidden="1" customWidth="1"/>
    <col min="4866" max="4866" width="25.54296875" style="32" customWidth="1"/>
    <col min="4867" max="4869" width="11.453125" style="32" customWidth="1"/>
    <col min="4870" max="4870" width="13" style="32" customWidth="1"/>
    <col min="4871" max="4872" width="11.453125" style="32" customWidth="1"/>
    <col min="4873" max="4874" width="13.26953125" style="32" customWidth="1"/>
    <col min="4875" max="5120" width="9.26953125" style="32"/>
    <col min="5121" max="5121" width="0" style="32" hidden="1" customWidth="1"/>
    <col min="5122" max="5122" width="25.54296875" style="32" customWidth="1"/>
    <col min="5123" max="5125" width="11.453125" style="32" customWidth="1"/>
    <col min="5126" max="5126" width="13" style="32" customWidth="1"/>
    <col min="5127" max="5128" width="11.453125" style="32" customWidth="1"/>
    <col min="5129" max="5130" width="13.26953125" style="32" customWidth="1"/>
    <col min="5131" max="5376" width="9.26953125" style="32"/>
    <col min="5377" max="5377" width="0" style="32" hidden="1" customWidth="1"/>
    <col min="5378" max="5378" width="25.54296875" style="32" customWidth="1"/>
    <col min="5379" max="5381" width="11.453125" style="32" customWidth="1"/>
    <col min="5382" max="5382" width="13" style="32" customWidth="1"/>
    <col min="5383" max="5384" width="11.453125" style="32" customWidth="1"/>
    <col min="5385" max="5386" width="13.26953125" style="32" customWidth="1"/>
    <col min="5387" max="5632" width="9.26953125" style="32"/>
    <col min="5633" max="5633" width="0" style="32" hidden="1" customWidth="1"/>
    <col min="5634" max="5634" width="25.54296875" style="32" customWidth="1"/>
    <col min="5635" max="5637" width="11.453125" style="32" customWidth="1"/>
    <col min="5638" max="5638" width="13" style="32" customWidth="1"/>
    <col min="5639" max="5640" width="11.453125" style="32" customWidth="1"/>
    <col min="5641" max="5642" width="13.26953125" style="32" customWidth="1"/>
    <col min="5643" max="5888" width="9.26953125" style="32"/>
    <col min="5889" max="5889" width="0" style="32" hidden="1" customWidth="1"/>
    <col min="5890" max="5890" width="25.54296875" style="32" customWidth="1"/>
    <col min="5891" max="5893" width="11.453125" style="32" customWidth="1"/>
    <col min="5894" max="5894" width="13" style="32" customWidth="1"/>
    <col min="5895" max="5896" width="11.453125" style="32" customWidth="1"/>
    <col min="5897" max="5898" width="13.26953125" style="32" customWidth="1"/>
    <col min="5899" max="6144" width="9.26953125" style="32"/>
    <col min="6145" max="6145" width="0" style="32" hidden="1" customWidth="1"/>
    <col min="6146" max="6146" width="25.54296875" style="32" customWidth="1"/>
    <col min="6147" max="6149" width="11.453125" style="32" customWidth="1"/>
    <col min="6150" max="6150" width="13" style="32" customWidth="1"/>
    <col min="6151" max="6152" width="11.453125" style="32" customWidth="1"/>
    <col min="6153" max="6154" width="13.26953125" style="32" customWidth="1"/>
    <col min="6155" max="6400" width="9.26953125" style="32"/>
    <col min="6401" max="6401" width="0" style="32" hidden="1" customWidth="1"/>
    <col min="6402" max="6402" width="25.54296875" style="32" customWidth="1"/>
    <col min="6403" max="6405" width="11.453125" style="32" customWidth="1"/>
    <col min="6406" max="6406" width="13" style="32" customWidth="1"/>
    <col min="6407" max="6408" width="11.453125" style="32" customWidth="1"/>
    <col min="6409" max="6410" width="13.26953125" style="32" customWidth="1"/>
    <col min="6411" max="6656" width="9.26953125" style="32"/>
    <col min="6657" max="6657" width="0" style="32" hidden="1" customWidth="1"/>
    <col min="6658" max="6658" width="25.54296875" style="32" customWidth="1"/>
    <col min="6659" max="6661" width="11.453125" style="32" customWidth="1"/>
    <col min="6662" max="6662" width="13" style="32" customWidth="1"/>
    <col min="6663" max="6664" width="11.453125" style="32" customWidth="1"/>
    <col min="6665" max="6666" width="13.26953125" style="32" customWidth="1"/>
    <col min="6667" max="6912" width="9.26953125" style="32"/>
    <col min="6913" max="6913" width="0" style="32" hidden="1" customWidth="1"/>
    <col min="6914" max="6914" width="25.54296875" style="32" customWidth="1"/>
    <col min="6915" max="6917" width="11.453125" style="32" customWidth="1"/>
    <col min="6918" max="6918" width="13" style="32" customWidth="1"/>
    <col min="6919" max="6920" width="11.453125" style="32" customWidth="1"/>
    <col min="6921" max="6922" width="13.26953125" style="32" customWidth="1"/>
    <col min="6923" max="7168" width="9.26953125" style="32"/>
    <col min="7169" max="7169" width="0" style="32" hidden="1" customWidth="1"/>
    <col min="7170" max="7170" width="25.54296875" style="32" customWidth="1"/>
    <col min="7171" max="7173" width="11.453125" style="32" customWidth="1"/>
    <col min="7174" max="7174" width="13" style="32" customWidth="1"/>
    <col min="7175" max="7176" width="11.453125" style="32" customWidth="1"/>
    <col min="7177" max="7178" width="13.26953125" style="32" customWidth="1"/>
    <col min="7179" max="7424" width="9.26953125" style="32"/>
    <col min="7425" max="7425" width="0" style="32" hidden="1" customWidth="1"/>
    <col min="7426" max="7426" width="25.54296875" style="32" customWidth="1"/>
    <col min="7427" max="7429" width="11.453125" style="32" customWidth="1"/>
    <col min="7430" max="7430" width="13" style="32" customWidth="1"/>
    <col min="7431" max="7432" width="11.453125" style="32" customWidth="1"/>
    <col min="7433" max="7434" width="13.26953125" style="32" customWidth="1"/>
    <col min="7435" max="7680" width="9.26953125" style="32"/>
    <col min="7681" max="7681" width="0" style="32" hidden="1" customWidth="1"/>
    <col min="7682" max="7682" width="25.54296875" style="32" customWidth="1"/>
    <col min="7683" max="7685" width="11.453125" style="32" customWidth="1"/>
    <col min="7686" max="7686" width="13" style="32" customWidth="1"/>
    <col min="7687" max="7688" width="11.453125" style="32" customWidth="1"/>
    <col min="7689" max="7690" width="13.26953125" style="32" customWidth="1"/>
    <col min="7691" max="7936" width="9.26953125" style="32"/>
    <col min="7937" max="7937" width="0" style="32" hidden="1" customWidth="1"/>
    <col min="7938" max="7938" width="25.54296875" style="32" customWidth="1"/>
    <col min="7939" max="7941" width="11.453125" style="32" customWidth="1"/>
    <col min="7942" max="7942" width="13" style="32" customWidth="1"/>
    <col min="7943" max="7944" width="11.453125" style="32" customWidth="1"/>
    <col min="7945" max="7946" width="13.26953125" style="32" customWidth="1"/>
    <col min="7947" max="8192" width="9.26953125" style="32"/>
    <col min="8193" max="8193" width="0" style="32" hidden="1" customWidth="1"/>
    <col min="8194" max="8194" width="25.54296875" style="32" customWidth="1"/>
    <col min="8195" max="8197" width="11.453125" style="32" customWidth="1"/>
    <col min="8198" max="8198" width="13" style="32" customWidth="1"/>
    <col min="8199" max="8200" width="11.453125" style="32" customWidth="1"/>
    <col min="8201" max="8202" width="13.26953125" style="32" customWidth="1"/>
    <col min="8203" max="8448" width="9.26953125" style="32"/>
    <col min="8449" max="8449" width="0" style="32" hidden="1" customWidth="1"/>
    <col min="8450" max="8450" width="25.54296875" style="32" customWidth="1"/>
    <col min="8451" max="8453" width="11.453125" style="32" customWidth="1"/>
    <col min="8454" max="8454" width="13" style="32" customWidth="1"/>
    <col min="8455" max="8456" width="11.453125" style="32" customWidth="1"/>
    <col min="8457" max="8458" width="13.26953125" style="32" customWidth="1"/>
    <col min="8459" max="8704" width="9.26953125" style="32"/>
    <col min="8705" max="8705" width="0" style="32" hidden="1" customWidth="1"/>
    <col min="8706" max="8706" width="25.54296875" style="32" customWidth="1"/>
    <col min="8707" max="8709" width="11.453125" style="32" customWidth="1"/>
    <col min="8710" max="8710" width="13" style="32" customWidth="1"/>
    <col min="8711" max="8712" width="11.453125" style="32" customWidth="1"/>
    <col min="8713" max="8714" width="13.26953125" style="32" customWidth="1"/>
    <col min="8715" max="8960" width="9.26953125" style="32"/>
    <col min="8961" max="8961" width="0" style="32" hidden="1" customWidth="1"/>
    <col min="8962" max="8962" width="25.54296875" style="32" customWidth="1"/>
    <col min="8963" max="8965" width="11.453125" style="32" customWidth="1"/>
    <col min="8966" max="8966" width="13" style="32" customWidth="1"/>
    <col min="8967" max="8968" width="11.453125" style="32" customWidth="1"/>
    <col min="8969" max="8970" width="13.26953125" style="32" customWidth="1"/>
    <col min="8971" max="9216" width="9.26953125" style="32"/>
    <col min="9217" max="9217" width="0" style="32" hidden="1" customWidth="1"/>
    <col min="9218" max="9218" width="25.54296875" style="32" customWidth="1"/>
    <col min="9219" max="9221" width="11.453125" style="32" customWidth="1"/>
    <col min="9222" max="9222" width="13" style="32" customWidth="1"/>
    <col min="9223" max="9224" width="11.453125" style="32" customWidth="1"/>
    <col min="9225" max="9226" width="13.26953125" style="32" customWidth="1"/>
    <col min="9227" max="9472" width="9.26953125" style="32"/>
    <col min="9473" max="9473" width="0" style="32" hidden="1" customWidth="1"/>
    <col min="9474" max="9474" width="25.54296875" style="32" customWidth="1"/>
    <col min="9475" max="9477" width="11.453125" style="32" customWidth="1"/>
    <col min="9478" max="9478" width="13" style="32" customWidth="1"/>
    <col min="9479" max="9480" width="11.453125" style="32" customWidth="1"/>
    <col min="9481" max="9482" width="13.26953125" style="32" customWidth="1"/>
    <col min="9483" max="9728" width="9.26953125" style="32"/>
    <col min="9729" max="9729" width="0" style="32" hidden="1" customWidth="1"/>
    <col min="9730" max="9730" width="25.54296875" style="32" customWidth="1"/>
    <col min="9731" max="9733" width="11.453125" style="32" customWidth="1"/>
    <col min="9734" max="9734" width="13" style="32" customWidth="1"/>
    <col min="9735" max="9736" width="11.453125" style="32" customWidth="1"/>
    <col min="9737" max="9738" width="13.26953125" style="32" customWidth="1"/>
    <col min="9739" max="9984" width="9.26953125" style="32"/>
    <col min="9985" max="9985" width="0" style="32" hidden="1" customWidth="1"/>
    <col min="9986" max="9986" width="25.54296875" style="32" customWidth="1"/>
    <col min="9987" max="9989" width="11.453125" style="32" customWidth="1"/>
    <col min="9990" max="9990" width="13" style="32" customWidth="1"/>
    <col min="9991" max="9992" width="11.453125" style="32" customWidth="1"/>
    <col min="9993" max="9994" width="13.26953125" style="32" customWidth="1"/>
    <col min="9995" max="10240" width="9.26953125" style="32"/>
    <col min="10241" max="10241" width="0" style="32" hidden="1" customWidth="1"/>
    <col min="10242" max="10242" width="25.54296875" style="32" customWidth="1"/>
    <col min="10243" max="10245" width="11.453125" style="32" customWidth="1"/>
    <col min="10246" max="10246" width="13" style="32" customWidth="1"/>
    <col min="10247" max="10248" width="11.453125" style="32" customWidth="1"/>
    <col min="10249" max="10250" width="13.26953125" style="32" customWidth="1"/>
    <col min="10251" max="10496" width="9.26953125" style="32"/>
    <col min="10497" max="10497" width="0" style="32" hidden="1" customWidth="1"/>
    <col min="10498" max="10498" width="25.54296875" style="32" customWidth="1"/>
    <col min="10499" max="10501" width="11.453125" style="32" customWidth="1"/>
    <col min="10502" max="10502" width="13" style="32" customWidth="1"/>
    <col min="10503" max="10504" width="11.453125" style="32" customWidth="1"/>
    <col min="10505" max="10506" width="13.26953125" style="32" customWidth="1"/>
    <col min="10507" max="10752" width="9.26953125" style="32"/>
    <col min="10753" max="10753" width="0" style="32" hidden="1" customWidth="1"/>
    <col min="10754" max="10754" width="25.54296875" style="32" customWidth="1"/>
    <col min="10755" max="10757" width="11.453125" style="32" customWidth="1"/>
    <col min="10758" max="10758" width="13" style="32" customWidth="1"/>
    <col min="10759" max="10760" width="11.453125" style="32" customWidth="1"/>
    <col min="10761" max="10762" width="13.26953125" style="32" customWidth="1"/>
    <col min="10763" max="11008" width="9.26953125" style="32"/>
    <col min="11009" max="11009" width="0" style="32" hidden="1" customWidth="1"/>
    <col min="11010" max="11010" width="25.54296875" style="32" customWidth="1"/>
    <col min="11011" max="11013" width="11.453125" style="32" customWidth="1"/>
    <col min="11014" max="11014" width="13" style="32" customWidth="1"/>
    <col min="11015" max="11016" width="11.453125" style="32" customWidth="1"/>
    <col min="11017" max="11018" width="13.26953125" style="32" customWidth="1"/>
    <col min="11019" max="11264" width="9.26953125" style="32"/>
    <col min="11265" max="11265" width="0" style="32" hidden="1" customWidth="1"/>
    <col min="11266" max="11266" width="25.54296875" style="32" customWidth="1"/>
    <col min="11267" max="11269" width="11.453125" style="32" customWidth="1"/>
    <col min="11270" max="11270" width="13" style="32" customWidth="1"/>
    <col min="11271" max="11272" width="11.453125" style="32" customWidth="1"/>
    <col min="11273" max="11274" width="13.26953125" style="32" customWidth="1"/>
    <col min="11275" max="11520" width="9.26953125" style="32"/>
    <col min="11521" max="11521" width="0" style="32" hidden="1" customWidth="1"/>
    <col min="11522" max="11522" width="25.54296875" style="32" customWidth="1"/>
    <col min="11523" max="11525" width="11.453125" style="32" customWidth="1"/>
    <col min="11526" max="11526" width="13" style="32" customWidth="1"/>
    <col min="11527" max="11528" width="11.453125" style="32" customWidth="1"/>
    <col min="11529" max="11530" width="13.26953125" style="32" customWidth="1"/>
    <col min="11531" max="11776" width="9.26953125" style="32"/>
    <col min="11777" max="11777" width="0" style="32" hidden="1" customWidth="1"/>
    <col min="11778" max="11778" width="25.54296875" style="32" customWidth="1"/>
    <col min="11779" max="11781" width="11.453125" style="32" customWidth="1"/>
    <col min="11782" max="11782" width="13" style="32" customWidth="1"/>
    <col min="11783" max="11784" width="11.453125" style="32" customWidth="1"/>
    <col min="11785" max="11786" width="13.26953125" style="32" customWidth="1"/>
    <col min="11787" max="12032" width="9.26953125" style="32"/>
    <col min="12033" max="12033" width="0" style="32" hidden="1" customWidth="1"/>
    <col min="12034" max="12034" width="25.54296875" style="32" customWidth="1"/>
    <col min="12035" max="12037" width="11.453125" style="32" customWidth="1"/>
    <col min="12038" max="12038" width="13" style="32" customWidth="1"/>
    <col min="12039" max="12040" width="11.453125" style="32" customWidth="1"/>
    <col min="12041" max="12042" width="13.26953125" style="32" customWidth="1"/>
    <col min="12043" max="12288" width="9.26953125" style="32"/>
    <col min="12289" max="12289" width="0" style="32" hidden="1" customWidth="1"/>
    <col min="12290" max="12290" width="25.54296875" style="32" customWidth="1"/>
    <col min="12291" max="12293" width="11.453125" style="32" customWidth="1"/>
    <col min="12294" max="12294" width="13" style="32" customWidth="1"/>
    <col min="12295" max="12296" width="11.453125" style="32" customWidth="1"/>
    <col min="12297" max="12298" width="13.26953125" style="32" customWidth="1"/>
    <col min="12299" max="12544" width="9.26953125" style="32"/>
    <col min="12545" max="12545" width="0" style="32" hidden="1" customWidth="1"/>
    <col min="12546" max="12546" width="25.54296875" style="32" customWidth="1"/>
    <col min="12547" max="12549" width="11.453125" style="32" customWidth="1"/>
    <col min="12550" max="12550" width="13" style="32" customWidth="1"/>
    <col min="12551" max="12552" width="11.453125" style="32" customWidth="1"/>
    <col min="12553" max="12554" width="13.26953125" style="32" customWidth="1"/>
    <col min="12555" max="12800" width="9.26953125" style="32"/>
    <col min="12801" max="12801" width="0" style="32" hidden="1" customWidth="1"/>
    <col min="12802" max="12802" width="25.54296875" style="32" customWidth="1"/>
    <col min="12803" max="12805" width="11.453125" style="32" customWidth="1"/>
    <col min="12806" max="12806" width="13" style="32" customWidth="1"/>
    <col min="12807" max="12808" width="11.453125" style="32" customWidth="1"/>
    <col min="12809" max="12810" width="13.26953125" style="32" customWidth="1"/>
    <col min="12811" max="13056" width="9.26953125" style="32"/>
    <col min="13057" max="13057" width="0" style="32" hidden="1" customWidth="1"/>
    <col min="13058" max="13058" width="25.54296875" style="32" customWidth="1"/>
    <col min="13059" max="13061" width="11.453125" style="32" customWidth="1"/>
    <col min="13062" max="13062" width="13" style="32" customWidth="1"/>
    <col min="13063" max="13064" width="11.453125" style="32" customWidth="1"/>
    <col min="13065" max="13066" width="13.26953125" style="32" customWidth="1"/>
    <col min="13067" max="13312" width="9.26953125" style="32"/>
    <col min="13313" max="13313" width="0" style="32" hidden="1" customWidth="1"/>
    <col min="13314" max="13314" width="25.54296875" style="32" customWidth="1"/>
    <col min="13315" max="13317" width="11.453125" style="32" customWidth="1"/>
    <col min="13318" max="13318" width="13" style="32" customWidth="1"/>
    <col min="13319" max="13320" width="11.453125" style="32" customWidth="1"/>
    <col min="13321" max="13322" width="13.26953125" style="32" customWidth="1"/>
    <col min="13323" max="13568" width="9.26953125" style="32"/>
    <col min="13569" max="13569" width="0" style="32" hidden="1" customWidth="1"/>
    <col min="13570" max="13570" width="25.54296875" style="32" customWidth="1"/>
    <col min="13571" max="13573" width="11.453125" style="32" customWidth="1"/>
    <col min="13574" max="13574" width="13" style="32" customWidth="1"/>
    <col min="13575" max="13576" width="11.453125" style="32" customWidth="1"/>
    <col min="13577" max="13578" width="13.26953125" style="32" customWidth="1"/>
    <col min="13579" max="13824" width="9.26953125" style="32"/>
    <col min="13825" max="13825" width="0" style="32" hidden="1" customWidth="1"/>
    <col min="13826" max="13826" width="25.54296875" style="32" customWidth="1"/>
    <col min="13827" max="13829" width="11.453125" style="32" customWidth="1"/>
    <col min="13830" max="13830" width="13" style="32" customWidth="1"/>
    <col min="13831" max="13832" width="11.453125" style="32" customWidth="1"/>
    <col min="13833" max="13834" width="13.26953125" style="32" customWidth="1"/>
    <col min="13835" max="14080" width="9.26953125" style="32"/>
    <col min="14081" max="14081" width="0" style="32" hidden="1" customWidth="1"/>
    <col min="14082" max="14082" width="25.54296875" style="32" customWidth="1"/>
    <col min="14083" max="14085" width="11.453125" style="32" customWidth="1"/>
    <col min="14086" max="14086" width="13" style="32" customWidth="1"/>
    <col min="14087" max="14088" width="11.453125" style="32" customWidth="1"/>
    <col min="14089" max="14090" width="13.26953125" style="32" customWidth="1"/>
    <col min="14091" max="14336" width="9.26953125" style="32"/>
    <col min="14337" max="14337" width="0" style="32" hidden="1" customWidth="1"/>
    <col min="14338" max="14338" width="25.54296875" style="32" customWidth="1"/>
    <col min="14339" max="14341" width="11.453125" style="32" customWidth="1"/>
    <col min="14342" max="14342" width="13" style="32" customWidth="1"/>
    <col min="14343" max="14344" width="11.453125" style="32" customWidth="1"/>
    <col min="14345" max="14346" width="13.26953125" style="32" customWidth="1"/>
    <col min="14347" max="14592" width="9.26953125" style="32"/>
    <col min="14593" max="14593" width="0" style="32" hidden="1" customWidth="1"/>
    <col min="14594" max="14594" width="25.54296875" style="32" customWidth="1"/>
    <col min="14595" max="14597" width="11.453125" style="32" customWidth="1"/>
    <col min="14598" max="14598" width="13" style="32" customWidth="1"/>
    <col min="14599" max="14600" width="11.453125" style="32" customWidth="1"/>
    <col min="14601" max="14602" width="13.26953125" style="32" customWidth="1"/>
    <col min="14603" max="14848" width="9.26953125" style="32"/>
    <col min="14849" max="14849" width="0" style="32" hidden="1" customWidth="1"/>
    <col min="14850" max="14850" width="25.54296875" style="32" customWidth="1"/>
    <col min="14851" max="14853" width="11.453125" style="32" customWidth="1"/>
    <col min="14854" max="14854" width="13" style="32" customWidth="1"/>
    <col min="14855" max="14856" width="11.453125" style="32" customWidth="1"/>
    <col min="14857" max="14858" width="13.26953125" style="32" customWidth="1"/>
    <col min="14859" max="15104" width="9.26953125" style="32"/>
    <col min="15105" max="15105" width="0" style="32" hidden="1" customWidth="1"/>
    <col min="15106" max="15106" width="25.54296875" style="32" customWidth="1"/>
    <col min="15107" max="15109" width="11.453125" style="32" customWidth="1"/>
    <col min="15110" max="15110" width="13" style="32" customWidth="1"/>
    <col min="15111" max="15112" width="11.453125" style="32" customWidth="1"/>
    <col min="15113" max="15114" width="13.26953125" style="32" customWidth="1"/>
    <col min="15115" max="15360" width="9.26953125" style="32"/>
    <col min="15361" max="15361" width="0" style="32" hidden="1" customWidth="1"/>
    <col min="15362" max="15362" width="25.54296875" style="32" customWidth="1"/>
    <col min="15363" max="15365" width="11.453125" style="32" customWidth="1"/>
    <col min="15366" max="15366" width="13" style="32" customWidth="1"/>
    <col min="15367" max="15368" width="11.453125" style="32" customWidth="1"/>
    <col min="15369" max="15370" width="13.26953125" style="32" customWidth="1"/>
    <col min="15371" max="15616" width="9.26953125" style="32"/>
    <col min="15617" max="15617" width="0" style="32" hidden="1" customWidth="1"/>
    <col min="15618" max="15618" width="25.54296875" style="32" customWidth="1"/>
    <col min="15619" max="15621" width="11.453125" style="32" customWidth="1"/>
    <col min="15622" max="15622" width="13" style="32" customWidth="1"/>
    <col min="15623" max="15624" width="11.453125" style="32" customWidth="1"/>
    <col min="15625" max="15626" width="13.26953125" style="32" customWidth="1"/>
    <col min="15627" max="15872" width="9.26953125" style="32"/>
    <col min="15873" max="15873" width="0" style="32" hidden="1" customWidth="1"/>
    <col min="15874" max="15874" width="25.54296875" style="32" customWidth="1"/>
    <col min="15875" max="15877" width="11.453125" style="32" customWidth="1"/>
    <col min="15878" max="15878" width="13" style="32" customWidth="1"/>
    <col min="15879" max="15880" width="11.453125" style="32" customWidth="1"/>
    <col min="15881" max="15882" width="13.26953125" style="32" customWidth="1"/>
    <col min="15883" max="16128" width="9.26953125" style="32"/>
    <col min="16129" max="16129" width="0" style="32" hidden="1" customWidth="1"/>
    <col min="16130" max="16130" width="25.54296875" style="32" customWidth="1"/>
    <col min="16131" max="16133" width="11.453125" style="32" customWidth="1"/>
    <col min="16134" max="16134" width="13" style="32" customWidth="1"/>
    <col min="16135" max="16136" width="11.453125" style="32" customWidth="1"/>
    <col min="16137" max="16138" width="13.26953125" style="32" customWidth="1"/>
    <col min="16139" max="16384" width="9.26953125" style="32"/>
  </cols>
  <sheetData>
    <row r="1" spans="1:20" ht="40.5" customHeight="1" x14ac:dyDescent="0.3">
      <c r="B1" s="128" t="s">
        <v>125</v>
      </c>
      <c r="C1" s="129"/>
      <c r="D1" s="129"/>
      <c r="E1" s="129"/>
      <c r="F1" s="129"/>
      <c r="G1" s="129"/>
      <c r="H1" s="129"/>
      <c r="I1" s="129"/>
      <c r="J1" s="130"/>
    </row>
    <row r="2" spans="1:20" s="33" customFormat="1" ht="60.75" customHeight="1" x14ac:dyDescent="0.3">
      <c r="B2" s="120"/>
      <c r="C2" s="122" t="s">
        <v>67</v>
      </c>
      <c r="D2" s="131"/>
      <c r="E2" s="132" t="s">
        <v>68</v>
      </c>
      <c r="F2" s="132"/>
      <c r="G2" s="132" t="s">
        <v>69</v>
      </c>
      <c r="H2" s="132"/>
      <c r="I2" s="122" t="s">
        <v>70</v>
      </c>
      <c r="J2" s="131"/>
      <c r="K2" s="32"/>
    </row>
    <row r="3" spans="1:20" s="33" customFormat="1" ht="24" customHeight="1" x14ac:dyDescent="0.35">
      <c r="B3" s="121"/>
      <c r="C3" s="34" t="s">
        <v>71</v>
      </c>
      <c r="D3" s="35" t="s">
        <v>72</v>
      </c>
      <c r="E3" s="34" t="s">
        <v>71</v>
      </c>
      <c r="F3" s="35" t="s">
        <v>72</v>
      </c>
      <c r="G3" s="34" t="s">
        <v>71</v>
      </c>
      <c r="H3" s="35" t="s">
        <v>72</v>
      </c>
      <c r="I3" s="34" t="s">
        <v>71</v>
      </c>
      <c r="J3" s="35" t="s">
        <v>72</v>
      </c>
    </row>
    <row r="4" spans="1:20" s="33" customFormat="1" ht="24" hidden="1" customHeight="1" x14ac:dyDescent="0.35">
      <c r="C4" s="36" t="s">
        <v>73</v>
      </c>
      <c r="D4" s="36" t="s">
        <v>73</v>
      </c>
      <c r="E4" s="37" t="s">
        <v>74</v>
      </c>
      <c r="F4" s="37" t="s">
        <v>74</v>
      </c>
      <c r="G4" s="37" t="s">
        <v>75</v>
      </c>
      <c r="H4" s="37" t="s">
        <v>75</v>
      </c>
      <c r="I4" s="36" t="s">
        <v>76</v>
      </c>
      <c r="J4" s="36" t="s">
        <v>76</v>
      </c>
    </row>
    <row r="5" spans="1:20" s="33" customFormat="1" ht="24" hidden="1" customHeight="1" x14ac:dyDescent="0.35">
      <c r="C5" s="36" t="s">
        <v>71</v>
      </c>
      <c r="D5" s="37" t="s">
        <v>72</v>
      </c>
      <c r="E5" s="36" t="s">
        <v>71</v>
      </c>
      <c r="F5" s="37" t="s">
        <v>72</v>
      </c>
      <c r="G5" s="36" t="s">
        <v>71</v>
      </c>
      <c r="H5" s="37" t="s">
        <v>72</v>
      </c>
      <c r="I5" s="36" t="s">
        <v>71</v>
      </c>
      <c r="J5" s="37" t="s">
        <v>72</v>
      </c>
    </row>
    <row r="6" spans="1:20" s="33" customFormat="1" ht="25.5" customHeight="1" x14ac:dyDescent="0.35">
      <c r="B6" s="38" t="s">
        <v>0</v>
      </c>
      <c r="C6" s="39">
        <f>C7+C48</f>
        <v>590198</v>
      </c>
      <c r="D6" s="39">
        <f t="shared" ref="D6:J6" si="0">D7+D48</f>
        <v>843458.24</v>
      </c>
      <c r="E6" s="39">
        <f t="shared" si="0"/>
        <v>313130</v>
      </c>
      <c r="F6" s="39">
        <f t="shared" si="0"/>
        <v>438459.04000000004</v>
      </c>
      <c r="G6" s="39">
        <f t="shared" si="0"/>
        <v>142472</v>
      </c>
      <c r="H6" s="39">
        <f t="shared" si="0"/>
        <v>250279.67333333334</v>
      </c>
      <c r="I6" s="39">
        <f t="shared" si="0"/>
        <v>26677</v>
      </c>
      <c r="J6" s="39">
        <f t="shared" si="0"/>
        <v>27569.48333333333</v>
      </c>
      <c r="L6" s="40"/>
      <c r="M6" s="40"/>
      <c r="N6" s="41"/>
      <c r="O6" s="41"/>
      <c r="P6" s="41"/>
      <c r="Q6" s="41"/>
      <c r="R6" s="41"/>
      <c r="S6" s="41"/>
      <c r="T6" s="41"/>
    </row>
    <row r="7" spans="1:20" s="38" customFormat="1" ht="26.25" customHeight="1" x14ac:dyDescent="0.35">
      <c r="A7" s="28"/>
      <c r="B7" s="38" t="s">
        <v>52</v>
      </c>
      <c r="C7" s="42">
        <f>SUM(C8:C47)</f>
        <v>305592</v>
      </c>
      <c r="D7" s="42">
        <f t="shared" ref="D7:J7" si="1">SUM(D8:D47)</f>
        <v>382715.74000000005</v>
      </c>
      <c r="E7" s="42">
        <f t="shared" si="1"/>
        <v>179682</v>
      </c>
      <c r="F7" s="42">
        <f t="shared" si="1"/>
        <v>213879.29</v>
      </c>
      <c r="G7" s="42">
        <f t="shared" si="1"/>
        <v>62318</v>
      </c>
      <c r="H7" s="42">
        <f t="shared" si="1"/>
        <v>87246.239999999991</v>
      </c>
      <c r="I7" s="42">
        <f t="shared" si="1"/>
        <v>16630</v>
      </c>
      <c r="J7" s="42">
        <f t="shared" si="1"/>
        <v>21029.149999999998</v>
      </c>
      <c r="L7" s="41"/>
      <c r="M7" s="41"/>
      <c r="N7" s="41"/>
      <c r="O7" s="41"/>
      <c r="P7" s="41"/>
      <c r="Q7" s="41"/>
      <c r="R7" s="41"/>
      <c r="S7" s="41"/>
    </row>
    <row r="8" spans="1:20" s="33" customFormat="1" ht="12.5" x14ac:dyDescent="0.35">
      <c r="A8" s="29">
        <v>51</v>
      </c>
      <c r="B8" s="33" t="s">
        <v>5</v>
      </c>
      <c r="C8" s="43">
        <v>7377</v>
      </c>
      <c r="D8" s="43">
        <v>7365</v>
      </c>
      <c r="E8" s="43">
        <v>4321</v>
      </c>
      <c r="F8" s="43">
        <v>4354</v>
      </c>
      <c r="G8" s="43">
        <v>2882</v>
      </c>
      <c r="H8" s="43">
        <v>2905</v>
      </c>
      <c r="I8" s="43">
        <v>939</v>
      </c>
      <c r="J8" s="43">
        <v>454</v>
      </c>
      <c r="L8" s="41"/>
      <c r="M8" s="41"/>
      <c r="N8" s="41"/>
      <c r="O8" s="41"/>
      <c r="P8" s="41"/>
      <c r="Q8" s="41"/>
      <c r="R8" s="41"/>
      <c r="S8" s="41"/>
    </row>
    <row r="9" spans="1:20" s="33" customFormat="1" ht="12.5" x14ac:dyDescent="0.35">
      <c r="A9" s="29">
        <v>52</v>
      </c>
      <c r="B9" s="33" t="s">
        <v>6</v>
      </c>
      <c r="C9" s="43">
        <v>3299</v>
      </c>
      <c r="D9" s="43">
        <v>3994</v>
      </c>
      <c r="E9" s="43">
        <v>550</v>
      </c>
      <c r="F9" s="43">
        <v>729</v>
      </c>
      <c r="G9" s="43">
        <v>0</v>
      </c>
      <c r="H9" s="43">
        <v>0</v>
      </c>
      <c r="I9" s="43">
        <v>1017</v>
      </c>
      <c r="J9" s="43">
        <v>0</v>
      </c>
      <c r="L9" s="41"/>
      <c r="M9" s="41"/>
      <c r="N9" s="41"/>
      <c r="O9" s="41"/>
      <c r="P9" s="41"/>
      <c r="Q9" s="41"/>
      <c r="R9" s="41"/>
      <c r="S9" s="41"/>
    </row>
    <row r="10" spans="1:20" s="33" customFormat="1" ht="13.5" customHeight="1" x14ac:dyDescent="0.35">
      <c r="A10" s="29">
        <v>86</v>
      </c>
      <c r="B10" s="33" t="s">
        <v>7</v>
      </c>
      <c r="C10" s="43">
        <v>7634</v>
      </c>
      <c r="D10" s="43">
        <v>19898</v>
      </c>
      <c r="E10" s="43">
        <v>6889</v>
      </c>
      <c r="F10" s="43">
        <v>13778</v>
      </c>
      <c r="G10" s="43">
        <v>2448</v>
      </c>
      <c r="H10" s="43">
        <v>6120</v>
      </c>
      <c r="I10" s="43">
        <v>0</v>
      </c>
      <c r="J10" s="43">
        <v>0</v>
      </c>
      <c r="L10" s="41"/>
      <c r="M10" s="41"/>
      <c r="N10" s="41"/>
      <c r="O10" s="41"/>
      <c r="P10" s="41"/>
      <c r="Q10" s="41"/>
      <c r="R10" s="41"/>
      <c r="S10" s="41"/>
    </row>
    <row r="11" spans="1:20" s="33" customFormat="1" ht="12.5" x14ac:dyDescent="0.35">
      <c r="A11" s="29">
        <v>53</v>
      </c>
      <c r="B11" s="33" t="s">
        <v>8</v>
      </c>
      <c r="C11" s="43">
        <v>3768</v>
      </c>
      <c r="D11" s="43">
        <v>5652</v>
      </c>
      <c r="E11" s="43">
        <v>1139</v>
      </c>
      <c r="F11" s="43">
        <v>636</v>
      </c>
      <c r="G11" s="43">
        <v>403</v>
      </c>
      <c r="H11" s="43">
        <v>230</v>
      </c>
      <c r="I11" s="43">
        <v>0</v>
      </c>
      <c r="J11" s="43">
        <v>0</v>
      </c>
      <c r="L11" s="41"/>
      <c r="M11" s="41"/>
      <c r="N11" s="41"/>
      <c r="O11" s="41"/>
      <c r="P11" s="41"/>
      <c r="Q11" s="41"/>
      <c r="R11" s="41"/>
      <c r="S11" s="41"/>
    </row>
    <row r="12" spans="1:20" s="33" customFormat="1" ht="12.5" x14ac:dyDescent="0.35">
      <c r="A12" s="29">
        <v>54</v>
      </c>
      <c r="B12" s="33" t="s">
        <v>9</v>
      </c>
      <c r="C12" s="43">
        <v>4422</v>
      </c>
      <c r="D12" s="43">
        <v>4681</v>
      </c>
      <c r="E12" s="43">
        <v>3185</v>
      </c>
      <c r="F12" s="43">
        <v>3482</v>
      </c>
      <c r="G12" s="43">
        <v>1903</v>
      </c>
      <c r="H12" s="43">
        <v>2340.9</v>
      </c>
      <c r="I12" s="43">
        <v>845</v>
      </c>
      <c r="J12" s="43">
        <v>843</v>
      </c>
      <c r="L12" s="41"/>
      <c r="M12" s="41"/>
      <c r="N12" s="41"/>
      <c r="O12" s="41"/>
      <c r="P12" s="41"/>
      <c r="Q12" s="41"/>
      <c r="R12" s="41"/>
      <c r="S12" s="41"/>
    </row>
    <row r="13" spans="1:20" s="33" customFormat="1" ht="12.5" x14ac:dyDescent="0.35">
      <c r="A13" s="29">
        <v>55</v>
      </c>
      <c r="B13" s="33" t="s">
        <v>10</v>
      </c>
      <c r="C13" s="43">
        <v>39862</v>
      </c>
      <c r="D13" s="43">
        <v>16041</v>
      </c>
      <c r="E13" s="43">
        <v>35131</v>
      </c>
      <c r="F13" s="43">
        <v>13987</v>
      </c>
      <c r="G13" s="43">
        <v>8243</v>
      </c>
      <c r="H13" s="43">
        <v>4056</v>
      </c>
      <c r="I13" s="43">
        <v>0</v>
      </c>
      <c r="J13" s="43">
        <v>0</v>
      </c>
      <c r="L13" s="41"/>
      <c r="M13" s="41"/>
      <c r="N13" s="41"/>
      <c r="O13" s="41"/>
      <c r="P13" s="41"/>
      <c r="Q13" s="41"/>
      <c r="R13" s="41"/>
      <c r="S13" s="41"/>
    </row>
    <row r="14" spans="1:20" s="33" customFormat="1" ht="12.5" x14ac:dyDescent="0.35">
      <c r="A14" s="29">
        <v>56</v>
      </c>
      <c r="B14" s="33" t="s">
        <v>11</v>
      </c>
      <c r="C14" s="43">
        <v>17964</v>
      </c>
      <c r="D14" s="43">
        <v>74171</v>
      </c>
      <c r="E14" s="43">
        <v>11465</v>
      </c>
      <c r="F14" s="43">
        <v>48890</v>
      </c>
      <c r="G14" s="43">
        <v>3331</v>
      </c>
      <c r="H14" s="43">
        <v>11892</v>
      </c>
      <c r="I14" s="43">
        <v>2295</v>
      </c>
      <c r="J14" s="43">
        <v>6773</v>
      </c>
      <c r="L14" s="41"/>
      <c r="M14" s="41"/>
      <c r="N14" s="41"/>
      <c r="O14" s="41"/>
      <c r="P14" s="41"/>
      <c r="Q14" s="41"/>
      <c r="R14" s="41"/>
      <c r="S14" s="41"/>
    </row>
    <row r="15" spans="1:20" s="33" customFormat="1" ht="12.5" x14ac:dyDescent="0.35">
      <c r="A15" s="29">
        <v>57</v>
      </c>
      <c r="B15" s="33" t="s">
        <v>12</v>
      </c>
      <c r="C15" s="43">
        <v>4509</v>
      </c>
      <c r="D15" s="43">
        <v>3575</v>
      </c>
      <c r="E15" s="43">
        <v>1908</v>
      </c>
      <c r="F15" s="43">
        <v>1696</v>
      </c>
      <c r="G15" s="43">
        <v>1355</v>
      </c>
      <c r="H15" s="43">
        <v>1246</v>
      </c>
      <c r="I15" s="43">
        <v>743</v>
      </c>
      <c r="J15" s="43">
        <v>228</v>
      </c>
      <c r="L15" s="41"/>
      <c r="M15" s="41"/>
      <c r="N15" s="41"/>
      <c r="O15" s="41"/>
      <c r="P15" s="41"/>
      <c r="Q15" s="41"/>
      <c r="R15" s="41"/>
      <c r="S15" s="41"/>
    </row>
    <row r="16" spans="1:20" s="33" customFormat="1" ht="12.5" x14ac:dyDescent="0.35">
      <c r="A16" s="29">
        <v>59</v>
      </c>
      <c r="B16" s="33" t="s">
        <v>13</v>
      </c>
      <c r="C16" s="43">
        <v>8777</v>
      </c>
      <c r="D16" s="43">
        <v>6381</v>
      </c>
      <c r="E16" s="43">
        <v>1679</v>
      </c>
      <c r="F16" s="43">
        <v>2432</v>
      </c>
      <c r="G16" s="43">
        <v>456</v>
      </c>
      <c r="H16" s="43">
        <v>646</v>
      </c>
      <c r="I16" s="43">
        <v>0</v>
      </c>
      <c r="J16" s="43">
        <v>0</v>
      </c>
      <c r="L16" s="41"/>
      <c r="M16" s="41"/>
      <c r="N16" s="41"/>
      <c r="O16" s="41"/>
      <c r="P16" s="41"/>
      <c r="Q16" s="41"/>
      <c r="R16" s="41"/>
      <c r="S16" s="41"/>
    </row>
    <row r="17" spans="1:19" s="33" customFormat="1" ht="12.5" x14ac:dyDescent="0.35">
      <c r="A17" s="29">
        <v>60</v>
      </c>
      <c r="B17" s="33" t="s">
        <v>14</v>
      </c>
      <c r="C17" s="43">
        <v>10658</v>
      </c>
      <c r="D17" s="43">
        <v>18073.599999999999</v>
      </c>
      <c r="E17" s="43">
        <v>8374</v>
      </c>
      <c r="F17" s="43">
        <v>13977.76</v>
      </c>
      <c r="G17" s="43">
        <v>3537</v>
      </c>
      <c r="H17" s="43">
        <v>6545</v>
      </c>
      <c r="I17" s="43">
        <v>4131</v>
      </c>
      <c r="J17" s="43">
        <v>5023</v>
      </c>
      <c r="L17" s="41"/>
      <c r="M17" s="41"/>
      <c r="N17" s="41"/>
      <c r="O17" s="41"/>
      <c r="P17" s="41"/>
      <c r="Q17" s="41"/>
      <c r="R17" s="41"/>
      <c r="S17" s="41"/>
    </row>
    <row r="18" spans="1:19" s="33" customFormat="1" ht="12.5" x14ac:dyDescent="0.35">
      <c r="A18" s="29">
        <v>61</v>
      </c>
      <c r="B18" s="44" t="s">
        <v>53</v>
      </c>
      <c r="C18" s="43">
        <v>8774</v>
      </c>
      <c r="D18" s="43">
        <v>10832</v>
      </c>
      <c r="E18" s="43">
        <v>5789</v>
      </c>
      <c r="F18" s="43">
        <v>7497</v>
      </c>
      <c r="G18" s="43">
        <v>1476</v>
      </c>
      <c r="H18" s="43">
        <v>1744</v>
      </c>
      <c r="I18" s="43">
        <v>0</v>
      </c>
      <c r="J18" s="43">
        <v>0</v>
      </c>
      <c r="L18" s="41"/>
      <c r="M18" s="41"/>
      <c r="N18" s="41"/>
      <c r="O18" s="41"/>
      <c r="P18" s="41"/>
      <c r="Q18" s="41"/>
      <c r="R18" s="41"/>
      <c r="S18" s="41"/>
    </row>
    <row r="19" spans="1:19" s="33" customFormat="1" ht="12.5" x14ac:dyDescent="0.35">
      <c r="A19" s="29"/>
      <c r="B19" s="44" t="s">
        <v>126</v>
      </c>
      <c r="C19" s="43">
        <v>12371</v>
      </c>
      <c r="D19" s="43">
        <v>16547</v>
      </c>
      <c r="E19" s="43">
        <v>7980</v>
      </c>
      <c r="F19" s="43">
        <v>11000</v>
      </c>
      <c r="G19" s="43">
        <v>0</v>
      </c>
      <c r="H19" s="43">
        <v>0</v>
      </c>
      <c r="I19" s="43">
        <v>88</v>
      </c>
      <c r="J19" s="43">
        <v>48</v>
      </c>
      <c r="L19" s="41"/>
      <c r="M19" s="41"/>
      <c r="N19" s="41"/>
      <c r="O19" s="41"/>
      <c r="P19" s="41"/>
      <c r="Q19" s="41"/>
      <c r="R19" s="41"/>
      <c r="S19" s="41"/>
    </row>
    <row r="20" spans="1:19" s="33" customFormat="1" ht="12.5" x14ac:dyDescent="0.35">
      <c r="A20" s="29">
        <v>62</v>
      </c>
      <c r="B20" s="33" t="s">
        <v>16</v>
      </c>
      <c r="C20" s="43" t="s">
        <v>127</v>
      </c>
      <c r="D20" s="43" t="s">
        <v>127</v>
      </c>
      <c r="E20" s="43" t="s">
        <v>127</v>
      </c>
      <c r="F20" s="43" t="s">
        <v>127</v>
      </c>
      <c r="G20" s="43" t="s">
        <v>127</v>
      </c>
      <c r="H20" s="43" t="s">
        <v>127</v>
      </c>
      <c r="I20" s="43" t="s">
        <v>127</v>
      </c>
      <c r="J20" s="43" t="s">
        <v>127</v>
      </c>
      <c r="L20" s="41"/>
      <c r="M20" s="41"/>
      <c r="N20" s="41"/>
      <c r="O20" s="41"/>
      <c r="P20" s="41"/>
      <c r="Q20" s="41"/>
      <c r="R20" s="41"/>
      <c r="S20" s="41"/>
    </row>
    <row r="21" spans="1:19" s="33" customFormat="1" ht="12.5" x14ac:dyDescent="0.35">
      <c r="A21" s="29">
        <v>58</v>
      </c>
      <c r="B21" s="33" t="s">
        <v>17</v>
      </c>
      <c r="C21" s="43">
        <v>18915</v>
      </c>
      <c r="D21" s="43">
        <v>14964</v>
      </c>
      <c r="E21" s="43">
        <v>7136</v>
      </c>
      <c r="F21" s="43">
        <v>5994</v>
      </c>
      <c r="G21" s="43">
        <v>1086</v>
      </c>
      <c r="H21" s="43">
        <v>1146</v>
      </c>
      <c r="I21" s="43">
        <v>0</v>
      </c>
      <c r="J21" s="43">
        <v>0</v>
      </c>
      <c r="L21" s="41"/>
      <c r="M21" s="41"/>
      <c r="N21" s="41"/>
      <c r="O21" s="41"/>
      <c r="P21" s="41"/>
      <c r="Q21" s="41"/>
      <c r="R21" s="41"/>
      <c r="S21" s="41"/>
    </row>
    <row r="22" spans="1:19" s="33" customFormat="1" ht="12.5" x14ac:dyDescent="0.35">
      <c r="A22" s="29">
        <v>63</v>
      </c>
      <c r="B22" s="33" t="s">
        <v>18</v>
      </c>
      <c r="C22" s="43">
        <v>9240</v>
      </c>
      <c r="D22" s="43">
        <v>17057</v>
      </c>
      <c r="E22" s="43">
        <v>6226</v>
      </c>
      <c r="F22" s="43">
        <v>10447</v>
      </c>
      <c r="G22" s="43">
        <v>5015</v>
      </c>
      <c r="H22" s="43">
        <v>7954.5</v>
      </c>
      <c r="I22" s="43" t="s">
        <v>163</v>
      </c>
      <c r="J22" s="43" t="s">
        <v>163</v>
      </c>
      <c r="L22" s="41"/>
      <c r="M22" s="41"/>
      <c r="N22" s="41"/>
      <c r="O22" s="41"/>
      <c r="P22" s="41"/>
      <c r="Q22" s="41"/>
      <c r="R22" s="41"/>
      <c r="S22" s="41"/>
    </row>
    <row r="23" spans="1:19" s="33" customFormat="1" ht="12.5" x14ac:dyDescent="0.35">
      <c r="A23" s="29">
        <v>64</v>
      </c>
      <c r="B23" s="33" t="s">
        <v>19</v>
      </c>
      <c r="C23" s="43">
        <v>9488</v>
      </c>
      <c r="D23" s="43">
        <v>8169</v>
      </c>
      <c r="E23" s="43">
        <v>5461</v>
      </c>
      <c r="F23" s="43">
        <v>0</v>
      </c>
      <c r="G23" s="43">
        <v>2343</v>
      </c>
      <c r="H23" s="43">
        <v>0</v>
      </c>
      <c r="I23" s="43">
        <v>999</v>
      </c>
      <c r="J23" s="43">
        <v>839</v>
      </c>
      <c r="L23" s="41"/>
      <c r="M23" s="41"/>
      <c r="N23" s="41"/>
      <c r="O23" s="41"/>
      <c r="P23" s="41"/>
      <c r="Q23" s="41"/>
      <c r="R23" s="41"/>
      <c r="S23" s="41"/>
    </row>
    <row r="24" spans="1:19" s="33" customFormat="1" ht="12.5" x14ac:dyDescent="0.35">
      <c r="A24" s="29">
        <v>65</v>
      </c>
      <c r="B24" s="33" t="s">
        <v>20</v>
      </c>
      <c r="C24" s="43">
        <v>7147</v>
      </c>
      <c r="D24" s="43">
        <v>10720</v>
      </c>
      <c r="E24" s="43">
        <v>3782</v>
      </c>
      <c r="F24" s="43">
        <v>5673</v>
      </c>
      <c r="G24" s="43">
        <v>2220</v>
      </c>
      <c r="H24" s="43">
        <v>3330</v>
      </c>
      <c r="I24" s="43">
        <v>0</v>
      </c>
      <c r="J24" s="43">
        <v>0</v>
      </c>
      <c r="L24" s="41"/>
      <c r="M24" s="41"/>
      <c r="N24" s="41"/>
      <c r="O24" s="41"/>
      <c r="P24" s="41"/>
      <c r="Q24" s="41"/>
      <c r="R24" s="41"/>
      <c r="S24" s="41"/>
    </row>
    <row r="25" spans="1:19" s="33" customFormat="1" ht="12.5" x14ac:dyDescent="0.35">
      <c r="A25" s="29">
        <v>67</v>
      </c>
      <c r="B25" s="33" t="s">
        <v>23</v>
      </c>
      <c r="C25" s="43">
        <v>6256</v>
      </c>
      <c r="D25" s="43">
        <v>8356</v>
      </c>
      <c r="E25" s="43">
        <v>3643</v>
      </c>
      <c r="F25" s="43">
        <v>1214.83</v>
      </c>
      <c r="G25" s="43">
        <v>0</v>
      </c>
      <c r="H25" s="43">
        <v>0</v>
      </c>
      <c r="I25" s="43">
        <v>215</v>
      </c>
      <c r="J25" s="43">
        <v>71.599999999999994</v>
      </c>
      <c r="L25" s="41"/>
      <c r="M25" s="41"/>
      <c r="N25" s="41"/>
      <c r="O25" s="41"/>
      <c r="P25" s="41"/>
      <c r="Q25" s="41"/>
      <c r="R25" s="41"/>
      <c r="S25" s="41"/>
    </row>
    <row r="26" spans="1:19" s="33" customFormat="1" ht="12.5" x14ac:dyDescent="0.35">
      <c r="A26" s="29">
        <v>68</v>
      </c>
      <c r="B26" s="33" t="s">
        <v>54</v>
      </c>
      <c r="C26" s="43">
        <v>4232</v>
      </c>
      <c r="D26" s="43">
        <v>4884</v>
      </c>
      <c r="E26" s="43">
        <v>2388</v>
      </c>
      <c r="F26" s="43">
        <v>3002</v>
      </c>
      <c r="G26" s="43">
        <v>1648</v>
      </c>
      <c r="H26" s="43">
        <v>2071</v>
      </c>
      <c r="I26" s="43">
        <v>0</v>
      </c>
      <c r="J26" s="43">
        <v>0</v>
      </c>
      <c r="L26" s="41"/>
      <c r="M26" s="41"/>
      <c r="N26" s="41"/>
      <c r="O26" s="41"/>
      <c r="P26" s="41"/>
      <c r="Q26" s="41"/>
      <c r="R26" s="41"/>
      <c r="S26" s="41"/>
    </row>
    <row r="27" spans="1:19" s="33" customFormat="1" ht="12.5" x14ac:dyDescent="0.35">
      <c r="A27" s="29">
        <v>69</v>
      </c>
      <c r="B27" s="33" t="s">
        <v>25</v>
      </c>
      <c r="C27" s="43">
        <v>4852</v>
      </c>
      <c r="D27" s="43">
        <v>9704</v>
      </c>
      <c r="E27" s="43">
        <v>1794</v>
      </c>
      <c r="F27" s="43">
        <v>3588</v>
      </c>
      <c r="G27" s="43">
        <v>617</v>
      </c>
      <c r="H27" s="43">
        <v>1234</v>
      </c>
      <c r="I27" s="43">
        <v>1865</v>
      </c>
      <c r="J27" s="43">
        <v>3730</v>
      </c>
      <c r="L27" s="41"/>
      <c r="M27" s="41"/>
      <c r="N27" s="41"/>
      <c r="O27" s="41"/>
      <c r="P27" s="41"/>
      <c r="Q27" s="41"/>
      <c r="R27" s="41"/>
      <c r="S27" s="41"/>
    </row>
    <row r="28" spans="1:19" s="33" customFormat="1" ht="12.5" x14ac:dyDescent="0.35">
      <c r="A28" s="29">
        <v>70</v>
      </c>
      <c r="B28" s="33" t="s">
        <v>26</v>
      </c>
      <c r="C28" s="43">
        <v>6300</v>
      </c>
      <c r="D28" s="43">
        <v>5240</v>
      </c>
      <c r="E28" s="43">
        <v>2640</v>
      </c>
      <c r="F28" s="43">
        <v>2026</v>
      </c>
      <c r="G28" s="43">
        <v>1293</v>
      </c>
      <c r="H28" s="43">
        <v>1224</v>
      </c>
      <c r="I28" s="43">
        <v>0</v>
      </c>
      <c r="J28" s="43">
        <v>0</v>
      </c>
      <c r="L28" s="41"/>
      <c r="M28" s="41"/>
      <c r="N28" s="41"/>
      <c r="O28" s="41"/>
      <c r="P28" s="41"/>
      <c r="Q28" s="41"/>
      <c r="R28" s="41"/>
      <c r="S28" s="41"/>
    </row>
    <row r="29" spans="1:19" s="33" customFormat="1" ht="12.5" x14ac:dyDescent="0.35">
      <c r="A29" s="29">
        <v>71</v>
      </c>
      <c r="B29" s="33" t="s">
        <v>55</v>
      </c>
      <c r="C29" s="43">
        <v>777</v>
      </c>
      <c r="D29" s="43">
        <v>651</v>
      </c>
      <c r="E29" s="43">
        <v>641</v>
      </c>
      <c r="F29" s="43">
        <v>537</v>
      </c>
      <c r="G29" s="43">
        <v>0</v>
      </c>
      <c r="H29" s="43">
        <v>0</v>
      </c>
      <c r="I29" s="43">
        <v>261</v>
      </c>
      <c r="J29" s="43">
        <v>196</v>
      </c>
      <c r="L29" s="41"/>
      <c r="M29" s="41"/>
      <c r="N29" s="41"/>
      <c r="O29" s="41"/>
      <c r="P29" s="41"/>
      <c r="Q29" s="41"/>
      <c r="R29" s="41"/>
      <c r="S29" s="41"/>
    </row>
    <row r="30" spans="1:19" s="33" customFormat="1" ht="12.5" x14ac:dyDescent="0.35">
      <c r="A30" s="29">
        <v>73</v>
      </c>
      <c r="B30" s="33" t="s">
        <v>29</v>
      </c>
      <c r="C30" s="43">
        <v>9000</v>
      </c>
      <c r="D30" s="43">
        <v>13500</v>
      </c>
      <c r="E30" s="43">
        <v>5049</v>
      </c>
      <c r="F30" s="43">
        <v>7573.5</v>
      </c>
      <c r="G30" s="43">
        <v>4973</v>
      </c>
      <c r="H30" s="43">
        <v>7459.5</v>
      </c>
      <c r="I30" s="43">
        <v>0</v>
      </c>
      <c r="J30" s="43">
        <v>0</v>
      </c>
      <c r="K30" s="112"/>
      <c r="L30" s="41"/>
      <c r="M30" s="41"/>
      <c r="N30" s="41"/>
      <c r="O30" s="41"/>
      <c r="P30" s="41"/>
      <c r="Q30" s="41"/>
      <c r="R30" s="41"/>
      <c r="S30" s="41"/>
    </row>
    <row r="31" spans="1:19" s="33" customFormat="1" ht="12.5" x14ac:dyDescent="0.35">
      <c r="A31" s="29">
        <v>74</v>
      </c>
      <c r="B31" s="33" t="s">
        <v>30</v>
      </c>
      <c r="C31" s="43">
        <v>11948</v>
      </c>
      <c r="D31" s="43">
        <v>17600</v>
      </c>
      <c r="E31" s="43">
        <v>6825</v>
      </c>
      <c r="F31" s="43">
        <v>8798</v>
      </c>
      <c r="G31" s="43">
        <v>1464</v>
      </c>
      <c r="H31" s="43">
        <v>1888</v>
      </c>
      <c r="I31" s="43">
        <v>0</v>
      </c>
      <c r="J31" s="43">
        <v>0</v>
      </c>
      <c r="L31" s="41"/>
      <c r="M31" s="41"/>
      <c r="N31" s="41"/>
      <c r="O31" s="41"/>
      <c r="P31" s="41"/>
      <c r="Q31" s="41"/>
      <c r="R31" s="41"/>
      <c r="S31" s="41"/>
    </row>
    <row r="32" spans="1:19" s="33" customFormat="1" ht="12.5" x14ac:dyDescent="0.35">
      <c r="A32" s="29">
        <v>75</v>
      </c>
      <c r="B32" s="33" t="s">
        <v>31</v>
      </c>
      <c r="C32" s="43">
        <v>8624</v>
      </c>
      <c r="D32" s="43">
        <v>15092</v>
      </c>
      <c r="E32" s="43">
        <v>4104</v>
      </c>
      <c r="F32" s="43">
        <v>7182</v>
      </c>
      <c r="G32" s="43">
        <v>2071</v>
      </c>
      <c r="H32" s="43">
        <v>3624</v>
      </c>
      <c r="I32" s="43">
        <v>463</v>
      </c>
      <c r="J32" s="43">
        <v>810</v>
      </c>
      <c r="L32" s="41"/>
      <c r="M32" s="41"/>
      <c r="N32" s="41"/>
      <c r="O32" s="41"/>
      <c r="P32" s="41"/>
      <c r="Q32" s="41"/>
      <c r="R32" s="41"/>
      <c r="S32" s="41"/>
    </row>
    <row r="33" spans="1:19" s="33" customFormat="1" ht="12.5" x14ac:dyDescent="0.35">
      <c r="A33" s="29">
        <v>76</v>
      </c>
      <c r="B33" s="33" t="s">
        <v>32</v>
      </c>
      <c r="C33" s="43">
        <v>6232</v>
      </c>
      <c r="D33" s="43">
        <v>5491</v>
      </c>
      <c r="E33" s="43">
        <v>2188</v>
      </c>
      <c r="F33" s="43">
        <v>2744</v>
      </c>
      <c r="G33" s="43">
        <v>2195</v>
      </c>
      <c r="H33" s="43">
        <v>2918</v>
      </c>
      <c r="I33" s="43">
        <v>26</v>
      </c>
      <c r="J33" s="43">
        <v>39</v>
      </c>
      <c r="L33" s="41"/>
      <c r="M33" s="41"/>
      <c r="N33" s="41"/>
      <c r="O33" s="41"/>
      <c r="P33" s="41"/>
      <c r="Q33" s="41"/>
      <c r="R33" s="41"/>
      <c r="S33" s="41"/>
    </row>
    <row r="34" spans="1:19" s="33" customFormat="1" ht="12.5" x14ac:dyDescent="0.35">
      <c r="A34" s="29">
        <v>79</v>
      </c>
      <c r="B34" s="33" t="s">
        <v>34</v>
      </c>
      <c r="C34" s="43">
        <v>3291</v>
      </c>
      <c r="D34" s="43">
        <v>3437.33</v>
      </c>
      <c r="E34" s="43">
        <v>1802</v>
      </c>
      <c r="F34" s="43">
        <v>1880</v>
      </c>
      <c r="G34" s="43">
        <v>0</v>
      </c>
      <c r="H34" s="43">
        <v>0</v>
      </c>
      <c r="I34" s="43">
        <v>2</v>
      </c>
      <c r="J34" s="43">
        <v>2.2999999999999998</v>
      </c>
      <c r="L34" s="41"/>
      <c r="M34" s="41"/>
      <c r="N34" s="41"/>
      <c r="O34" s="41"/>
      <c r="P34" s="41"/>
      <c r="Q34" s="41"/>
      <c r="R34" s="41"/>
      <c r="S34" s="41"/>
    </row>
    <row r="35" spans="1:19" s="33" customFormat="1" ht="12.5" x14ac:dyDescent="0.35">
      <c r="A35" s="29">
        <v>80</v>
      </c>
      <c r="B35" s="33" t="s">
        <v>35</v>
      </c>
      <c r="C35" s="43">
        <v>2536</v>
      </c>
      <c r="D35" s="43">
        <v>3595</v>
      </c>
      <c r="E35" s="43">
        <v>1580</v>
      </c>
      <c r="F35" s="43">
        <v>2240</v>
      </c>
      <c r="G35" s="43">
        <v>0</v>
      </c>
      <c r="H35" s="43">
        <v>0</v>
      </c>
      <c r="I35" s="43">
        <v>8</v>
      </c>
      <c r="J35" s="43">
        <v>3</v>
      </c>
      <c r="L35" s="41"/>
      <c r="M35" s="41"/>
      <c r="N35" s="41"/>
      <c r="O35" s="41"/>
      <c r="P35" s="41"/>
      <c r="Q35" s="41"/>
      <c r="R35" s="41"/>
      <c r="S35" s="41"/>
    </row>
    <row r="36" spans="1:19" s="33" customFormat="1" ht="12.5" x14ac:dyDescent="0.35">
      <c r="A36" s="29">
        <v>81</v>
      </c>
      <c r="B36" s="33" t="s">
        <v>36</v>
      </c>
      <c r="C36" s="43">
        <v>2217</v>
      </c>
      <c r="D36" s="43">
        <v>1773.17</v>
      </c>
      <c r="E36" s="43">
        <v>938</v>
      </c>
      <c r="F36" s="43">
        <v>938</v>
      </c>
      <c r="G36" s="43">
        <v>498</v>
      </c>
      <c r="H36" s="43">
        <v>498</v>
      </c>
      <c r="I36" s="43">
        <v>48</v>
      </c>
      <c r="J36" s="43">
        <v>48</v>
      </c>
      <c r="L36" s="41"/>
      <c r="M36" s="41"/>
      <c r="N36" s="41"/>
      <c r="O36" s="41"/>
      <c r="P36" s="41"/>
      <c r="Q36" s="41"/>
      <c r="R36" s="41"/>
      <c r="S36" s="41"/>
    </row>
    <row r="37" spans="1:19" s="33" customFormat="1" ht="12.5" x14ac:dyDescent="0.35">
      <c r="A37" s="29">
        <v>83</v>
      </c>
      <c r="B37" s="33" t="s">
        <v>37</v>
      </c>
      <c r="C37" s="43">
        <v>8616</v>
      </c>
      <c r="D37" s="43">
        <v>8180.25</v>
      </c>
      <c r="E37" s="43">
        <v>4356</v>
      </c>
      <c r="F37" s="43">
        <v>4261.5</v>
      </c>
      <c r="G37" s="43">
        <v>1378</v>
      </c>
      <c r="H37" s="43">
        <v>1620</v>
      </c>
      <c r="I37" s="43">
        <v>176</v>
      </c>
      <c r="J37" s="43">
        <v>89.25</v>
      </c>
      <c r="L37" s="41"/>
      <c r="M37" s="41"/>
      <c r="N37" s="41"/>
      <c r="O37" s="41"/>
      <c r="P37" s="41"/>
      <c r="Q37" s="41"/>
      <c r="R37" s="41"/>
      <c r="S37" s="41"/>
    </row>
    <row r="38" spans="1:19" s="33" customFormat="1" ht="12.5" x14ac:dyDescent="0.35">
      <c r="A38" s="29">
        <v>84</v>
      </c>
      <c r="B38" s="33" t="s">
        <v>38</v>
      </c>
      <c r="C38" s="43">
        <v>3894</v>
      </c>
      <c r="D38" s="43">
        <v>7751</v>
      </c>
      <c r="E38" s="43">
        <v>1959</v>
      </c>
      <c r="F38" s="43">
        <v>3791</v>
      </c>
      <c r="G38" s="43">
        <v>1645</v>
      </c>
      <c r="H38" s="43">
        <v>3266</v>
      </c>
      <c r="I38" s="43">
        <v>562</v>
      </c>
      <c r="J38" s="43">
        <v>791</v>
      </c>
      <c r="L38" s="41"/>
      <c r="M38" s="41"/>
      <c r="N38" s="41"/>
      <c r="O38" s="41"/>
      <c r="P38" s="41"/>
      <c r="Q38" s="41"/>
      <c r="R38" s="41"/>
      <c r="S38" s="41"/>
    </row>
    <row r="39" spans="1:19" s="33" customFormat="1" ht="12.5" x14ac:dyDescent="0.35">
      <c r="A39" s="29">
        <v>85</v>
      </c>
      <c r="B39" s="33" t="s">
        <v>39</v>
      </c>
      <c r="C39" s="43">
        <v>3245</v>
      </c>
      <c r="D39" s="43">
        <v>5478</v>
      </c>
      <c r="E39" s="43">
        <v>2099</v>
      </c>
      <c r="F39" s="43">
        <v>4479</v>
      </c>
      <c r="G39" s="43">
        <v>0</v>
      </c>
      <c r="H39" s="43">
        <v>0</v>
      </c>
      <c r="I39" s="43">
        <v>58</v>
      </c>
      <c r="J39" s="43">
        <v>58</v>
      </c>
      <c r="L39" s="41"/>
      <c r="M39" s="41"/>
      <c r="N39" s="41"/>
      <c r="O39" s="41"/>
      <c r="P39" s="41"/>
      <c r="Q39" s="41"/>
      <c r="R39" s="41"/>
      <c r="S39" s="41"/>
    </row>
    <row r="40" spans="1:19" s="33" customFormat="1" ht="12.5" x14ac:dyDescent="0.35">
      <c r="A40" s="29">
        <v>87</v>
      </c>
      <c r="B40" s="33" t="s">
        <v>40</v>
      </c>
      <c r="C40" s="43">
        <v>3031</v>
      </c>
      <c r="D40" s="43">
        <v>3811</v>
      </c>
      <c r="E40" s="43">
        <v>1049</v>
      </c>
      <c r="F40" s="43">
        <v>1161</v>
      </c>
      <c r="G40" s="43">
        <v>0</v>
      </c>
      <c r="H40" s="43">
        <v>0</v>
      </c>
      <c r="I40" s="43">
        <v>510</v>
      </c>
      <c r="J40" s="43">
        <v>0</v>
      </c>
      <c r="L40" s="41"/>
      <c r="M40" s="41"/>
      <c r="N40" s="41"/>
      <c r="O40" s="41"/>
      <c r="P40" s="41"/>
      <c r="Q40" s="41"/>
      <c r="R40" s="41"/>
      <c r="S40" s="41"/>
    </row>
    <row r="41" spans="1:19" s="33" customFormat="1" ht="12.5" x14ac:dyDescent="0.35">
      <c r="A41" s="29">
        <v>90</v>
      </c>
      <c r="B41" s="33" t="s">
        <v>42</v>
      </c>
      <c r="C41" s="43">
        <v>27491</v>
      </c>
      <c r="D41" s="43">
        <v>0</v>
      </c>
      <c r="E41" s="43">
        <v>15632</v>
      </c>
      <c r="F41" s="43">
        <v>0</v>
      </c>
      <c r="G41" s="43">
        <v>2614</v>
      </c>
      <c r="H41" s="43">
        <v>0</v>
      </c>
      <c r="I41" s="43">
        <v>396</v>
      </c>
      <c r="J41" s="43">
        <v>0</v>
      </c>
      <c r="L41" s="41"/>
      <c r="M41" s="41"/>
      <c r="N41" s="41"/>
      <c r="O41" s="41"/>
      <c r="P41" s="41"/>
      <c r="Q41" s="41"/>
      <c r="R41" s="41"/>
      <c r="S41" s="41"/>
    </row>
    <row r="42" spans="1:19" s="33" customFormat="1" ht="12.5" x14ac:dyDescent="0.35">
      <c r="A42" s="29">
        <v>91</v>
      </c>
      <c r="B42" s="33" t="s">
        <v>43</v>
      </c>
      <c r="C42" s="43">
        <v>2987</v>
      </c>
      <c r="D42" s="43">
        <v>5577.3900000000476</v>
      </c>
      <c r="E42" s="43">
        <v>199</v>
      </c>
      <c r="F42" s="43">
        <v>749.69999999999982</v>
      </c>
      <c r="G42" s="43">
        <v>1824</v>
      </c>
      <c r="H42" s="43">
        <v>4467.34</v>
      </c>
      <c r="I42" s="43">
        <v>0</v>
      </c>
      <c r="J42" s="43">
        <v>0</v>
      </c>
      <c r="L42" s="41"/>
      <c r="M42" s="41"/>
      <c r="N42" s="41"/>
      <c r="O42" s="41"/>
      <c r="P42" s="41"/>
      <c r="Q42" s="41"/>
      <c r="R42" s="41"/>
      <c r="S42" s="41"/>
    </row>
    <row r="43" spans="1:19" s="33" customFormat="1" ht="12.5" x14ac:dyDescent="0.35">
      <c r="A43" s="29">
        <v>92</v>
      </c>
      <c r="B43" s="33" t="s">
        <v>44</v>
      </c>
      <c r="C43" s="43">
        <v>5137</v>
      </c>
      <c r="D43" s="43">
        <v>11058</v>
      </c>
      <c r="E43" s="43">
        <v>1748</v>
      </c>
      <c r="F43" s="43">
        <v>4025</v>
      </c>
      <c r="G43" s="43">
        <v>1524</v>
      </c>
      <c r="H43" s="43">
        <v>3322</v>
      </c>
      <c r="I43" s="43">
        <v>784</v>
      </c>
      <c r="J43" s="43">
        <v>784</v>
      </c>
      <c r="L43" s="41"/>
      <c r="M43" s="41"/>
      <c r="N43" s="41"/>
      <c r="O43" s="41"/>
      <c r="P43" s="41"/>
      <c r="Q43" s="41"/>
      <c r="R43" s="41"/>
      <c r="S43" s="41"/>
    </row>
    <row r="44" spans="1:19" s="33" customFormat="1" ht="12.5" x14ac:dyDescent="0.35">
      <c r="A44" s="29">
        <v>94</v>
      </c>
      <c r="B44" s="33" t="s">
        <v>46</v>
      </c>
      <c r="C44" s="43">
        <v>4158</v>
      </c>
      <c r="D44" s="43">
        <v>4158</v>
      </c>
      <c r="E44" s="43">
        <v>2607</v>
      </c>
      <c r="F44" s="43">
        <v>2607</v>
      </c>
      <c r="G44" s="43">
        <v>756</v>
      </c>
      <c r="H44" s="43">
        <v>756</v>
      </c>
      <c r="I44" s="43">
        <v>199</v>
      </c>
      <c r="J44" s="43">
        <v>199</v>
      </c>
      <c r="L44" s="41"/>
      <c r="M44" s="41"/>
      <c r="N44" s="41"/>
      <c r="O44" s="41"/>
      <c r="P44" s="41"/>
      <c r="Q44" s="41"/>
      <c r="R44" s="41"/>
      <c r="S44" s="41"/>
    </row>
    <row r="45" spans="1:19" s="33" customFormat="1" ht="12.5" x14ac:dyDescent="0.35">
      <c r="A45" s="29">
        <v>96</v>
      </c>
      <c r="B45" s="33" t="s">
        <v>48</v>
      </c>
      <c r="C45" s="43">
        <v>6491</v>
      </c>
      <c r="D45" s="43">
        <v>9234</v>
      </c>
      <c r="E45" s="43">
        <v>5371</v>
      </c>
      <c r="F45" s="43">
        <v>6491</v>
      </c>
      <c r="G45" s="43">
        <v>1120</v>
      </c>
      <c r="H45" s="43">
        <v>2743</v>
      </c>
      <c r="I45" s="43">
        <v>0</v>
      </c>
      <c r="J45" s="43">
        <v>0</v>
      </c>
      <c r="L45" s="41"/>
      <c r="M45" s="41"/>
      <c r="N45" s="41"/>
      <c r="O45" s="41"/>
      <c r="P45" s="41"/>
      <c r="Q45" s="41"/>
      <c r="R45" s="41"/>
      <c r="S45" s="41"/>
    </row>
    <row r="46" spans="1:19" s="33" customFormat="1" ht="12.5" x14ac:dyDescent="0.35">
      <c r="A46" s="29">
        <v>98</v>
      </c>
      <c r="B46" s="33" t="s">
        <v>50</v>
      </c>
      <c r="C46" s="43" t="s">
        <v>127</v>
      </c>
      <c r="D46" s="43" t="s">
        <v>127</v>
      </c>
      <c r="E46" s="43" t="s">
        <v>127</v>
      </c>
      <c r="F46" s="43" t="s">
        <v>127</v>
      </c>
      <c r="G46" s="43" t="s">
        <v>127</v>
      </c>
      <c r="H46" s="43" t="s">
        <v>127</v>
      </c>
      <c r="I46" s="43" t="s">
        <v>127</v>
      </c>
      <c r="J46" s="43" t="s">
        <v>127</v>
      </c>
      <c r="L46" s="41"/>
      <c r="M46" s="41"/>
      <c r="N46" s="41"/>
      <c r="O46" s="41"/>
      <c r="P46" s="41"/>
      <c r="Q46" s="41"/>
      <c r="R46" s="41"/>
      <c r="S46" s="41"/>
    </row>
    <row r="47" spans="1:19" s="33" customFormat="1" ht="12.5" x14ac:dyDescent="0.35">
      <c r="A47" s="29">
        <v>72</v>
      </c>
      <c r="B47" s="33" t="s">
        <v>28</v>
      </c>
      <c r="C47" s="43">
        <v>72</v>
      </c>
      <c r="D47" s="43">
        <v>24</v>
      </c>
      <c r="E47" s="43">
        <v>55</v>
      </c>
      <c r="F47" s="43">
        <v>18</v>
      </c>
      <c r="G47" s="43">
        <v>0</v>
      </c>
      <c r="H47" s="43">
        <v>0</v>
      </c>
      <c r="I47" s="43">
        <v>0</v>
      </c>
      <c r="J47" s="43">
        <v>0</v>
      </c>
      <c r="L47" s="41"/>
      <c r="M47" s="41"/>
      <c r="N47" s="41"/>
      <c r="O47" s="41"/>
      <c r="P47" s="41"/>
      <c r="Q47" s="41"/>
      <c r="R47" s="41"/>
      <c r="S47" s="41"/>
    </row>
    <row r="48" spans="1:19" s="38" customFormat="1" ht="26.25" customHeight="1" x14ac:dyDescent="0.35">
      <c r="B48" s="38" t="s">
        <v>56</v>
      </c>
      <c r="C48" s="42">
        <f>SUM(C49:C55)</f>
        <v>284606</v>
      </c>
      <c r="D48" s="42">
        <f t="shared" ref="D48:J48" si="2">SUM(D49:D55)</f>
        <v>460742.5</v>
      </c>
      <c r="E48" s="42">
        <f t="shared" si="2"/>
        <v>133448</v>
      </c>
      <c r="F48" s="42">
        <f t="shared" si="2"/>
        <v>224579.75</v>
      </c>
      <c r="G48" s="42">
        <f t="shared" si="2"/>
        <v>80154</v>
      </c>
      <c r="H48" s="42">
        <f t="shared" si="2"/>
        <v>163033.43333333335</v>
      </c>
      <c r="I48" s="42">
        <f t="shared" si="2"/>
        <v>10047</v>
      </c>
      <c r="J48" s="42">
        <f t="shared" si="2"/>
        <v>6540.333333333333</v>
      </c>
      <c r="L48" s="41"/>
      <c r="M48" s="41"/>
      <c r="N48" s="41"/>
      <c r="O48" s="41"/>
      <c r="P48" s="41"/>
      <c r="Q48" s="41"/>
      <c r="R48" s="41"/>
      <c r="S48" s="41"/>
    </row>
    <row r="49" spans="1:19" s="33" customFormat="1" ht="12.5" x14ac:dyDescent="0.35">
      <c r="A49" s="29">
        <v>66</v>
      </c>
      <c r="B49" s="33" t="s">
        <v>22</v>
      </c>
      <c r="C49" s="43">
        <v>27796</v>
      </c>
      <c r="D49" s="43">
        <v>35713</v>
      </c>
      <c r="E49" s="43">
        <v>10206</v>
      </c>
      <c r="F49" s="43">
        <v>14718</v>
      </c>
      <c r="G49" s="43">
        <v>5401</v>
      </c>
      <c r="H49" s="43">
        <v>11213.5</v>
      </c>
      <c r="I49" s="43">
        <v>117</v>
      </c>
      <c r="J49" s="43">
        <v>117</v>
      </c>
      <c r="L49" s="41"/>
      <c r="M49" s="41"/>
      <c r="N49" s="41"/>
      <c r="O49" s="41"/>
      <c r="P49" s="41"/>
      <c r="Q49" s="41"/>
      <c r="R49" s="41"/>
      <c r="S49" s="41"/>
    </row>
    <row r="50" spans="1:19" s="33" customFormat="1" ht="14.25" customHeight="1" x14ac:dyDescent="0.35">
      <c r="A50" s="29">
        <v>78</v>
      </c>
      <c r="B50" s="33" t="s">
        <v>33</v>
      </c>
      <c r="C50" s="43">
        <v>57679</v>
      </c>
      <c r="D50" s="43">
        <v>91709</v>
      </c>
      <c r="E50" s="43">
        <v>34870</v>
      </c>
      <c r="F50" s="43">
        <v>55443</v>
      </c>
      <c r="G50" s="43">
        <v>8008</v>
      </c>
      <c r="H50" s="43">
        <v>12732</v>
      </c>
      <c r="I50" s="43">
        <v>3214</v>
      </c>
      <c r="J50" s="43">
        <v>5110</v>
      </c>
      <c r="L50" s="41"/>
      <c r="M50" s="41"/>
      <c r="N50" s="41"/>
      <c r="O50" s="41"/>
      <c r="P50" s="41"/>
      <c r="Q50" s="41"/>
      <c r="R50" s="41"/>
      <c r="S50" s="41"/>
    </row>
    <row r="51" spans="1:19" s="33" customFormat="1" ht="15.75" customHeight="1" x14ac:dyDescent="0.35">
      <c r="A51" s="29">
        <v>89</v>
      </c>
      <c r="B51" s="33" t="s">
        <v>41</v>
      </c>
      <c r="C51" s="43">
        <v>20893</v>
      </c>
      <c r="D51" s="43">
        <v>21588.5</v>
      </c>
      <c r="E51" s="43">
        <v>8608</v>
      </c>
      <c r="F51" s="43">
        <v>5785.75</v>
      </c>
      <c r="G51" s="43">
        <v>4214</v>
      </c>
      <c r="H51" s="43">
        <v>2933.9333333333334</v>
      </c>
      <c r="I51" s="43">
        <v>378</v>
      </c>
      <c r="J51" s="43">
        <v>243.33333333333334</v>
      </c>
      <c r="L51" s="41"/>
      <c r="M51" s="41"/>
      <c r="N51" s="41"/>
      <c r="O51" s="41"/>
      <c r="P51" s="41"/>
      <c r="Q51" s="41"/>
      <c r="R51" s="41"/>
      <c r="S51" s="41"/>
    </row>
    <row r="52" spans="1:19" s="33" customFormat="1" ht="12.5" x14ac:dyDescent="0.35">
      <c r="A52" s="29">
        <v>93</v>
      </c>
      <c r="B52" s="33" t="s">
        <v>57</v>
      </c>
      <c r="C52" s="43">
        <v>29147</v>
      </c>
      <c r="D52" s="43">
        <v>15152</v>
      </c>
      <c r="E52" s="43">
        <v>12706</v>
      </c>
      <c r="F52" s="43">
        <v>7063</v>
      </c>
      <c r="G52" s="43">
        <v>5407</v>
      </c>
      <c r="H52" s="43">
        <v>3361</v>
      </c>
      <c r="I52" s="43">
        <v>4035</v>
      </c>
      <c r="J52" s="43">
        <v>1037</v>
      </c>
      <c r="L52" s="41"/>
      <c r="M52" s="41"/>
      <c r="N52" s="41"/>
      <c r="O52" s="41"/>
      <c r="P52" s="41"/>
      <c r="Q52" s="41"/>
      <c r="R52" s="41"/>
      <c r="S52" s="41"/>
    </row>
    <row r="53" spans="1:19" s="33" customFormat="1" ht="12.5" x14ac:dyDescent="0.35">
      <c r="A53" s="29">
        <v>95</v>
      </c>
      <c r="B53" s="33" t="s">
        <v>47</v>
      </c>
      <c r="C53" s="43">
        <v>26673</v>
      </c>
      <c r="D53" s="43">
        <v>100697</v>
      </c>
      <c r="E53" s="43">
        <v>14196</v>
      </c>
      <c r="F53" s="43">
        <v>53593</v>
      </c>
      <c r="G53" s="43">
        <v>15701</v>
      </c>
      <c r="H53" s="43">
        <v>59275</v>
      </c>
      <c r="I53" s="43">
        <v>0</v>
      </c>
      <c r="J53" s="43">
        <v>0</v>
      </c>
      <c r="L53" s="41"/>
      <c r="M53" s="41"/>
      <c r="N53" s="41"/>
      <c r="O53" s="41"/>
      <c r="P53" s="41"/>
      <c r="Q53" s="41"/>
      <c r="R53" s="41"/>
      <c r="S53" s="41"/>
    </row>
    <row r="54" spans="1:19" s="33" customFormat="1" ht="12.5" x14ac:dyDescent="0.35">
      <c r="A54" s="29">
        <v>97</v>
      </c>
      <c r="B54" s="33" t="s">
        <v>49</v>
      </c>
      <c r="C54" s="43">
        <v>37527</v>
      </c>
      <c r="D54" s="43">
        <v>37179</v>
      </c>
      <c r="E54" s="43">
        <v>16812</v>
      </c>
      <c r="F54" s="43">
        <v>16996</v>
      </c>
      <c r="G54" s="43">
        <v>11089</v>
      </c>
      <c r="H54" s="43">
        <v>12265</v>
      </c>
      <c r="I54" s="43">
        <v>27</v>
      </c>
      <c r="J54" s="43">
        <v>33</v>
      </c>
      <c r="L54" s="41"/>
      <c r="M54" s="41"/>
      <c r="N54" s="41"/>
      <c r="O54" s="41"/>
      <c r="P54" s="41"/>
      <c r="Q54" s="41"/>
      <c r="R54" s="41"/>
      <c r="S54" s="41"/>
    </row>
    <row r="55" spans="1:19" s="33" customFormat="1" ht="12.5" x14ac:dyDescent="0.35">
      <c r="A55" s="45">
        <v>77</v>
      </c>
      <c r="B55" s="99" t="s">
        <v>21</v>
      </c>
      <c r="C55" s="43">
        <v>84891</v>
      </c>
      <c r="D55" s="43">
        <v>158704</v>
      </c>
      <c r="E55" s="43">
        <v>36050</v>
      </c>
      <c r="F55" s="43">
        <v>70981</v>
      </c>
      <c r="G55" s="43">
        <v>30334</v>
      </c>
      <c r="H55" s="43">
        <v>61253</v>
      </c>
      <c r="I55" s="43">
        <v>2276</v>
      </c>
      <c r="J55" s="43">
        <v>0</v>
      </c>
      <c r="L55" s="41"/>
      <c r="M55" s="41"/>
      <c r="N55" s="41"/>
      <c r="O55" s="41"/>
      <c r="P55" s="41"/>
      <c r="Q55" s="41"/>
      <c r="R55" s="41"/>
      <c r="S55" s="41"/>
    </row>
    <row r="56" spans="1:19" s="33" customFormat="1" ht="6" customHeight="1" x14ac:dyDescent="0.35">
      <c r="B56" s="47"/>
      <c r="J56" s="48"/>
    </row>
    <row r="57" spans="1:19" s="33" customFormat="1" ht="12.5" x14ac:dyDescent="0.35">
      <c r="B57" s="33" t="s">
        <v>78</v>
      </c>
      <c r="J57" s="48"/>
    </row>
    <row r="58" spans="1:19" s="33" customFormat="1" ht="12.5" x14ac:dyDescent="0.35">
      <c r="J58" s="48"/>
    </row>
    <row r="59" spans="1:19" s="33" customFormat="1" x14ac:dyDescent="0.35">
      <c r="B59" s="49" t="s">
        <v>79</v>
      </c>
      <c r="J59" s="50"/>
    </row>
    <row r="61" spans="1:19" x14ac:dyDescent="0.3">
      <c r="B61" s="51" t="s">
        <v>80</v>
      </c>
    </row>
    <row r="62" spans="1:19" ht="9.75" customHeight="1" x14ac:dyDescent="0.3"/>
    <row r="66" spans="2:8" x14ac:dyDescent="0.3">
      <c r="B66" s="32" t="s">
        <v>133</v>
      </c>
    </row>
    <row r="67" spans="2:8" x14ac:dyDescent="0.3">
      <c r="B67" s="32" t="s">
        <v>132</v>
      </c>
    </row>
    <row r="70" spans="2:8" x14ac:dyDescent="0.3">
      <c r="B70" s="32" t="s">
        <v>134</v>
      </c>
      <c r="C70" s="104">
        <f>C7-C41</f>
        <v>278101</v>
      </c>
      <c r="D70" s="105">
        <f>D7</f>
        <v>382715.74000000005</v>
      </c>
    </row>
    <row r="71" spans="2:8" x14ac:dyDescent="0.3">
      <c r="B71" s="32" t="s">
        <v>42</v>
      </c>
      <c r="C71" s="104">
        <f>C41</f>
        <v>27491</v>
      </c>
      <c r="D71" s="106">
        <f>C71*(D70/C70)</f>
        <v>37832.436446974301</v>
      </c>
      <c r="E71" s="133" t="s">
        <v>135</v>
      </c>
      <c r="F71" s="133"/>
      <c r="G71" s="133"/>
      <c r="H71" s="133"/>
    </row>
  </sheetData>
  <mergeCells count="7">
    <mergeCell ref="E71:H71"/>
    <mergeCell ref="B1:J1"/>
    <mergeCell ref="B2:B3"/>
    <mergeCell ref="C2:D2"/>
    <mergeCell ref="E2:F2"/>
    <mergeCell ref="G2:H2"/>
    <mergeCell ref="I2:J2"/>
  </mergeCells>
  <pageMargins left="0.48" right="0.31" top="1" bottom="1" header="0.5" footer="0.5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</sheetPr>
  <dimension ref="A1:T61"/>
  <sheetViews>
    <sheetView showGridLines="0" zoomScale="85" zoomScaleNormal="85" workbookViewId="0">
      <pane xSplit="2" ySplit="3" topLeftCell="C13" activePane="bottomRight" state="frozen"/>
      <selection activeCell="B1" sqref="B1"/>
      <selection pane="topRight" activeCell="C1" sqref="C1"/>
      <selection pane="bottomLeft" activeCell="B4" sqref="B4"/>
      <selection pane="bottomRight" activeCell="G33" sqref="G33"/>
    </sheetView>
  </sheetViews>
  <sheetFormatPr defaultRowHeight="13" x14ac:dyDescent="0.3"/>
  <cols>
    <col min="1" max="1" width="2.7265625" style="32" hidden="1" customWidth="1"/>
    <col min="2" max="2" width="25.54296875" style="32" customWidth="1"/>
    <col min="3" max="3" width="11.453125" style="32" customWidth="1"/>
    <col min="4" max="5" width="11.453125" style="52" customWidth="1"/>
    <col min="6" max="6" width="13" style="52" customWidth="1"/>
    <col min="7" max="8" width="11.453125" style="52" customWidth="1"/>
    <col min="9" max="10" width="13.26953125" style="52" customWidth="1"/>
    <col min="11" max="11" width="9.26953125" style="32"/>
    <col min="12" max="13" width="11.26953125" style="32" bestFit="1" customWidth="1"/>
    <col min="14" max="256" width="9.26953125" style="32"/>
    <col min="257" max="257" width="0" style="32" hidden="1" customWidth="1"/>
    <col min="258" max="258" width="25.54296875" style="32" customWidth="1"/>
    <col min="259" max="261" width="11.453125" style="32" customWidth="1"/>
    <col min="262" max="262" width="13" style="32" customWidth="1"/>
    <col min="263" max="264" width="11.453125" style="32" customWidth="1"/>
    <col min="265" max="266" width="13.26953125" style="32" customWidth="1"/>
    <col min="267" max="512" width="9.26953125" style="32"/>
    <col min="513" max="513" width="0" style="32" hidden="1" customWidth="1"/>
    <col min="514" max="514" width="25.54296875" style="32" customWidth="1"/>
    <col min="515" max="517" width="11.453125" style="32" customWidth="1"/>
    <col min="518" max="518" width="13" style="32" customWidth="1"/>
    <col min="519" max="520" width="11.453125" style="32" customWidth="1"/>
    <col min="521" max="522" width="13.26953125" style="32" customWidth="1"/>
    <col min="523" max="768" width="9.26953125" style="32"/>
    <col min="769" max="769" width="0" style="32" hidden="1" customWidth="1"/>
    <col min="770" max="770" width="25.54296875" style="32" customWidth="1"/>
    <col min="771" max="773" width="11.453125" style="32" customWidth="1"/>
    <col min="774" max="774" width="13" style="32" customWidth="1"/>
    <col min="775" max="776" width="11.453125" style="32" customWidth="1"/>
    <col min="777" max="778" width="13.26953125" style="32" customWidth="1"/>
    <col min="779" max="1024" width="9.26953125" style="32"/>
    <col min="1025" max="1025" width="0" style="32" hidden="1" customWidth="1"/>
    <col min="1026" max="1026" width="25.54296875" style="32" customWidth="1"/>
    <col min="1027" max="1029" width="11.453125" style="32" customWidth="1"/>
    <col min="1030" max="1030" width="13" style="32" customWidth="1"/>
    <col min="1031" max="1032" width="11.453125" style="32" customWidth="1"/>
    <col min="1033" max="1034" width="13.26953125" style="32" customWidth="1"/>
    <col min="1035" max="1280" width="9.26953125" style="32"/>
    <col min="1281" max="1281" width="0" style="32" hidden="1" customWidth="1"/>
    <col min="1282" max="1282" width="25.54296875" style="32" customWidth="1"/>
    <col min="1283" max="1285" width="11.453125" style="32" customWidth="1"/>
    <col min="1286" max="1286" width="13" style="32" customWidth="1"/>
    <col min="1287" max="1288" width="11.453125" style="32" customWidth="1"/>
    <col min="1289" max="1290" width="13.26953125" style="32" customWidth="1"/>
    <col min="1291" max="1536" width="9.26953125" style="32"/>
    <col min="1537" max="1537" width="0" style="32" hidden="1" customWidth="1"/>
    <col min="1538" max="1538" width="25.54296875" style="32" customWidth="1"/>
    <col min="1539" max="1541" width="11.453125" style="32" customWidth="1"/>
    <col min="1542" max="1542" width="13" style="32" customWidth="1"/>
    <col min="1543" max="1544" width="11.453125" style="32" customWidth="1"/>
    <col min="1545" max="1546" width="13.26953125" style="32" customWidth="1"/>
    <col min="1547" max="1792" width="9.26953125" style="32"/>
    <col min="1793" max="1793" width="0" style="32" hidden="1" customWidth="1"/>
    <col min="1794" max="1794" width="25.54296875" style="32" customWidth="1"/>
    <col min="1795" max="1797" width="11.453125" style="32" customWidth="1"/>
    <col min="1798" max="1798" width="13" style="32" customWidth="1"/>
    <col min="1799" max="1800" width="11.453125" style="32" customWidth="1"/>
    <col min="1801" max="1802" width="13.26953125" style="32" customWidth="1"/>
    <col min="1803" max="2048" width="9.26953125" style="32"/>
    <col min="2049" max="2049" width="0" style="32" hidden="1" customWidth="1"/>
    <col min="2050" max="2050" width="25.54296875" style="32" customWidth="1"/>
    <col min="2051" max="2053" width="11.453125" style="32" customWidth="1"/>
    <col min="2054" max="2054" width="13" style="32" customWidth="1"/>
    <col min="2055" max="2056" width="11.453125" style="32" customWidth="1"/>
    <col min="2057" max="2058" width="13.26953125" style="32" customWidth="1"/>
    <col min="2059" max="2304" width="9.26953125" style="32"/>
    <col min="2305" max="2305" width="0" style="32" hidden="1" customWidth="1"/>
    <col min="2306" max="2306" width="25.54296875" style="32" customWidth="1"/>
    <col min="2307" max="2309" width="11.453125" style="32" customWidth="1"/>
    <col min="2310" max="2310" width="13" style="32" customWidth="1"/>
    <col min="2311" max="2312" width="11.453125" style="32" customWidth="1"/>
    <col min="2313" max="2314" width="13.26953125" style="32" customWidth="1"/>
    <col min="2315" max="2560" width="9.26953125" style="32"/>
    <col min="2561" max="2561" width="0" style="32" hidden="1" customWidth="1"/>
    <col min="2562" max="2562" width="25.54296875" style="32" customWidth="1"/>
    <col min="2563" max="2565" width="11.453125" style="32" customWidth="1"/>
    <col min="2566" max="2566" width="13" style="32" customWidth="1"/>
    <col min="2567" max="2568" width="11.453125" style="32" customWidth="1"/>
    <col min="2569" max="2570" width="13.26953125" style="32" customWidth="1"/>
    <col min="2571" max="2816" width="9.26953125" style="32"/>
    <col min="2817" max="2817" width="0" style="32" hidden="1" customWidth="1"/>
    <col min="2818" max="2818" width="25.54296875" style="32" customWidth="1"/>
    <col min="2819" max="2821" width="11.453125" style="32" customWidth="1"/>
    <col min="2822" max="2822" width="13" style="32" customWidth="1"/>
    <col min="2823" max="2824" width="11.453125" style="32" customWidth="1"/>
    <col min="2825" max="2826" width="13.26953125" style="32" customWidth="1"/>
    <col min="2827" max="3072" width="9.26953125" style="32"/>
    <col min="3073" max="3073" width="0" style="32" hidden="1" customWidth="1"/>
    <col min="3074" max="3074" width="25.54296875" style="32" customWidth="1"/>
    <col min="3075" max="3077" width="11.453125" style="32" customWidth="1"/>
    <col min="3078" max="3078" width="13" style="32" customWidth="1"/>
    <col min="3079" max="3080" width="11.453125" style="32" customWidth="1"/>
    <col min="3081" max="3082" width="13.26953125" style="32" customWidth="1"/>
    <col min="3083" max="3328" width="9.26953125" style="32"/>
    <col min="3329" max="3329" width="0" style="32" hidden="1" customWidth="1"/>
    <col min="3330" max="3330" width="25.54296875" style="32" customWidth="1"/>
    <col min="3331" max="3333" width="11.453125" style="32" customWidth="1"/>
    <col min="3334" max="3334" width="13" style="32" customWidth="1"/>
    <col min="3335" max="3336" width="11.453125" style="32" customWidth="1"/>
    <col min="3337" max="3338" width="13.26953125" style="32" customWidth="1"/>
    <col min="3339" max="3584" width="9.26953125" style="32"/>
    <col min="3585" max="3585" width="0" style="32" hidden="1" customWidth="1"/>
    <col min="3586" max="3586" width="25.54296875" style="32" customWidth="1"/>
    <col min="3587" max="3589" width="11.453125" style="32" customWidth="1"/>
    <col min="3590" max="3590" width="13" style="32" customWidth="1"/>
    <col min="3591" max="3592" width="11.453125" style="32" customWidth="1"/>
    <col min="3593" max="3594" width="13.26953125" style="32" customWidth="1"/>
    <col min="3595" max="3840" width="9.26953125" style="32"/>
    <col min="3841" max="3841" width="0" style="32" hidden="1" customWidth="1"/>
    <col min="3842" max="3842" width="25.54296875" style="32" customWidth="1"/>
    <col min="3843" max="3845" width="11.453125" style="32" customWidth="1"/>
    <col min="3846" max="3846" width="13" style="32" customWidth="1"/>
    <col min="3847" max="3848" width="11.453125" style="32" customWidth="1"/>
    <col min="3849" max="3850" width="13.26953125" style="32" customWidth="1"/>
    <col min="3851" max="4096" width="9.26953125" style="32"/>
    <col min="4097" max="4097" width="0" style="32" hidden="1" customWidth="1"/>
    <col min="4098" max="4098" width="25.54296875" style="32" customWidth="1"/>
    <col min="4099" max="4101" width="11.453125" style="32" customWidth="1"/>
    <col min="4102" max="4102" width="13" style="32" customWidth="1"/>
    <col min="4103" max="4104" width="11.453125" style="32" customWidth="1"/>
    <col min="4105" max="4106" width="13.26953125" style="32" customWidth="1"/>
    <col min="4107" max="4352" width="9.26953125" style="32"/>
    <col min="4353" max="4353" width="0" style="32" hidden="1" customWidth="1"/>
    <col min="4354" max="4354" width="25.54296875" style="32" customWidth="1"/>
    <col min="4355" max="4357" width="11.453125" style="32" customWidth="1"/>
    <col min="4358" max="4358" width="13" style="32" customWidth="1"/>
    <col min="4359" max="4360" width="11.453125" style="32" customWidth="1"/>
    <col min="4361" max="4362" width="13.26953125" style="32" customWidth="1"/>
    <col min="4363" max="4608" width="9.26953125" style="32"/>
    <col min="4609" max="4609" width="0" style="32" hidden="1" customWidth="1"/>
    <col min="4610" max="4610" width="25.54296875" style="32" customWidth="1"/>
    <col min="4611" max="4613" width="11.453125" style="32" customWidth="1"/>
    <col min="4614" max="4614" width="13" style="32" customWidth="1"/>
    <col min="4615" max="4616" width="11.453125" style="32" customWidth="1"/>
    <col min="4617" max="4618" width="13.26953125" style="32" customWidth="1"/>
    <col min="4619" max="4864" width="9.26953125" style="32"/>
    <col min="4865" max="4865" width="0" style="32" hidden="1" customWidth="1"/>
    <col min="4866" max="4866" width="25.54296875" style="32" customWidth="1"/>
    <col min="4867" max="4869" width="11.453125" style="32" customWidth="1"/>
    <col min="4870" max="4870" width="13" style="32" customWidth="1"/>
    <col min="4871" max="4872" width="11.453125" style="32" customWidth="1"/>
    <col min="4873" max="4874" width="13.26953125" style="32" customWidth="1"/>
    <col min="4875" max="5120" width="9.26953125" style="32"/>
    <col min="5121" max="5121" width="0" style="32" hidden="1" customWidth="1"/>
    <col min="5122" max="5122" width="25.54296875" style="32" customWidth="1"/>
    <col min="5123" max="5125" width="11.453125" style="32" customWidth="1"/>
    <col min="5126" max="5126" width="13" style="32" customWidth="1"/>
    <col min="5127" max="5128" width="11.453125" style="32" customWidth="1"/>
    <col min="5129" max="5130" width="13.26953125" style="32" customWidth="1"/>
    <col min="5131" max="5376" width="9.26953125" style="32"/>
    <col min="5377" max="5377" width="0" style="32" hidden="1" customWidth="1"/>
    <col min="5378" max="5378" width="25.54296875" style="32" customWidth="1"/>
    <col min="5379" max="5381" width="11.453125" style="32" customWidth="1"/>
    <col min="5382" max="5382" width="13" style="32" customWidth="1"/>
    <col min="5383" max="5384" width="11.453125" style="32" customWidth="1"/>
    <col min="5385" max="5386" width="13.26953125" style="32" customWidth="1"/>
    <col min="5387" max="5632" width="9.26953125" style="32"/>
    <col min="5633" max="5633" width="0" style="32" hidden="1" customWidth="1"/>
    <col min="5634" max="5634" width="25.54296875" style="32" customWidth="1"/>
    <col min="5635" max="5637" width="11.453125" style="32" customWidth="1"/>
    <col min="5638" max="5638" width="13" style="32" customWidth="1"/>
    <col min="5639" max="5640" width="11.453125" style="32" customWidth="1"/>
    <col min="5641" max="5642" width="13.26953125" style="32" customWidth="1"/>
    <col min="5643" max="5888" width="9.26953125" style="32"/>
    <col min="5889" max="5889" width="0" style="32" hidden="1" customWidth="1"/>
    <col min="5890" max="5890" width="25.54296875" style="32" customWidth="1"/>
    <col min="5891" max="5893" width="11.453125" style="32" customWidth="1"/>
    <col min="5894" max="5894" width="13" style="32" customWidth="1"/>
    <col min="5895" max="5896" width="11.453125" style="32" customWidth="1"/>
    <col min="5897" max="5898" width="13.26953125" style="32" customWidth="1"/>
    <col min="5899" max="6144" width="9.26953125" style="32"/>
    <col min="6145" max="6145" width="0" style="32" hidden="1" customWidth="1"/>
    <col min="6146" max="6146" width="25.54296875" style="32" customWidth="1"/>
    <col min="6147" max="6149" width="11.453125" style="32" customWidth="1"/>
    <col min="6150" max="6150" width="13" style="32" customWidth="1"/>
    <col min="6151" max="6152" width="11.453125" style="32" customWidth="1"/>
    <col min="6153" max="6154" width="13.26953125" style="32" customWidth="1"/>
    <col min="6155" max="6400" width="9.26953125" style="32"/>
    <col min="6401" max="6401" width="0" style="32" hidden="1" customWidth="1"/>
    <col min="6402" max="6402" width="25.54296875" style="32" customWidth="1"/>
    <col min="6403" max="6405" width="11.453125" style="32" customWidth="1"/>
    <col min="6406" max="6406" width="13" style="32" customWidth="1"/>
    <col min="6407" max="6408" width="11.453125" style="32" customWidth="1"/>
    <col min="6409" max="6410" width="13.26953125" style="32" customWidth="1"/>
    <col min="6411" max="6656" width="9.26953125" style="32"/>
    <col min="6657" max="6657" width="0" style="32" hidden="1" customWidth="1"/>
    <col min="6658" max="6658" width="25.54296875" style="32" customWidth="1"/>
    <col min="6659" max="6661" width="11.453125" style="32" customWidth="1"/>
    <col min="6662" max="6662" width="13" style="32" customWidth="1"/>
    <col min="6663" max="6664" width="11.453125" style="32" customWidth="1"/>
    <col min="6665" max="6666" width="13.26953125" style="32" customWidth="1"/>
    <col min="6667" max="6912" width="9.26953125" style="32"/>
    <col min="6913" max="6913" width="0" style="32" hidden="1" customWidth="1"/>
    <col min="6914" max="6914" width="25.54296875" style="32" customWidth="1"/>
    <col min="6915" max="6917" width="11.453125" style="32" customWidth="1"/>
    <col min="6918" max="6918" width="13" style="32" customWidth="1"/>
    <col min="6919" max="6920" width="11.453125" style="32" customWidth="1"/>
    <col min="6921" max="6922" width="13.26953125" style="32" customWidth="1"/>
    <col min="6923" max="7168" width="9.26953125" style="32"/>
    <col min="7169" max="7169" width="0" style="32" hidden="1" customWidth="1"/>
    <col min="7170" max="7170" width="25.54296875" style="32" customWidth="1"/>
    <col min="7171" max="7173" width="11.453125" style="32" customWidth="1"/>
    <col min="7174" max="7174" width="13" style="32" customWidth="1"/>
    <col min="7175" max="7176" width="11.453125" style="32" customWidth="1"/>
    <col min="7177" max="7178" width="13.26953125" style="32" customWidth="1"/>
    <col min="7179" max="7424" width="9.26953125" style="32"/>
    <col min="7425" max="7425" width="0" style="32" hidden="1" customWidth="1"/>
    <col min="7426" max="7426" width="25.54296875" style="32" customWidth="1"/>
    <col min="7427" max="7429" width="11.453125" style="32" customWidth="1"/>
    <col min="7430" max="7430" width="13" style="32" customWidth="1"/>
    <col min="7431" max="7432" width="11.453125" style="32" customWidth="1"/>
    <col min="7433" max="7434" width="13.26953125" style="32" customWidth="1"/>
    <col min="7435" max="7680" width="9.26953125" style="32"/>
    <col min="7681" max="7681" width="0" style="32" hidden="1" customWidth="1"/>
    <col min="7682" max="7682" width="25.54296875" style="32" customWidth="1"/>
    <col min="7683" max="7685" width="11.453125" style="32" customWidth="1"/>
    <col min="7686" max="7686" width="13" style="32" customWidth="1"/>
    <col min="7687" max="7688" width="11.453125" style="32" customWidth="1"/>
    <col min="7689" max="7690" width="13.26953125" style="32" customWidth="1"/>
    <col min="7691" max="7936" width="9.26953125" style="32"/>
    <col min="7937" max="7937" width="0" style="32" hidden="1" customWidth="1"/>
    <col min="7938" max="7938" width="25.54296875" style="32" customWidth="1"/>
    <col min="7939" max="7941" width="11.453125" style="32" customWidth="1"/>
    <col min="7942" max="7942" width="13" style="32" customWidth="1"/>
    <col min="7943" max="7944" width="11.453125" style="32" customWidth="1"/>
    <col min="7945" max="7946" width="13.26953125" style="32" customWidth="1"/>
    <col min="7947" max="8192" width="9.26953125" style="32"/>
    <col min="8193" max="8193" width="0" style="32" hidden="1" customWidth="1"/>
    <col min="8194" max="8194" width="25.54296875" style="32" customWidth="1"/>
    <col min="8195" max="8197" width="11.453125" style="32" customWidth="1"/>
    <col min="8198" max="8198" width="13" style="32" customWidth="1"/>
    <col min="8199" max="8200" width="11.453125" style="32" customWidth="1"/>
    <col min="8201" max="8202" width="13.26953125" style="32" customWidth="1"/>
    <col min="8203" max="8448" width="9.26953125" style="32"/>
    <col min="8449" max="8449" width="0" style="32" hidden="1" customWidth="1"/>
    <col min="8450" max="8450" width="25.54296875" style="32" customWidth="1"/>
    <col min="8451" max="8453" width="11.453125" style="32" customWidth="1"/>
    <col min="8454" max="8454" width="13" style="32" customWidth="1"/>
    <col min="8455" max="8456" width="11.453125" style="32" customWidth="1"/>
    <col min="8457" max="8458" width="13.26953125" style="32" customWidth="1"/>
    <col min="8459" max="8704" width="9.26953125" style="32"/>
    <col min="8705" max="8705" width="0" style="32" hidden="1" customWidth="1"/>
    <col min="8706" max="8706" width="25.54296875" style="32" customWidth="1"/>
    <col min="8707" max="8709" width="11.453125" style="32" customWidth="1"/>
    <col min="8710" max="8710" width="13" style="32" customWidth="1"/>
    <col min="8711" max="8712" width="11.453125" style="32" customWidth="1"/>
    <col min="8713" max="8714" width="13.26953125" style="32" customWidth="1"/>
    <col min="8715" max="8960" width="9.26953125" style="32"/>
    <col min="8961" max="8961" width="0" style="32" hidden="1" customWidth="1"/>
    <col min="8962" max="8962" width="25.54296875" style="32" customWidth="1"/>
    <col min="8963" max="8965" width="11.453125" style="32" customWidth="1"/>
    <col min="8966" max="8966" width="13" style="32" customWidth="1"/>
    <col min="8967" max="8968" width="11.453125" style="32" customWidth="1"/>
    <col min="8969" max="8970" width="13.26953125" style="32" customWidth="1"/>
    <col min="8971" max="9216" width="9.26953125" style="32"/>
    <col min="9217" max="9217" width="0" style="32" hidden="1" customWidth="1"/>
    <col min="9218" max="9218" width="25.54296875" style="32" customWidth="1"/>
    <col min="9219" max="9221" width="11.453125" style="32" customWidth="1"/>
    <col min="9222" max="9222" width="13" style="32" customWidth="1"/>
    <col min="9223" max="9224" width="11.453125" style="32" customWidth="1"/>
    <col min="9225" max="9226" width="13.26953125" style="32" customWidth="1"/>
    <col min="9227" max="9472" width="9.26953125" style="32"/>
    <col min="9473" max="9473" width="0" style="32" hidden="1" customWidth="1"/>
    <col min="9474" max="9474" width="25.54296875" style="32" customWidth="1"/>
    <col min="9475" max="9477" width="11.453125" style="32" customWidth="1"/>
    <col min="9478" max="9478" width="13" style="32" customWidth="1"/>
    <col min="9479" max="9480" width="11.453125" style="32" customWidth="1"/>
    <col min="9481" max="9482" width="13.26953125" style="32" customWidth="1"/>
    <col min="9483" max="9728" width="9.26953125" style="32"/>
    <col min="9729" max="9729" width="0" style="32" hidden="1" customWidth="1"/>
    <col min="9730" max="9730" width="25.54296875" style="32" customWidth="1"/>
    <col min="9731" max="9733" width="11.453125" style="32" customWidth="1"/>
    <col min="9734" max="9734" width="13" style="32" customWidth="1"/>
    <col min="9735" max="9736" width="11.453125" style="32" customWidth="1"/>
    <col min="9737" max="9738" width="13.26953125" style="32" customWidth="1"/>
    <col min="9739" max="9984" width="9.26953125" style="32"/>
    <col min="9985" max="9985" width="0" style="32" hidden="1" customWidth="1"/>
    <col min="9986" max="9986" width="25.54296875" style="32" customWidth="1"/>
    <col min="9987" max="9989" width="11.453125" style="32" customWidth="1"/>
    <col min="9990" max="9990" width="13" style="32" customWidth="1"/>
    <col min="9991" max="9992" width="11.453125" style="32" customWidth="1"/>
    <col min="9993" max="9994" width="13.26953125" style="32" customWidth="1"/>
    <col min="9995" max="10240" width="9.26953125" style="32"/>
    <col min="10241" max="10241" width="0" style="32" hidden="1" customWidth="1"/>
    <col min="10242" max="10242" width="25.54296875" style="32" customWidth="1"/>
    <col min="10243" max="10245" width="11.453125" style="32" customWidth="1"/>
    <col min="10246" max="10246" width="13" style="32" customWidth="1"/>
    <col min="10247" max="10248" width="11.453125" style="32" customWidth="1"/>
    <col min="10249" max="10250" width="13.26953125" style="32" customWidth="1"/>
    <col min="10251" max="10496" width="9.26953125" style="32"/>
    <col min="10497" max="10497" width="0" style="32" hidden="1" customWidth="1"/>
    <col min="10498" max="10498" width="25.54296875" style="32" customWidth="1"/>
    <col min="10499" max="10501" width="11.453125" style="32" customWidth="1"/>
    <col min="10502" max="10502" width="13" style="32" customWidth="1"/>
    <col min="10503" max="10504" width="11.453125" style="32" customWidth="1"/>
    <col min="10505" max="10506" width="13.26953125" style="32" customWidth="1"/>
    <col min="10507" max="10752" width="9.26953125" style="32"/>
    <col min="10753" max="10753" width="0" style="32" hidden="1" customWidth="1"/>
    <col min="10754" max="10754" width="25.54296875" style="32" customWidth="1"/>
    <col min="10755" max="10757" width="11.453125" style="32" customWidth="1"/>
    <col min="10758" max="10758" width="13" style="32" customWidth="1"/>
    <col min="10759" max="10760" width="11.453125" style="32" customWidth="1"/>
    <col min="10761" max="10762" width="13.26953125" style="32" customWidth="1"/>
    <col min="10763" max="11008" width="9.26953125" style="32"/>
    <col min="11009" max="11009" width="0" style="32" hidden="1" customWidth="1"/>
    <col min="11010" max="11010" width="25.54296875" style="32" customWidth="1"/>
    <col min="11011" max="11013" width="11.453125" style="32" customWidth="1"/>
    <col min="11014" max="11014" width="13" style="32" customWidth="1"/>
    <col min="11015" max="11016" width="11.453125" style="32" customWidth="1"/>
    <col min="11017" max="11018" width="13.26953125" style="32" customWidth="1"/>
    <col min="11019" max="11264" width="9.26953125" style="32"/>
    <col min="11265" max="11265" width="0" style="32" hidden="1" customWidth="1"/>
    <col min="11266" max="11266" width="25.54296875" style="32" customWidth="1"/>
    <col min="11267" max="11269" width="11.453125" style="32" customWidth="1"/>
    <col min="11270" max="11270" width="13" style="32" customWidth="1"/>
    <col min="11271" max="11272" width="11.453125" style="32" customWidth="1"/>
    <col min="11273" max="11274" width="13.26953125" style="32" customWidth="1"/>
    <col min="11275" max="11520" width="9.26953125" style="32"/>
    <col min="11521" max="11521" width="0" style="32" hidden="1" customWidth="1"/>
    <col min="11522" max="11522" width="25.54296875" style="32" customWidth="1"/>
    <col min="11523" max="11525" width="11.453125" style="32" customWidth="1"/>
    <col min="11526" max="11526" width="13" style="32" customWidth="1"/>
    <col min="11527" max="11528" width="11.453125" style="32" customWidth="1"/>
    <col min="11529" max="11530" width="13.26953125" style="32" customWidth="1"/>
    <col min="11531" max="11776" width="9.26953125" style="32"/>
    <col min="11777" max="11777" width="0" style="32" hidden="1" customWidth="1"/>
    <col min="11778" max="11778" width="25.54296875" style="32" customWidth="1"/>
    <col min="11779" max="11781" width="11.453125" style="32" customWidth="1"/>
    <col min="11782" max="11782" width="13" style="32" customWidth="1"/>
    <col min="11783" max="11784" width="11.453125" style="32" customWidth="1"/>
    <col min="11785" max="11786" width="13.26953125" style="32" customWidth="1"/>
    <col min="11787" max="12032" width="9.26953125" style="32"/>
    <col min="12033" max="12033" width="0" style="32" hidden="1" customWidth="1"/>
    <col min="12034" max="12034" width="25.54296875" style="32" customWidth="1"/>
    <col min="12035" max="12037" width="11.453125" style="32" customWidth="1"/>
    <col min="12038" max="12038" width="13" style="32" customWidth="1"/>
    <col min="12039" max="12040" width="11.453125" style="32" customWidth="1"/>
    <col min="12041" max="12042" width="13.26953125" style="32" customWidth="1"/>
    <col min="12043" max="12288" width="9.26953125" style="32"/>
    <col min="12289" max="12289" width="0" style="32" hidden="1" customWidth="1"/>
    <col min="12290" max="12290" width="25.54296875" style="32" customWidth="1"/>
    <col min="12291" max="12293" width="11.453125" style="32" customWidth="1"/>
    <col min="12294" max="12294" width="13" style="32" customWidth="1"/>
    <col min="12295" max="12296" width="11.453125" style="32" customWidth="1"/>
    <col min="12297" max="12298" width="13.26953125" style="32" customWidth="1"/>
    <col min="12299" max="12544" width="9.26953125" style="32"/>
    <col min="12545" max="12545" width="0" style="32" hidden="1" customWidth="1"/>
    <col min="12546" max="12546" width="25.54296875" style="32" customWidth="1"/>
    <col min="12547" max="12549" width="11.453125" style="32" customWidth="1"/>
    <col min="12550" max="12550" width="13" style="32" customWidth="1"/>
    <col min="12551" max="12552" width="11.453125" style="32" customWidth="1"/>
    <col min="12553" max="12554" width="13.26953125" style="32" customWidth="1"/>
    <col min="12555" max="12800" width="9.26953125" style="32"/>
    <col min="12801" max="12801" width="0" style="32" hidden="1" customWidth="1"/>
    <col min="12802" max="12802" width="25.54296875" style="32" customWidth="1"/>
    <col min="12803" max="12805" width="11.453125" style="32" customWidth="1"/>
    <col min="12806" max="12806" width="13" style="32" customWidth="1"/>
    <col min="12807" max="12808" width="11.453125" style="32" customWidth="1"/>
    <col min="12809" max="12810" width="13.26953125" style="32" customWidth="1"/>
    <col min="12811" max="13056" width="9.26953125" style="32"/>
    <col min="13057" max="13057" width="0" style="32" hidden="1" customWidth="1"/>
    <col min="13058" max="13058" width="25.54296875" style="32" customWidth="1"/>
    <col min="13059" max="13061" width="11.453125" style="32" customWidth="1"/>
    <col min="13062" max="13062" width="13" style="32" customWidth="1"/>
    <col min="13063" max="13064" width="11.453125" style="32" customWidth="1"/>
    <col min="13065" max="13066" width="13.26953125" style="32" customWidth="1"/>
    <col min="13067" max="13312" width="9.26953125" style="32"/>
    <col min="13313" max="13313" width="0" style="32" hidden="1" customWidth="1"/>
    <col min="13314" max="13314" width="25.54296875" style="32" customWidth="1"/>
    <col min="13315" max="13317" width="11.453125" style="32" customWidth="1"/>
    <col min="13318" max="13318" width="13" style="32" customWidth="1"/>
    <col min="13319" max="13320" width="11.453125" style="32" customWidth="1"/>
    <col min="13321" max="13322" width="13.26953125" style="32" customWidth="1"/>
    <col min="13323" max="13568" width="9.26953125" style="32"/>
    <col min="13569" max="13569" width="0" style="32" hidden="1" customWidth="1"/>
    <col min="13570" max="13570" width="25.54296875" style="32" customWidth="1"/>
    <col min="13571" max="13573" width="11.453125" style="32" customWidth="1"/>
    <col min="13574" max="13574" width="13" style="32" customWidth="1"/>
    <col min="13575" max="13576" width="11.453125" style="32" customWidth="1"/>
    <col min="13577" max="13578" width="13.26953125" style="32" customWidth="1"/>
    <col min="13579" max="13824" width="9.26953125" style="32"/>
    <col min="13825" max="13825" width="0" style="32" hidden="1" customWidth="1"/>
    <col min="13826" max="13826" width="25.54296875" style="32" customWidth="1"/>
    <col min="13827" max="13829" width="11.453125" style="32" customWidth="1"/>
    <col min="13830" max="13830" width="13" style="32" customWidth="1"/>
    <col min="13831" max="13832" width="11.453125" style="32" customWidth="1"/>
    <col min="13833" max="13834" width="13.26953125" style="32" customWidth="1"/>
    <col min="13835" max="14080" width="9.26953125" style="32"/>
    <col min="14081" max="14081" width="0" style="32" hidden="1" customWidth="1"/>
    <col min="14082" max="14082" width="25.54296875" style="32" customWidth="1"/>
    <col min="14083" max="14085" width="11.453125" style="32" customWidth="1"/>
    <col min="14086" max="14086" width="13" style="32" customWidth="1"/>
    <col min="14087" max="14088" width="11.453125" style="32" customWidth="1"/>
    <col min="14089" max="14090" width="13.26953125" style="32" customWidth="1"/>
    <col min="14091" max="14336" width="9.26953125" style="32"/>
    <col min="14337" max="14337" width="0" style="32" hidden="1" customWidth="1"/>
    <col min="14338" max="14338" width="25.54296875" style="32" customWidth="1"/>
    <col min="14339" max="14341" width="11.453125" style="32" customWidth="1"/>
    <col min="14342" max="14342" width="13" style="32" customWidth="1"/>
    <col min="14343" max="14344" width="11.453125" style="32" customWidth="1"/>
    <col min="14345" max="14346" width="13.26953125" style="32" customWidth="1"/>
    <col min="14347" max="14592" width="9.26953125" style="32"/>
    <col min="14593" max="14593" width="0" style="32" hidden="1" customWidth="1"/>
    <col min="14594" max="14594" width="25.54296875" style="32" customWidth="1"/>
    <col min="14595" max="14597" width="11.453125" style="32" customWidth="1"/>
    <col min="14598" max="14598" width="13" style="32" customWidth="1"/>
    <col min="14599" max="14600" width="11.453125" style="32" customWidth="1"/>
    <col min="14601" max="14602" width="13.26953125" style="32" customWidth="1"/>
    <col min="14603" max="14848" width="9.26953125" style="32"/>
    <col min="14849" max="14849" width="0" style="32" hidden="1" customWidth="1"/>
    <col min="14850" max="14850" width="25.54296875" style="32" customWidth="1"/>
    <col min="14851" max="14853" width="11.453125" style="32" customWidth="1"/>
    <col min="14854" max="14854" width="13" style="32" customWidth="1"/>
    <col min="14855" max="14856" width="11.453125" style="32" customWidth="1"/>
    <col min="14857" max="14858" width="13.26953125" style="32" customWidth="1"/>
    <col min="14859" max="15104" width="9.26953125" style="32"/>
    <col min="15105" max="15105" width="0" style="32" hidden="1" customWidth="1"/>
    <col min="15106" max="15106" width="25.54296875" style="32" customWidth="1"/>
    <col min="15107" max="15109" width="11.453125" style="32" customWidth="1"/>
    <col min="15110" max="15110" width="13" style="32" customWidth="1"/>
    <col min="15111" max="15112" width="11.453125" style="32" customWidth="1"/>
    <col min="15113" max="15114" width="13.26953125" style="32" customWidth="1"/>
    <col min="15115" max="15360" width="9.26953125" style="32"/>
    <col min="15361" max="15361" width="0" style="32" hidden="1" customWidth="1"/>
    <col min="15362" max="15362" width="25.54296875" style="32" customWidth="1"/>
    <col min="15363" max="15365" width="11.453125" style="32" customWidth="1"/>
    <col min="15366" max="15366" width="13" style="32" customWidth="1"/>
    <col min="15367" max="15368" width="11.453125" style="32" customWidth="1"/>
    <col min="15369" max="15370" width="13.26953125" style="32" customWidth="1"/>
    <col min="15371" max="15616" width="9.26953125" style="32"/>
    <col min="15617" max="15617" width="0" style="32" hidden="1" customWidth="1"/>
    <col min="15618" max="15618" width="25.54296875" style="32" customWidth="1"/>
    <col min="15619" max="15621" width="11.453125" style="32" customWidth="1"/>
    <col min="15622" max="15622" width="13" style="32" customWidth="1"/>
    <col min="15623" max="15624" width="11.453125" style="32" customWidth="1"/>
    <col min="15625" max="15626" width="13.26953125" style="32" customWidth="1"/>
    <col min="15627" max="15872" width="9.26953125" style="32"/>
    <col min="15873" max="15873" width="0" style="32" hidden="1" customWidth="1"/>
    <col min="15874" max="15874" width="25.54296875" style="32" customWidth="1"/>
    <col min="15875" max="15877" width="11.453125" style="32" customWidth="1"/>
    <col min="15878" max="15878" width="13" style="32" customWidth="1"/>
    <col min="15879" max="15880" width="11.453125" style="32" customWidth="1"/>
    <col min="15881" max="15882" width="13.26953125" style="32" customWidth="1"/>
    <col min="15883" max="16128" width="9.26953125" style="32"/>
    <col min="16129" max="16129" width="0" style="32" hidden="1" customWidth="1"/>
    <col min="16130" max="16130" width="25.54296875" style="32" customWidth="1"/>
    <col min="16131" max="16133" width="11.453125" style="32" customWidth="1"/>
    <col min="16134" max="16134" width="13" style="32" customWidth="1"/>
    <col min="16135" max="16136" width="11.453125" style="32" customWidth="1"/>
    <col min="16137" max="16138" width="13.26953125" style="32" customWidth="1"/>
    <col min="16139" max="16384" width="9.26953125" style="32"/>
  </cols>
  <sheetData>
    <row r="1" spans="1:20" ht="40.5" customHeight="1" x14ac:dyDescent="0.3">
      <c r="B1" s="128" t="s">
        <v>125</v>
      </c>
      <c r="C1" s="129"/>
      <c r="D1" s="129"/>
      <c r="E1" s="129"/>
      <c r="F1" s="129"/>
      <c r="G1" s="129"/>
      <c r="H1" s="129"/>
      <c r="I1" s="129"/>
      <c r="J1" s="130"/>
    </row>
    <row r="2" spans="1:20" s="33" customFormat="1" ht="60.75" customHeight="1" x14ac:dyDescent="0.3">
      <c r="B2" s="120"/>
      <c r="C2" s="122" t="s">
        <v>67</v>
      </c>
      <c r="D2" s="131"/>
      <c r="E2" s="132" t="s">
        <v>68</v>
      </c>
      <c r="F2" s="132"/>
      <c r="G2" s="132" t="s">
        <v>69</v>
      </c>
      <c r="H2" s="132"/>
      <c r="I2" s="122" t="s">
        <v>70</v>
      </c>
      <c r="J2" s="131"/>
      <c r="K2" s="32"/>
    </row>
    <row r="3" spans="1:20" s="33" customFormat="1" ht="24" customHeight="1" x14ac:dyDescent="0.35">
      <c r="B3" s="121"/>
      <c r="C3" s="34" t="s">
        <v>71</v>
      </c>
      <c r="D3" s="35" t="s">
        <v>72</v>
      </c>
      <c r="E3" s="34" t="s">
        <v>71</v>
      </c>
      <c r="F3" s="35" t="s">
        <v>72</v>
      </c>
      <c r="G3" s="34" t="s">
        <v>71</v>
      </c>
      <c r="H3" s="35" t="s">
        <v>72</v>
      </c>
      <c r="I3" s="34" t="s">
        <v>71</v>
      </c>
      <c r="J3" s="35" t="s">
        <v>72</v>
      </c>
    </row>
    <row r="4" spans="1:20" s="33" customFormat="1" ht="24" hidden="1" customHeight="1" x14ac:dyDescent="0.35">
      <c r="C4" s="36" t="s">
        <v>73</v>
      </c>
      <c r="D4" s="36" t="s">
        <v>73</v>
      </c>
      <c r="E4" s="37" t="s">
        <v>74</v>
      </c>
      <c r="F4" s="37" t="s">
        <v>74</v>
      </c>
      <c r="G4" s="37" t="s">
        <v>75</v>
      </c>
      <c r="H4" s="37" t="s">
        <v>75</v>
      </c>
      <c r="I4" s="36" t="s">
        <v>76</v>
      </c>
      <c r="J4" s="36" t="s">
        <v>76</v>
      </c>
    </row>
    <row r="5" spans="1:20" s="33" customFormat="1" ht="24" hidden="1" customHeight="1" x14ac:dyDescent="0.35">
      <c r="C5" s="36" t="s">
        <v>71</v>
      </c>
      <c r="D5" s="37" t="s">
        <v>72</v>
      </c>
      <c r="E5" s="36" t="s">
        <v>71</v>
      </c>
      <c r="F5" s="37" t="s">
        <v>72</v>
      </c>
      <c r="G5" s="36" t="s">
        <v>71</v>
      </c>
      <c r="H5" s="37" t="s">
        <v>72</v>
      </c>
      <c r="I5" s="36" t="s">
        <v>71</v>
      </c>
      <c r="J5" s="37" t="s">
        <v>72</v>
      </c>
    </row>
    <row r="6" spans="1:20" s="33" customFormat="1" ht="25.5" customHeight="1" x14ac:dyDescent="0.35">
      <c r="B6" s="38" t="s">
        <v>0</v>
      </c>
      <c r="C6" s="39">
        <f>C7+C48</f>
        <v>590198</v>
      </c>
      <c r="D6" s="39">
        <f t="shared" ref="D6:J6" si="0">D7+D48</f>
        <v>881290.67644697428</v>
      </c>
      <c r="E6" s="39">
        <f t="shared" si="0"/>
        <v>313130</v>
      </c>
      <c r="F6" s="39">
        <f t="shared" si="0"/>
        <v>438459.04000000004</v>
      </c>
      <c r="G6" s="39">
        <f t="shared" si="0"/>
        <v>142472</v>
      </c>
      <c r="H6" s="39">
        <f t="shared" si="0"/>
        <v>250279.67333333334</v>
      </c>
      <c r="I6" s="39">
        <f t="shared" si="0"/>
        <v>26677</v>
      </c>
      <c r="J6" s="39">
        <f t="shared" si="0"/>
        <v>27569.48333333333</v>
      </c>
      <c r="L6" s="40"/>
      <c r="M6" s="40"/>
      <c r="N6" s="40"/>
      <c r="O6" s="40"/>
      <c r="P6" s="40"/>
      <c r="Q6" s="40"/>
      <c r="R6" s="40"/>
      <c r="S6" s="40"/>
      <c r="T6" s="41"/>
    </row>
    <row r="7" spans="1:20" s="38" customFormat="1" ht="25.9" customHeight="1" x14ac:dyDescent="0.35">
      <c r="A7" s="28"/>
      <c r="B7" s="38" t="s">
        <v>52</v>
      </c>
      <c r="C7" s="42">
        <f>SUM(C8:C47)</f>
        <v>305592</v>
      </c>
      <c r="D7" s="115">
        <f>SUM(D8:D47)+'2016-17_working'!D71</f>
        <v>420548.17644697434</v>
      </c>
      <c r="E7" s="42">
        <f t="shared" ref="E7:J7" si="1">SUM(E8:E47)</f>
        <v>179682</v>
      </c>
      <c r="F7" s="42">
        <f t="shared" si="1"/>
        <v>213879.29</v>
      </c>
      <c r="G7" s="42">
        <f t="shared" si="1"/>
        <v>62318</v>
      </c>
      <c r="H7" s="42">
        <f t="shared" si="1"/>
        <v>87246.239999999991</v>
      </c>
      <c r="I7" s="42">
        <f t="shared" si="1"/>
        <v>16630</v>
      </c>
      <c r="J7" s="42">
        <f t="shared" si="1"/>
        <v>21029.149999999998</v>
      </c>
      <c r="L7" s="40"/>
      <c r="M7" s="40"/>
      <c r="N7" s="40"/>
      <c r="O7" s="40"/>
      <c r="P7" s="40"/>
      <c r="Q7" s="40"/>
      <c r="R7" s="40"/>
      <c r="S7" s="40"/>
    </row>
    <row r="8" spans="1:20" s="33" customFormat="1" ht="12.5" x14ac:dyDescent="0.35">
      <c r="A8" s="29">
        <v>51</v>
      </c>
      <c r="B8" s="33" t="s">
        <v>5</v>
      </c>
      <c r="C8" s="43">
        <v>7377</v>
      </c>
      <c r="D8" s="43">
        <v>7365</v>
      </c>
      <c r="E8" s="43">
        <v>4321</v>
      </c>
      <c r="F8" s="43">
        <v>4354</v>
      </c>
      <c r="G8" s="43">
        <v>2882</v>
      </c>
      <c r="H8" s="43">
        <v>2905</v>
      </c>
      <c r="I8" s="43">
        <v>939</v>
      </c>
      <c r="J8" s="43">
        <v>454</v>
      </c>
      <c r="L8" s="40"/>
      <c r="M8" s="40"/>
      <c r="N8" s="40"/>
      <c r="O8" s="40"/>
      <c r="P8" s="40"/>
      <c r="Q8" s="40"/>
      <c r="R8" s="40"/>
      <c r="S8" s="40"/>
    </row>
    <row r="9" spans="1:20" s="33" customFormat="1" ht="12.5" x14ac:dyDescent="0.35">
      <c r="A9" s="29">
        <v>52</v>
      </c>
      <c r="B9" s="33" t="s">
        <v>6</v>
      </c>
      <c r="C9" s="43">
        <v>3299</v>
      </c>
      <c r="D9" s="43">
        <v>3994</v>
      </c>
      <c r="E9" s="43">
        <v>550</v>
      </c>
      <c r="F9" s="43">
        <v>729</v>
      </c>
      <c r="G9" s="43" t="s">
        <v>77</v>
      </c>
      <c r="H9" s="43" t="s">
        <v>77</v>
      </c>
      <c r="I9" s="43">
        <v>1017</v>
      </c>
      <c r="J9" s="43" t="s">
        <v>77</v>
      </c>
      <c r="L9" s="40"/>
      <c r="M9" s="40"/>
      <c r="N9" s="40"/>
      <c r="O9" s="40"/>
      <c r="P9" s="40"/>
      <c r="Q9" s="40"/>
      <c r="R9" s="40"/>
      <c r="S9" s="40"/>
    </row>
    <row r="10" spans="1:20" s="33" customFormat="1" ht="13.5" customHeight="1" x14ac:dyDescent="0.35">
      <c r="A10" s="29">
        <v>86</v>
      </c>
      <c r="B10" s="33" t="s">
        <v>7</v>
      </c>
      <c r="C10" s="43">
        <v>7634</v>
      </c>
      <c r="D10" s="43">
        <v>19898</v>
      </c>
      <c r="E10" s="43">
        <v>6889</v>
      </c>
      <c r="F10" s="43">
        <v>13778</v>
      </c>
      <c r="G10" s="43">
        <v>2448</v>
      </c>
      <c r="H10" s="43">
        <v>6120</v>
      </c>
      <c r="I10" s="43">
        <v>0</v>
      </c>
      <c r="J10" s="43">
        <v>0</v>
      </c>
      <c r="L10" s="40"/>
      <c r="M10" s="40"/>
      <c r="N10" s="40"/>
      <c r="O10" s="40"/>
      <c r="P10" s="40"/>
      <c r="Q10" s="40"/>
      <c r="R10" s="40"/>
      <c r="S10" s="40"/>
    </row>
    <row r="11" spans="1:20" s="33" customFormat="1" ht="12.5" x14ac:dyDescent="0.35">
      <c r="A11" s="29">
        <v>53</v>
      </c>
      <c r="B11" s="33" t="s">
        <v>8</v>
      </c>
      <c r="C11" s="43">
        <v>3768</v>
      </c>
      <c r="D11" s="43">
        <v>5652</v>
      </c>
      <c r="E11" s="43">
        <v>1139</v>
      </c>
      <c r="F11" s="43">
        <v>636</v>
      </c>
      <c r="G11" s="43">
        <v>403</v>
      </c>
      <c r="H11" s="43">
        <v>230</v>
      </c>
      <c r="I11" s="43">
        <v>0</v>
      </c>
      <c r="J11" s="43">
        <v>0</v>
      </c>
      <c r="L11" s="40"/>
      <c r="M11" s="40"/>
      <c r="N11" s="40"/>
      <c r="O11" s="40"/>
      <c r="P11" s="40"/>
      <c r="Q11" s="40"/>
      <c r="R11" s="40"/>
      <c r="S11" s="40"/>
    </row>
    <row r="12" spans="1:20" s="33" customFormat="1" ht="12.5" x14ac:dyDescent="0.35">
      <c r="A12" s="29">
        <v>54</v>
      </c>
      <c r="B12" s="33" t="s">
        <v>9</v>
      </c>
      <c r="C12" s="43">
        <v>4422</v>
      </c>
      <c r="D12" s="43">
        <v>4681</v>
      </c>
      <c r="E12" s="43">
        <v>3185</v>
      </c>
      <c r="F12" s="43">
        <v>3482</v>
      </c>
      <c r="G12" s="43">
        <v>1903</v>
      </c>
      <c r="H12" s="43">
        <v>2340.9</v>
      </c>
      <c r="I12" s="43">
        <v>845</v>
      </c>
      <c r="J12" s="43">
        <v>843</v>
      </c>
      <c r="L12" s="40"/>
      <c r="M12" s="40"/>
      <c r="N12" s="40"/>
      <c r="O12" s="40"/>
      <c r="P12" s="40"/>
      <c r="Q12" s="40"/>
      <c r="R12" s="40"/>
      <c r="S12" s="40"/>
    </row>
    <row r="13" spans="1:20" s="33" customFormat="1" ht="14.65" customHeight="1" x14ac:dyDescent="0.35">
      <c r="A13" s="29">
        <v>55</v>
      </c>
      <c r="B13" s="33" t="s">
        <v>10</v>
      </c>
      <c r="C13" s="43">
        <v>39862</v>
      </c>
      <c r="D13" s="43">
        <v>16041</v>
      </c>
      <c r="E13" s="43">
        <v>35131</v>
      </c>
      <c r="F13" s="43">
        <v>13987</v>
      </c>
      <c r="G13" s="43">
        <v>8243</v>
      </c>
      <c r="H13" s="43">
        <v>4056</v>
      </c>
      <c r="I13" s="43">
        <v>0</v>
      </c>
      <c r="J13" s="43">
        <v>0</v>
      </c>
      <c r="L13" s="40"/>
      <c r="M13" s="40"/>
      <c r="N13" s="40"/>
      <c r="O13" s="40"/>
      <c r="P13" s="40"/>
      <c r="Q13" s="40"/>
      <c r="R13" s="40"/>
      <c r="S13" s="40"/>
    </row>
    <row r="14" spans="1:20" s="33" customFormat="1" ht="12.5" x14ac:dyDescent="0.35">
      <c r="A14" s="29">
        <v>56</v>
      </c>
      <c r="B14" s="33" t="s">
        <v>11</v>
      </c>
      <c r="C14" s="43">
        <v>17964</v>
      </c>
      <c r="D14" s="43">
        <v>74171</v>
      </c>
      <c r="E14" s="43">
        <v>11465</v>
      </c>
      <c r="F14" s="43">
        <v>48890</v>
      </c>
      <c r="G14" s="43">
        <v>3331</v>
      </c>
      <c r="H14" s="43">
        <v>11892</v>
      </c>
      <c r="I14" s="43">
        <v>2295</v>
      </c>
      <c r="J14" s="43">
        <v>6773</v>
      </c>
      <c r="L14" s="40"/>
      <c r="M14" s="40"/>
      <c r="N14" s="40"/>
      <c r="O14" s="40"/>
      <c r="P14" s="40"/>
      <c r="Q14" s="40"/>
      <c r="R14" s="40"/>
      <c r="S14" s="40"/>
    </row>
    <row r="15" spans="1:20" s="33" customFormat="1" ht="12.5" x14ac:dyDescent="0.35">
      <c r="A15" s="29">
        <v>57</v>
      </c>
      <c r="B15" s="33" t="s">
        <v>12</v>
      </c>
      <c r="C15" s="43">
        <v>4509</v>
      </c>
      <c r="D15" s="43">
        <v>3575</v>
      </c>
      <c r="E15" s="43">
        <v>1908</v>
      </c>
      <c r="F15" s="43">
        <v>1696</v>
      </c>
      <c r="G15" s="43">
        <v>1355</v>
      </c>
      <c r="H15" s="43">
        <v>1246</v>
      </c>
      <c r="I15" s="43">
        <v>743</v>
      </c>
      <c r="J15" s="43">
        <v>228</v>
      </c>
      <c r="L15" s="40"/>
      <c r="M15" s="40"/>
      <c r="N15" s="40"/>
      <c r="O15" s="40"/>
      <c r="P15" s="40"/>
      <c r="Q15" s="40"/>
      <c r="R15" s="40"/>
      <c r="S15" s="40"/>
    </row>
    <row r="16" spans="1:20" s="33" customFormat="1" ht="12.5" x14ac:dyDescent="0.35">
      <c r="A16" s="29">
        <v>59</v>
      </c>
      <c r="B16" s="33" t="s">
        <v>13</v>
      </c>
      <c r="C16" s="43">
        <v>8777</v>
      </c>
      <c r="D16" s="43">
        <v>6381</v>
      </c>
      <c r="E16" s="43">
        <v>1679</v>
      </c>
      <c r="F16" s="43">
        <v>2432</v>
      </c>
      <c r="G16" s="43">
        <v>456</v>
      </c>
      <c r="H16" s="43">
        <v>646</v>
      </c>
      <c r="I16" s="43">
        <v>0</v>
      </c>
      <c r="J16" s="43">
        <v>0</v>
      </c>
      <c r="L16" s="40"/>
      <c r="M16" s="40"/>
      <c r="N16" s="40"/>
      <c r="O16" s="40"/>
      <c r="P16" s="40"/>
      <c r="Q16" s="40"/>
      <c r="R16" s="40"/>
      <c r="S16" s="40"/>
    </row>
    <row r="17" spans="1:19" s="33" customFormat="1" ht="12.5" x14ac:dyDescent="0.35">
      <c r="A17" s="29">
        <v>60</v>
      </c>
      <c r="B17" s="33" t="s">
        <v>14</v>
      </c>
      <c r="C17" s="43">
        <v>10658</v>
      </c>
      <c r="D17" s="43">
        <v>18073.599999999999</v>
      </c>
      <c r="E17" s="43">
        <v>8374</v>
      </c>
      <c r="F17" s="43">
        <v>13977.76</v>
      </c>
      <c r="G17" s="43">
        <v>3537</v>
      </c>
      <c r="H17" s="43">
        <v>6545</v>
      </c>
      <c r="I17" s="43">
        <v>4131</v>
      </c>
      <c r="J17" s="43">
        <v>5023</v>
      </c>
      <c r="L17" s="40"/>
      <c r="M17" s="40"/>
      <c r="N17" s="40"/>
      <c r="O17" s="40"/>
      <c r="P17" s="40"/>
      <c r="Q17" s="40"/>
      <c r="R17" s="40"/>
      <c r="S17" s="40"/>
    </row>
    <row r="18" spans="1:19" s="33" customFormat="1" ht="12.5" x14ac:dyDescent="0.35">
      <c r="A18" s="29">
        <v>61</v>
      </c>
      <c r="B18" s="44" t="s">
        <v>53</v>
      </c>
      <c r="C18" s="43">
        <v>8774</v>
      </c>
      <c r="D18" s="43">
        <v>10832</v>
      </c>
      <c r="E18" s="43">
        <v>5789</v>
      </c>
      <c r="F18" s="43">
        <v>7497</v>
      </c>
      <c r="G18" s="43">
        <v>1476</v>
      </c>
      <c r="H18" s="43">
        <v>1744</v>
      </c>
      <c r="I18" s="43">
        <v>0</v>
      </c>
      <c r="J18" s="43">
        <v>0</v>
      </c>
      <c r="L18" s="40"/>
      <c r="M18" s="40"/>
      <c r="N18" s="40"/>
      <c r="O18" s="40"/>
      <c r="P18" s="40"/>
      <c r="Q18" s="40"/>
      <c r="R18" s="40"/>
      <c r="S18" s="40"/>
    </row>
    <row r="19" spans="1:19" s="33" customFormat="1" ht="12.5" x14ac:dyDescent="0.35">
      <c r="A19" s="29">
        <v>62</v>
      </c>
      <c r="B19" s="44" t="s">
        <v>126</v>
      </c>
      <c r="C19" s="43">
        <v>12371</v>
      </c>
      <c r="D19" s="43">
        <v>16547</v>
      </c>
      <c r="E19" s="43">
        <v>7980</v>
      </c>
      <c r="F19" s="43">
        <v>11000</v>
      </c>
      <c r="G19" s="43" t="s">
        <v>77</v>
      </c>
      <c r="H19" s="43" t="s">
        <v>77</v>
      </c>
      <c r="I19" s="43">
        <v>88</v>
      </c>
      <c r="J19" s="43">
        <v>48</v>
      </c>
      <c r="L19" s="40"/>
      <c r="M19" s="40"/>
      <c r="N19" s="40"/>
      <c r="O19" s="40"/>
      <c r="P19" s="40"/>
      <c r="Q19" s="40"/>
      <c r="R19" s="40"/>
      <c r="S19" s="40"/>
    </row>
    <row r="20" spans="1:19" s="33" customFormat="1" ht="12.5" x14ac:dyDescent="0.35">
      <c r="A20" s="29">
        <v>58</v>
      </c>
      <c r="B20" s="33" t="s">
        <v>16</v>
      </c>
      <c r="C20" s="43" t="s">
        <v>127</v>
      </c>
      <c r="D20" s="43" t="s">
        <v>127</v>
      </c>
      <c r="E20" s="43" t="s">
        <v>127</v>
      </c>
      <c r="F20" s="43" t="s">
        <v>127</v>
      </c>
      <c r="G20" s="43" t="s">
        <v>127</v>
      </c>
      <c r="H20" s="43" t="s">
        <v>127</v>
      </c>
      <c r="I20" s="43" t="s">
        <v>127</v>
      </c>
      <c r="J20" s="43" t="s">
        <v>127</v>
      </c>
      <c r="L20" s="40"/>
      <c r="M20" s="40"/>
      <c r="N20" s="40"/>
      <c r="O20" s="40"/>
      <c r="P20" s="40"/>
      <c r="Q20" s="40"/>
      <c r="R20" s="40"/>
      <c r="S20" s="40"/>
    </row>
    <row r="21" spans="1:19" s="33" customFormat="1" ht="12.5" x14ac:dyDescent="0.35">
      <c r="A21" s="29">
        <v>63</v>
      </c>
      <c r="B21" s="33" t="s">
        <v>17</v>
      </c>
      <c r="C21" s="43">
        <v>18915</v>
      </c>
      <c r="D21" s="43">
        <v>14964</v>
      </c>
      <c r="E21" s="43">
        <v>7136</v>
      </c>
      <c r="F21" s="43">
        <v>5994</v>
      </c>
      <c r="G21" s="43">
        <v>1086</v>
      </c>
      <c r="H21" s="43">
        <v>1146</v>
      </c>
      <c r="I21" s="43">
        <v>0</v>
      </c>
      <c r="J21" s="43">
        <v>0</v>
      </c>
      <c r="L21" s="40"/>
      <c r="M21" s="40"/>
      <c r="N21" s="40"/>
      <c r="O21" s="40"/>
      <c r="P21" s="40"/>
      <c r="Q21" s="40"/>
      <c r="R21" s="40"/>
      <c r="S21" s="40"/>
    </row>
    <row r="22" spans="1:19" s="33" customFormat="1" ht="12.5" x14ac:dyDescent="0.35">
      <c r="A22" s="29">
        <v>64</v>
      </c>
      <c r="B22" s="33" t="s">
        <v>18</v>
      </c>
      <c r="C22" s="43">
        <v>9240</v>
      </c>
      <c r="D22" s="43">
        <v>17057</v>
      </c>
      <c r="E22" s="43">
        <v>6226</v>
      </c>
      <c r="F22" s="43">
        <v>10447</v>
      </c>
      <c r="G22" s="43">
        <v>5015</v>
      </c>
      <c r="H22" s="43">
        <v>7954.5</v>
      </c>
      <c r="I22" s="43">
        <v>0</v>
      </c>
      <c r="J22" s="43">
        <v>0</v>
      </c>
      <c r="L22" s="40"/>
      <c r="M22" s="40"/>
      <c r="N22" s="40"/>
      <c r="O22" s="40"/>
      <c r="P22" s="40"/>
      <c r="Q22" s="40"/>
      <c r="R22" s="40"/>
      <c r="S22" s="40"/>
    </row>
    <row r="23" spans="1:19" s="33" customFormat="1" ht="12.5" x14ac:dyDescent="0.35">
      <c r="A23" s="29">
        <v>65</v>
      </c>
      <c r="B23" s="33" t="s">
        <v>19</v>
      </c>
      <c r="C23" s="43">
        <v>9488</v>
      </c>
      <c r="D23" s="43">
        <v>8169</v>
      </c>
      <c r="E23" s="43">
        <v>5461</v>
      </c>
      <c r="F23" s="43" t="s">
        <v>77</v>
      </c>
      <c r="G23" s="43">
        <v>2343</v>
      </c>
      <c r="H23" s="43" t="s">
        <v>77</v>
      </c>
      <c r="I23" s="43">
        <v>999</v>
      </c>
      <c r="J23" s="43">
        <v>839</v>
      </c>
      <c r="L23" s="40"/>
      <c r="M23" s="40"/>
      <c r="N23" s="40"/>
      <c r="O23" s="40"/>
      <c r="P23" s="40"/>
      <c r="Q23" s="40"/>
      <c r="R23" s="40"/>
      <c r="S23" s="40"/>
    </row>
    <row r="24" spans="1:19" s="33" customFormat="1" ht="12.5" x14ac:dyDescent="0.35">
      <c r="A24" s="29">
        <v>67</v>
      </c>
      <c r="B24" s="33" t="s">
        <v>20</v>
      </c>
      <c r="C24" s="43">
        <v>7147</v>
      </c>
      <c r="D24" s="43">
        <v>10720</v>
      </c>
      <c r="E24" s="43">
        <v>3782</v>
      </c>
      <c r="F24" s="43">
        <v>5673</v>
      </c>
      <c r="G24" s="43">
        <v>2220</v>
      </c>
      <c r="H24" s="43">
        <v>3330</v>
      </c>
      <c r="I24" s="43">
        <v>0</v>
      </c>
      <c r="J24" s="43">
        <v>0</v>
      </c>
      <c r="L24" s="40"/>
      <c r="M24" s="40"/>
      <c r="N24" s="40"/>
      <c r="O24" s="40"/>
      <c r="P24" s="40"/>
      <c r="Q24" s="40"/>
      <c r="R24" s="40"/>
      <c r="S24" s="40"/>
    </row>
    <row r="25" spans="1:19" s="33" customFormat="1" ht="12.5" x14ac:dyDescent="0.35">
      <c r="A25" s="29">
        <v>68</v>
      </c>
      <c r="B25" s="33" t="s">
        <v>23</v>
      </c>
      <c r="C25" s="43">
        <v>6256</v>
      </c>
      <c r="D25" s="43">
        <v>8356</v>
      </c>
      <c r="E25" s="43">
        <v>3643</v>
      </c>
      <c r="F25" s="43">
        <v>1214.83</v>
      </c>
      <c r="G25" s="43" t="s">
        <v>77</v>
      </c>
      <c r="H25" s="43" t="s">
        <v>77</v>
      </c>
      <c r="I25" s="43">
        <v>215</v>
      </c>
      <c r="J25" s="43">
        <v>71.599999999999994</v>
      </c>
      <c r="L25" s="40"/>
      <c r="M25" s="40"/>
      <c r="N25" s="40"/>
      <c r="O25" s="40"/>
      <c r="P25" s="40"/>
      <c r="Q25" s="40"/>
      <c r="R25" s="40"/>
      <c r="S25" s="40"/>
    </row>
    <row r="26" spans="1:19" s="33" customFormat="1" ht="12.5" x14ac:dyDescent="0.35">
      <c r="A26" s="29">
        <v>69</v>
      </c>
      <c r="B26" s="33" t="s">
        <v>54</v>
      </c>
      <c r="C26" s="43">
        <v>4232</v>
      </c>
      <c r="D26" s="43">
        <v>4884</v>
      </c>
      <c r="E26" s="43">
        <v>2388</v>
      </c>
      <c r="F26" s="43">
        <v>3002</v>
      </c>
      <c r="G26" s="43">
        <v>1648</v>
      </c>
      <c r="H26" s="43">
        <v>2071</v>
      </c>
      <c r="I26" s="43">
        <v>0</v>
      </c>
      <c r="J26" s="43">
        <v>0</v>
      </c>
      <c r="L26" s="40"/>
      <c r="M26" s="40"/>
      <c r="N26" s="40"/>
      <c r="O26" s="40"/>
      <c r="P26" s="40"/>
      <c r="Q26" s="40"/>
      <c r="R26" s="40"/>
      <c r="S26" s="40"/>
    </row>
    <row r="27" spans="1:19" s="33" customFormat="1" ht="12.5" x14ac:dyDescent="0.35">
      <c r="A27" s="29">
        <v>70</v>
      </c>
      <c r="B27" s="33" t="s">
        <v>25</v>
      </c>
      <c r="C27" s="43">
        <v>4852</v>
      </c>
      <c r="D27" s="43">
        <v>9704</v>
      </c>
      <c r="E27" s="43">
        <v>1794</v>
      </c>
      <c r="F27" s="43">
        <v>3588</v>
      </c>
      <c r="G27" s="43">
        <v>617</v>
      </c>
      <c r="H27" s="43">
        <v>1234</v>
      </c>
      <c r="I27" s="43">
        <v>1865</v>
      </c>
      <c r="J27" s="43">
        <v>3730</v>
      </c>
      <c r="L27" s="40"/>
      <c r="M27" s="40"/>
      <c r="N27" s="40"/>
      <c r="O27" s="40"/>
      <c r="P27" s="40"/>
      <c r="Q27" s="40"/>
      <c r="R27" s="40"/>
      <c r="S27" s="40"/>
    </row>
    <row r="28" spans="1:19" s="33" customFormat="1" ht="12.5" x14ac:dyDescent="0.35">
      <c r="A28" s="29">
        <v>71</v>
      </c>
      <c r="B28" s="33" t="s">
        <v>26</v>
      </c>
      <c r="C28" s="43">
        <v>6300</v>
      </c>
      <c r="D28" s="43">
        <v>5240</v>
      </c>
      <c r="E28" s="43">
        <v>2640</v>
      </c>
      <c r="F28" s="43">
        <v>2026</v>
      </c>
      <c r="G28" s="43">
        <v>1293</v>
      </c>
      <c r="H28" s="43">
        <v>1224</v>
      </c>
      <c r="I28" s="43">
        <v>0</v>
      </c>
      <c r="J28" s="43">
        <v>0</v>
      </c>
      <c r="L28" s="40"/>
      <c r="M28" s="40"/>
      <c r="N28" s="40"/>
      <c r="O28" s="40"/>
      <c r="P28" s="40"/>
      <c r="Q28" s="40"/>
      <c r="R28" s="40"/>
      <c r="S28" s="40"/>
    </row>
    <row r="29" spans="1:19" s="33" customFormat="1" ht="12.5" x14ac:dyDescent="0.35">
      <c r="A29" s="29">
        <v>73</v>
      </c>
      <c r="B29" s="33" t="s">
        <v>55</v>
      </c>
      <c r="C29" s="43">
        <v>777</v>
      </c>
      <c r="D29" s="43">
        <v>651</v>
      </c>
      <c r="E29" s="43">
        <v>641</v>
      </c>
      <c r="F29" s="43">
        <v>537</v>
      </c>
      <c r="G29" s="43" t="s">
        <v>77</v>
      </c>
      <c r="H29" s="43" t="s">
        <v>77</v>
      </c>
      <c r="I29" s="43">
        <v>261</v>
      </c>
      <c r="J29" s="43">
        <v>196</v>
      </c>
      <c r="L29" s="40"/>
      <c r="M29" s="40"/>
      <c r="N29" s="40"/>
      <c r="O29" s="40"/>
      <c r="P29" s="40"/>
      <c r="Q29" s="40"/>
      <c r="R29" s="40"/>
      <c r="S29" s="40"/>
    </row>
    <row r="30" spans="1:19" s="33" customFormat="1" ht="12.5" x14ac:dyDescent="0.35">
      <c r="A30" s="29">
        <v>74</v>
      </c>
      <c r="B30" s="33" t="s">
        <v>29</v>
      </c>
      <c r="C30" s="43">
        <v>9000</v>
      </c>
      <c r="D30" s="43">
        <v>13500</v>
      </c>
      <c r="E30" s="43">
        <v>5049</v>
      </c>
      <c r="F30" s="43">
        <v>7573.5</v>
      </c>
      <c r="G30" s="43">
        <v>4973</v>
      </c>
      <c r="H30" s="43">
        <v>7459.5</v>
      </c>
      <c r="I30" s="43">
        <v>0</v>
      </c>
      <c r="J30" s="43">
        <v>0</v>
      </c>
      <c r="L30" s="40"/>
      <c r="M30" s="40"/>
      <c r="N30" s="40"/>
      <c r="O30" s="40"/>
      <c r="P30" s="40"/>
      <c r="Q30" s="40"/>
      <c r="R30" s="40"/>
      <c r="S30" s="40"/>
    </row>
    <row r="31" spans="1:19" s="33" customFormat="1" ht="12.5" x14ac:dyDescent="0.35">
      <c r="A31" s="29">
        <v>75</v>
      </c>
      <c r="B31" s="33" t="s">
        <v>30</v>
      </c>
      <c r="C31" s="43">
        <v>11948</v>
      </c>
      <c r="D31" s="43">
        <v>17600</v>
      </c>
      <c r="E31" s="43">
        <v>6825</v>
      </c>
      <c r="F31" s="43">
        <v>8798</v>
      </c>
      <c r="G31" s="43">
        <v>1464</v>
      </c>
      <c r="H31" s="43">
        <v>1888</v>
      </c>
      <c r="I31" s="43">
        <v>0</v>
      </c>
      <c r="J31" s="43">
        <v>0</v>
      </c>
      <c r="L31" s="40"/>
      <c r="M31" s="40"/>
      <c r="N31" s="40"/>
      <c r="O31" s="40"/>
      <c r="P31" s="40"/>
      <c r="Q31" s="40"/>
      <c r="R31" s="40"/>
      <c r="S31" s="40"/>
    </row>
    <row r="32" spans="1:19" s="33" customFormat="1" ht="12.5" x14ac:dyDescent="0.35">
      <c r="A32" s="29">
        <v>76</v>
      </c>
      <c r="B32" s="33" t="s">
        <v>31</v>
      </c>
      <c r="C32" s="43">
        <v>8624</v>
      </c>
      <c r="D32" s="43">
        <v>15092</v>
      </c>
      <c r="E32" s="43">
        <v>4104</v>
      </c>
      <c r="F32" s="43">
        <v>7182</v>
      </c>
      <c r="G32" s="43">
        <v>2071</v>
      </c>
      <c r="H32" s="43">
        <v>3624</v>
      </c>
      <c r="I32" s="43">
        <v>463</v>
      </c>
      <c r="J32" s="43">
        <v>810</v>
      </c>
      <c r="L32" s="40"/>
      <c r="M32" s="40"/>
      <c r="N32" s="40"/>
      <c r="O32" s="40"/>
      <c r="P32" s="40"/>
      <c r="Q32" s="40"/>
      <c r="R32" s="40"/>
      <c r="S32" s="40"/>
    </row>
    <row r="33" spans="1:19" s="33" customFormat="1" ht="12.5" x14ac:dyDescent="0.35">
      <c r="A33" s="29">
        <v>79</v>
      </c>
      <c r="B33" s="33" t="s">
        <v>32</v>
      </c>
      <c r="C33" s="43">
        <v>6232</v>
      </c>
      <c r="D33" s="43">
        <v>5491</v>
      </c>
      <c r="E33" s="43">
        <v>2188</v>
      </c>
      <c r="F33" s="43">
        <v>2744</v>
      </c>
      <c r="G33" s="43">
        <v>2195</v>
      </c>
      <c r="H33" s="43">
        <v>2918</v>
      </c>
      <c r="I33" s="43">
        <v>26</v>
      </c>
      <c r="J33" s="43">
        <v>39</v>
      </c>
      <c r="L33" s="40"/>
      <c r="M33" s="40"/>
      <c r="N33" s="40"/>
      <c r="O33" s="40"/>
      <c r="P33" s="40"/>
      <c r="Q33" s="40"/>
      <c r="R33" s="40"/>
      <c r="S33" s="40"/>
    </row>
    <row r="34" spans="1:19" s="33" customFormat="1" ht="12.5" x14ac:dyDescent="0.35">
      <c r="A34" s="29">
        <v>80</v>
      </c>
      <c r="B34" s="33" t="s">
        <v>34</v>
      </c>
      <c r="C34" s="43">
        <v>3291</v>
      </c>
      <c r="D34" s="43">
        <v>3437.33</v>
      </c>
      <c r="E34" s="43">
        <v>1802</v>
      </c>
      <c r="F34" s="43">
        <v>1880</v>
      </c>
      <c r="G34" s="43" t="s">
        <v>77</v>
      </c>
      <c r="H34" s="43" t="s">
        <v>77</v>
      </c>
      <c r="I34" s="43">
        <v>2</v>
      </c>
      <c r="J34" s="43">
        <v>2.2999999999999998</v>
      </c>
      <c r="L34" s="40"/>
      <c r="M34" s="40"/>
      <c r="N34" s="40"/>
      <c r="O34" s="40"/>
      <c r="P34" s="40"/>
      <c r="Q34" s="40"/>
      <c r="R34" s="40"/>
      <c r="S34" s="40"/>
    </row>
    <row r="35" spans="1:19" s="33" customFormat="1" ht="12.5" x14ac:dyDescent="0.35">
      <c r="A35" s="29">
        <v>81</v>
      </c>
      <c r="B35" s="33" t="s">
        <v>35</v>
      </c>
      <c r="C35" s="43">
        <v>2536</v>
      </c>
      <c r="D35" s="43">
        <v>3595</v>
      </c>
      <c r="E35" s="43">
        <v>1580</v>
      </c>
      <c r="F35" s="43">
        <v>2240</v>
      </c>
      <c r="G35" s="43" t="s">
        <v>77</v>
      </c>
      <c r="H35" s="43" t="s">
        <v>77</v>
      </c>
      <c r="I35" s="43">
        <v>8</v>
      </c>
      <c r="J35" s="43">
        <v>3</v>
      </c>
      <c r="L35" s="40"/>
      <c r="M35" s="40"/>
      <c r="N35" s="40"/>
      <c r="O35" s="40"/>
      <c r="P35" s="40"/>
      <c r="Q35" s="40"/>
      <c r="R35" s="40"/>
      <c r="S35" s="40"/>
    </row>
    <row r="36" spans="1:19" s="33" customFormat="1" ht="12.5" x14ac:dyDescent="0.35">
      <c r="A36" s="29">
        <v>83</v>
      </c>
      <c r="B36" s="33" t="s">
        <v>36</v>
      </c>
      <c r="C36" s="43">
        <v>2217</v>
      </c>
      <c r="D36" s="43">
        <v>1773.17</v>
      </c>
      <c r="E36" s="43">
        <v>938</v>
      </c>
      <c r="F36" s="43">
        <v>938</v>
      </c>
      <c r="G36" s="43">
        <v>498</v>
      </c>
      <c r="H36" s="43">
        <v>498</v>
      </c>
      <c r="I36" s="43">
        <v>48</v>
      </c>
      <c r="J36" s="43">
        <v>48</v>
      </c>
      <c r="L36" s="40"/>
      <c r="M36" s="40"/>
      <c r="N36" s="40"/>
      <c r="O36" s="40"/>
      <c r="P36" s="40"/>
      <c r="Q36" s="40"/>
      <c r="R36" s="40"/>
      <c r="S36" s="40"/>
    </row>
    <row r="37" spans="1:19" s="33" customFormat="1" ht="12.5" x14ac:dyDescent="0.35">
      <c r="A37" s="29">
        <v>84</v>
      </c>
      <c r="B37" s="33" t="s">
        <v>37</v>
      </c>
      <c r="C37" s="43">
        <v>8616</v>
      </c>
      <c r="D37" s="43">
        <v>8180.25</v>
      </c>
      <c r="E37" s="43">
        <v>4356</v>
      </c>
      <c r="F37" s="43">
        <v>4261.5</v>
      </c>
      <c r="G37" s="43">
        <v>1378</v>
      </c>
      <c r="H37" s="43">
        <v>1620</v>
      </c>
      <c r="I37" s="43">
        <v>176</v>
      </c>
      <c r="J37" s="43">
        <v>89.25</v>
      </c>
      <c r="L37" s="40"/>
      <c r="M37" s="40"/>
      <c r="N37" s="40"/>
      <c r="O37" s="40"/>
      <c r="P37" s="40"/>
      <c r="Q37" s="40"/>
      <c r="R37" s="40"/>
      <c r="S37" s="40"/>
    </row>
    <row r="38" spans="1:19" s="33" customFormat="1" ht="12.5" x14ac:dyDescent="0.35">
      <c r="A38" s="29">
        <v>85</v>
      </c>
      <c r="B38" s="33" t="s">
        <v>38</v>
      </c>
      <c r="C38" s="43">
        <v>3894</v>
      </c>
      <c r="D38" s="43">
        <v>7751</v>
      </c>
      <c r="E38" s="43">
        <v>1959</v>
      </c>
      <c r="F38" s="43">
        <v>3791</v>
      </c>
      <c r="G38" s="43">
        <v>1645</v>
      </c>
      <c r="H38" s="43">
        <v>3266</v>
      </c>
      <c r="I38" s="43">
        <v>562</v>
      </c>
      <c r="J38" s="43">
        <v>791</v>
      </c>
      <c r="L38" s="40"/>
      <c r="M38" s="40"/>
      <c r="N38" s="40"/>
      <c r="O38" s="40"/>
      <c r="P38" s="40"/>
      <c r="Q38" s="40"/>
      <c r="R38" s="40"/>
      <c r="S38" s="40"/>
    </row>
    <row r="39" spans="1:19" s="33" customFormat="1" ht="12.5" x14ac:dyDescent="0.35">
      <c r="A39" s="29">
        <v>87</v>
      </c>
      <c r="B39" s="33" t="s">
        <v>39</v>
      </c>
      <c r="C39" s="43">
        <v>3245</v>
      </c>
      <c r="D39" s="43">
        <v>5478</v>
      </c>
      <c r="E39" s="43">
        <v>2099</v>
      </c>
      <c r="F39" s="43">
        <v>4479</v>
      </c>
      <c r="G39" s="43" t="s">
        <v>77</v>
      </c>
      <c r="H39" s="43" t="s">
        <v>77</v>
      </c>
      <c r="I39" s="43">
        <v>58</v>
      </c>
      <c r="J39" s="43">
        <v>58</v>
      </c>
      <c r="L39" s="40"/>
      <c r="M39" s="40"/>
      <c r="N39" s="40"/>
      <c r="O39" s="40"/>
      <c r="P39" s="40"/>
      <c r="Q39" s="40"/>
      <c r="R39" s="40"/>
      <c r="S39" s="40"/>
    </row>
    <row r="40" spans="1:19" s="33" customFormat="1" ht="12.5" x14ac:dyDescent="0.35">
      <c r="A40" s="29">
        <v>90</v>
      </c>
      <c r="B40" s="33" t="s">
        <v>40</v>
      </c>
      <c r="C40" s="43">
        <v>3031</v>
      </c>
      <c r="D40" s="43">
        <v>3811</v>
      </c>
      <c r="E40" s="43">
        <v>1049</v>
      </c>
      <c r="F40" s="43">
        <v>1161</v>
      </c>
      <c r="G40" s="43" t="s">
        <v>77</v>
      </c>
      <c r="H40" s="43" t="s">
        <v>77</v>
      </c>
      <c r="I40" s="43">
        <v>510</v>
      </c>
      <c r="J40" s="43" t="s">
        <v>77</v>
      </c>
      <c r="L40" s="40"/>
      <c r="M40" s="40"/>
      <c r="N40" s="40"/>
      <c r="O40" s="40"/>
      <c r="P40" s="40"/>
      <c r="Q40" s="40"/>
      <c r="R40" s="40"/>
      <c r="S40" s="40"/>
    </row>
    <row r="41" spans="1:19" s="33" customFormat="1" ht="12.5" x14ac:dyDescent="0.35">
      <c r="A41" s="29">
        <v>91</v>
      </c>
      <c r="B41" s="33" t="s">
        <v>42</v>
      </c>
      <c r="C41" s="43">
        <v>27491</v>
      </c>
      <c r="D41" s="43" t="s">
        <v>77</v>
      </c>
      <c r="E41" s="43">
        <v>15632</v>
      </c>
      <c r="F41" s="43" t="s">
        <v>77</v>
      </c>
      <c r="G41" s="43">
        <v>2614</v>
      </c>
      <c r="H41" s="43" t="s">
        <v>77</v>
      </c>
      <c r="I41" s="43">
        <v>396</v>
      </c>
      <c r="J41" s="43" t="s">
        <v>77</v>
      </c>
      <c r="L41" s="40"/>
      <c r="M41" s="40"/>
      <c r="N41" s="40"/>
      <c r="O41" s="40"/>
      <c r="P41" s="40"/>
      <c r="Q41" s="40"/>
      <c r="R41" s="40"/>
      <c r="S41" s="40"/>
    </row>
    <row r="42" spans="1:19" s="33" customFormat="1" ht="12.5" x14ac:dyDescent="0.35">
      <c r="A42" s="29">
        <v>92</v>
      </c>
      <c r="B42" s="33" t="s">
        <v>43</v>
      </c>
      <c r="C42" s="43">
        <v>2987</v>
      </c>
      <c r="D42" s="43">
        <v>5577.3900000000476</v>
      </c>
      <c r="E42" s="43">
        <v>199</v>
      </c>
      <c r="F42" s="43">
        <v>749.69999999999982</v>
      </c>
      <c r="G42" s="43">
        <v>1824</v>
      </c>
      <c r="H42" s="43">
        <v>4467.34</v>
      </c>
      <c r="I42" s="43">
        <v>0</v>
      </c>
      <c r="J42" s="43">
        <v>0</v>
      </c>
      <c r="L42" s="40"/>
      <c r="M42" s="40"/>
      <c r="N42" s="40"/>
      <c r="O42" s="40"/>
      <c r="P42" s="40"/>
      <c r="Q42" s="40"/>
      <c r="R42" s="40"/>
      <c r="S42" s="40"/>
    </row>
    <row r="43" spans="1:19" s="33" customFormat="1" ht="12.5" x14ac:dyDescent="0.35">
      <c r="A43" s="29">
        <v>94</v>
      </c>
      <c r="B43" s="33" t="s">
        <v>44</v>
      </c>
      <c r="C43" s="43">
        <v>5137</v>
      </c>
      <c r="D43" s="43">
        <v>11058</v>
      </c>
      <c r="E43" s="43">
        <v>1748</v>
      </c>
      <c r="F43" s="43">
        <v>4025</v>
      </c>
      <c r="G43" s="43">
        <v>1524</v>
      </c>
      <c r="H43" s="43">
        <v>3322</v>
      </c>
      <c r="I43" s="43">
        <v>784</v>
      </c>
      <c r="J43" s="43">
        <v>784</v>
      </c>
      <c r="L43" s="40"/>
      <c r="M43" s="40"/>
      <c r="N43" s="40"/>
      <c r="O43" s="40"/>
      <c r="P43" s="40"/>
      <c r="Q43" s="40"/>
      <c r="R43" s="40"/>
      <c r="S43" s="40"/>
    </row>
    <row r="44" spans="1:19" s="33" customFormat="1" ht="12.5" x14ac:dyDescent="0.35">
      <c r="A44" s="29">
        <v>96</v>
      </c>
      <c r="B44" s="33" t="s">
        <v>46</v>
      </c>
      <c r="C44" s="43">
        <v>4158</v>
      </c>
      <c r="D44" s="43">
        <v>4158</v>
      </c>
      <c r="E44" s="43">
        <v>2607</v>
      </c>
      <c r="F44" s="43">
        <v>2607</v>
      </c>
      <c r="G44" s="43">
        <v>756</v>
      </c>
      <c r="H44" s="43">
        <v>756</v>
      </c>
      <c r="I44" s="43">
        <v>199</v>
      </c>
      <c r="J44" s="43">
        <v>199</v>
      </c>
      <c r="L44" s="40"/>
      <c r="M44" s="40"/>
      <c r="N44" s="40"/>
      <c r="O44" s="40"/>
      <c r="P44" s="40"/>
      <c r="Q44" s="40"/>
      <c r="R44" s="40"/>
      <c r="S44" s="40"/>
    </row>
    <row r="45" spans="1:19" s="33" customFormat="1" ht="12.5" x14ac:dyDescent="0.35">
      <c r="A45" s="29">
        <v>98</v>
      </c>
      <c r="B45" s="33" t="s">
        <v>48</v>
      </c>
      <c r="C45" s="43">
        <v>6491</v>
      </c>
      <c r="D45" s="43">
        <v>9234</v>
      </c>
      <c r="E45" s="43">
        <v>5371</v>
      </c>
      <c r="F45" s="43">
        <v>6491</v>
      </c>
      <c r="G45" s="43">
        <v>1120</v>
      </c>
      <c r="H45" s="43">
        <v>2743</v>
      </c>
      <c r="I45" s="43">
        <v>0</v>
      </c>
      <c r="J45" s="43">
        <v>0</v>
      </c>
      <c r="L45" s="40"/>
      <c r="M45" s="40"/>
      <c r="N45" s="40"/>
      <c r="O45" s="40"/>
      <c r="P45" s="40"/>
      <c r="Q45" s="40"/>
      <c r="R45" s="40"/>
      <c r="S45" s="40"/>
    </row>
    <row r="46" spans="1:19" s="33" customFormat="1" ht="12.5" x14ac:dyDescent="0.35">
      <c r="A46" s="29">
        <v>72</v>
      </c>
      <c r="B46" s="33" t="s">
        <v>50</v>
      </c>
      <c r="C46" s="43" t="s">
        <v>127</v>
      </c>
      <c r="D46" s="43" t="s">
        <v>127</v>
      </c>
      <c r="E46" s="43" t="s">
        <v>127</v>
      </c>
      <c r="F46" s="43" t="s">
        <v>127</v>
      </c>
      <c r="G46" s="43" t="s">
        <v>127</v>
      </c>
      <c r="H46" s="43" t="s">
        <v>127</v>
      </c>
      <c r="I46" s="43" t="s">
        <v>127</v>
      </c>
      <c r="J46" s="43" t="s">
        <v>127</v>
      </c>
      <c r="L46" s="40"/>
      <c r="M46" s="40"/>
      <c r="N46" s="40"/>
      <c r="O46" s="40"/>
      <c r="P46" s="40"/>
      <c r="Q46" s="40"/>
      <c r="R46" s="40"/>
      <c r="S46" s="40"/>
    </row>
    <row r="47" spans="1:19" s="38" customFormat="1" ht="14" x14ac:dyDescent="0.35">
      <c r="B47" s="33" t="s">
        <v>28</v>
      </c>
      <c r="C47" s="43">
        <v>72</v>
      </c>
      <c r="D47" s="43">
        <v>24</v>
      </c>
      <c r="E47" s="43">
        <v>55</v>
      </c>
      <c r="F47" s="43">
        <v>18</v>
      </c>
      <c r="G47" s="43">
        <v>0</v>
      </c>
      <c r="H47" s="43">
        <v>0</v>
      </c>
      <c r="I47" s="43">
        <v>0</v>
      </c>
      <c r="J47" s="43">
        <v>0</v>
      </c>
      <c r="L47" s="40"/>
      <c r="M47" s="40"/>
      <c r="N47" s="40"/>
      <c r="O47" s="40"/>
      <c r="P47" s="40"/>
      <c r="Q47" s="40"/>
      <c r="R47" s="40"/>
      <c r="S47" s="40"/>
    </row>
    <row r="48" spans="1:19" s="33" customFormat="1" ht="14" x14ac:dyDescent="0.35">
      <c r="A48" s="29">
        <v>66</v>
      </c>
      <c r="B48" s="38" t="s">
        <v>56</v>
      </c>
      <c r="C48" s="42">
        <f>SUM(C49:C55)</f>
        <v>284606</v>
      </c>
      <c r="D48" s="42">
        <f t="shared" ref="D48:J48" si="2">SUM(D49:D55)</f>
        <v>460742.5</v>
      </c>
      <c r="E48" s="42">
        <f t="shared" si="2"/>
        <v>133448</v>
      </c>
      <c r="F48" s="42">
        <f t="shared" si="2"/>
        <v>224579.75</v>
      </c>
      <c r="G48" s="42">
        <f t="shared" si="2"/>
        <v>80154</v>
      </c>
      <c r="H48" s="42">
        <f t="shared" si="2"/>
        <v>163033.43333333335</v>
      </c>
      <c r="I48" s="42">
        <f t="shared" si="2"/>
        <v>10047</v>
      </c>
      <c r="J48" s="42">
        <f t="shared" si="2"/>
        <v>6540.333333333333</v>
      </c>
      <c r="L48" s="40"/>
      <c r="M48" s="40"/>
      <c r="N48" s="40"/>
      <c r="O48" s="40"/>
      <c r="P48" s="40"/>
      <c r="Q48" s="40"/>
      <c r="R48" s="40"/>
      <c r="S48" s="40"/>
    </row>
    <row r="49" spans="1:19" s="33" customFormat="1" ht="14.25" customHeight="1" x14ac:dyDescent="0.35">
      <c r="A49" s="29">
        <v>78</v>
      </c>
      <c r="B49" s="33" t="s">
        <v>22</v>
      </c>
      <c r="C49" s="43">
        <v>27796</v>
      </c>
      <c r="D49" s="43">
        <v>35713</v>
      </c>
      <c r="E49" s="43">
        <v>10206</v>
      </c>
      <c r="F49" s="43">
        <v>14718</v>
      </c>
      <c r="G49" s="43">
        <v>5401</v>
      </c>
      <c r="H49" s="43">
        <v>11213.5</v>
      </c>
      <c r="I49" s="43">
        <v>117</v>
      </c>
      <c r="J49" s="43">
        <v>117</v>
      </c>
      <c r="L49" s="40"/>
      <c r="M49" s="40"/>
      <c r="N49" s="40"/>
      <c r="O49" s="40"/>
      <c r="P49" s="40"/>
      <c r="Q49" s="40"/>
      <c r="R49" s="40"/>
      <c r="S49" s="40"/>
    </row>
    <row r="50" spans="1:19" s="33" customFormat="1" ht="15.75" customHeight="1" x14ac:dyDescent="0.35">
      <c r="A50" s="29">
        <v>89</v>
      </c>
      <c r="B50" s="33" t="s">
        <v>33</v>
      </c>
      <c r="C50" s="43">
        <v>57679</v>
      </c>
      <c r="D50" s="43">
        <v>91709</v>
      </c>
      <c r="E50" s="43">
        <v>34870</v>
      </c>
      <c r="F50" s="43">
        <v>55443</v>
      </c>
      <c r="G50" s="43">
        <v>8008</v>
      </c>
      <c r="H50" s="43">
        <v>12732</v>
      </c>
      <c r="I50" s="43">
        <v>3214</v>
      </c>
      <c r="J50" s="43">
        <v>5110</v>
      </c>
      <c r="L50" s="40"/>
      <c r="M50" s="40"/>
      <c r="N50" s="40"/>
      <c r="O50" s="40"/>
      <c r="P50" s="40"/>
      <c r="Q50" s="40"/>
      <c r="R50" s="40"/>
      <c r="S50" s="40"/>
    </row>
    <row r="51" spans="1:19" s="33" customFormat="1" ht="12.5" x14ac:dyDescent="0.35">
      <c r="A51" s="29">
        <v>93</v>
      </c>
      <c r="B51" s="33" t="s">
        <v>41</v>
      </c>
      <c r="C51" s="43">
        <v>20893</v>
      </c>
      <c r="D51" s="43">
        <v>21588.5</v>
      </c>
      <c r="E51" s="43">
        <v>8608</v>
      </c>
      <c r="F51" s="43">
        <v>5785.75</v>
      </c>
      <c r="G51" s="43">
        <v>4214</v>
      </c>
      <c r="H51" s="43">
        <v>2933.9333333333334</v>
      </c>
      <c r="I51" s="43">
        <v>378</v>
      </c>
      <c r="J51" s="43">
        <v>243.33333333333334</v>
      </c>
      <c r="L51" s="40"/>
      <c r="M51" s="40"/>
      <c r="N51" s="40"/>
      <c r="O51" s="40"/>
      <c r="P51" s="40"/>
      <c r="Q51" s="40"/>
      <c r="R51" s="40"/>
      <c r="S51" s="40"/>
    </row>
    <row r="52" spans="1:19" s="33" customFormat="1" ht="12.5" x14ac:dyDescent="0.35">
      <c r="A52" s="29">
        <v>95</v>
      </c>
      <c r="B52" s="33" t="s">
        <v>57</v>
      </c>
      <c r="C52" s="43">
        <v>29147</v>
      </c>
      <c r="D52" s="43">
        <v>15152</v>
      </c>
      <c r="E52" s="43">
        <v>12706</v>
      </c>
      <c r="F52" s="43">
        <v>7063</v>
      </c>
      <c r="G52" s="43">
        <v>5407</v>
      </c>
      <c r="H52" s="43">
        <v>3361</v>
      </c>
      <c r="I52" s="43">
        <v>4035</v>
      </c>
      <c r="J52" s="43">
        <v>1037</v>
      </c>
      <c r="L52" s="40"/>
      <c r="M52" s="40"/>
      <c r="N52" s="40"/>
      <c r="O52" s="40"/>
      <c r="P52" s="40"/>
      <c r="Q52" s="40"/>
      <c r="R52" s="40"/>
      <c r="S52" s="40"/>
    </row>
    <row r="53" spans="1:19" s="33" customFormat="1" ht="12.5" x14ac:dyDescent="0.35">
      <c r="A53" s="29">
        <v>97</v>
      </c>
      <c r="B53" s="33" t="s">
        <v>47</v>
      </c>
      <c r="C53" s="43">
        <v>26673</v>
      </c>
      <c r="D53" s="43">
        <v>100697</v>
      </c>
      <c r="E53" s="43">
        <v>14196</v>
      </c>
      <c r="F53" s="43">
        <v>53593</v>
      </c>
      <c r="G53" s="43">
        <v>15701</v>
      </c>
      <c r="H53" s="43">
        <v>59275</v>
      </c>
      <c r="I53" s="43">
        <v>0</v>
      </c>
      <c r="J53" s="43">
        <v>0</v>
      </c>
      <c r="L53" s="40"/>
      <c r="M53" s="40"/>
      <c r="N53" s="40"/>
      <c r="O53" s="40"/>
      <c r="P53" s="40"/>
      <c r="Q53" s="40"/>
      <c r="R53" s="40"/>
      <c r="S53" s="40"/>
    </row>
    <row r="54" spans="1:19" s="33" customFormat="1" ht="12.5" x14ac:dyDescent="0.35">
      <c r="A54" s="45">
        <v>77</v>
      </c>
      <c r="B54" s="33" t="s">
        <v>49</v>
      </c>
      <c r="C54" s="43">
        <v>37527</v>
      </c>
      <c r="D54" s="43">
        <v>37179</v>
      </c>
      <c r="E54" s="43">
        <v>16812</v>
      </c>
      <c r="F54" s="43">
        <v>16996</v>
      </c>
      <c r="G54" s="43">
        <v>11089</v>
      </c>
      <c r="H54" s="43">
        <v>12265</v>
      </c>
      <c r="I54" s="43">
        <v>27</v>
      </c>
      <c r="J54" s="43">
        <v>33</v>
      </c>
      <c r="L54" s="40"/>
      <c r="M54" s="40"/>
      <c r="N54" s="40"/>
      <c r="O54" s="40"/>
      <c r="P54" s="40"/>
      <c r="Q54" s="40"/>
      <c r="R54" s="40"/>
      <c r="S54" s="40"/>
    </row>
    <row r="55" spans="1:19" s="33" customFormat="1" ht="12.5" x14ac:dyDescent="0.35">
      <c r="B55" s="100" t="s">
        <v>21</v>
      </c>
      <c r="C55" s="43">
        <v>84891</v>
      </c>
      <c r="D55" s="43">
        <v>158704</v>
      </c>
      <c r="E55" s="43">
        <v>36050</v>
      </c>
      <c r="F55" s="43">
        <v>70981</v>
      </c>
      <c r="G55" s="43">
        <v>30334</v>
      </c>
      <c r="H55" s="43">
        <v>61253</v>
      </c>
      <c r="I55" s="43">
        <v>2276</v>
      </c>
      <c r="J55" s="43" t="s">
        <v>77</v>
      </c>
      <c r="L55" s="40"/>
      <c r="M55" s="40"/>
      <c r="N55" s="40"/>
      <c r="O55" s="40"/>
      <c r="P55" s="40"/>
      <c r="Q55" s="40"/>
      <c r="R55" s="40"/>
      <c r="S55" s="40"/>
    </row>
    <row r="56" spans="1:19" s="33" customFormat="1" x14ac:dyDescent="0.35">
      <c r="B56" s="47"/>
      <c r="J56" s="48"/>
    </row>
    <row r="57" spans="1:19" s="33" customFormat="1" ht="12.5" x14ac:dyDescent="0.35">
      <c r="B57" s="33" t="s">
        <v>78</v>
      </c>
      <c r="J57" s="48"/>
    </row>
    <row r="58" spans="1:19" s="33" customFormat="1" ht="12.5" x14ac:dyDescent="0.35">
      <c r="J58" s="48"/>
    </row>
    <row r="59" spans="1:19" x14ac:dyDescent="0.3">
      <c r="B59" s="49" t="s">
        <v>79</v>
      </c>
      <c r="C59" s="33"/>
      <c r="D59" s="33"/>
      <c r="E59" s="33"/>
      <c r="F59" s="33"/>
      <c r="G59" s="33"/>
      <c r="H59" s="33"/>
      <c r="I59" s="33"/>
      <c r="J59" s="50"/>
    </row>
    <row r="61" spans="1:19" ht="9.75" customHeight="1" x14ac:dyDescent="0.3">
      <c r="B61" s="51" t="s">
        <v>80</v>
      </c>
    </row>
  </sheetData>
  <mergeCells count="6">
    <mergeCell ref="B1:J1"/>
    <mergeCell ref="B2:B3"/>
    <mergeCell ref="C2:D2"/>
    <mergeCell ref="E2:F2"/>
    <mergeCell ref="G2:H2"/>
    <mergeCell ref="I2:J2"/>
  </mergeCells>
  <pageMargins left="0.48" right="0.31" top="1" bottom="1" header="0.5" footer="0.5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(2010-11)</vt:lpstr>
      <vt:lpstr>(2011-12)</vt:lpstr>
      <vt:lpstr>(2012-13)</vt:lpstr>
      <vt:lpstr>(2013-14)</vt:lpstr>
      <vt:lpstr>(2014-15)</vt:lpstr>
      <vt:lpstr>2015-16_working</vt:lpstr>
      <vt:lpstr>(2015-16)</vt:lpstr>
      <vt:lpstr>2016-17_working</vt:lpstr>
      <vt:lpstr>(2016-17)</vt:lpstr>
      <vt:lpstr>2017-18_working</vt:lpstr>
      <vt:lpstr>(2017-18)</vt:lpstr>
      <vt:lpstr>FIRE1201 raw</vt:lpstr>
      <vt:lpstr>FIRE1201</vt:lpstr>
      <vt:lpstr>'(2010-11)'!Print_Area</vt:lpstr>
      <vt:lpstr>'(2011-12)'!Print_Area</vt:lpstr>
      <vt:lpstr>'(2012-13)'!Print_Area</vt:lpstr>
      <vt:lpstr>'(2013-14)'!Print_Area</vt:lpstr>
      <vt:lpstr>'(2014-15)'!Print_Area</vt:lpstr>
      <vt:lpstr>'(2015-16)'!Print_Area</vt:lpstr>
      <vt:lpstr>'(2016-17)'!Print_Area</vt:lpstr>
      <vt:lpstr>'(2017-18)'!Print_Area</vt:lpstr>
      <vt:lpstr>'2015-16_working'!Print_Area</vt:lpstr>
      <vt:lpstr>'2016-17_working'!Print_Area</vt:lpstr>
      <vt:lpstr>'2017-18_working'!Print_Area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FIRE1201: Home fire risk checks carried out by fire and rescue services and partners, by fire and rescue authority</dc:title>
  <dc:creator/>
  <cp:keywords>data tables, home, fire, risk, 2018</cp:keywords>
  <cp:lastModifiedBy/>
  <dcterms:created xsi:type="dcterms:W3CDTF">2018-10-15T11:37:33Z</dcterms:created>
  <dcterms:modified xsi:type="dcterms:W3CDTF">2019-09-27T12:56:46Z</dcterms:modified>
</cp:coreProperties>
</file>