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320" windowHeight="11835" firstSheet="7" activeTab="7"/>
  </bookViews>
  <sheets>
    <sheet name="(2010-11)" sheetId="23" state="hidden" r:id="rId1"/>
    <sheet name="(2011-12)" sheetId="22" state="hidden" r:id="rId2"/>
    <sheet name="(2012-13)" sheetId="21" state="hidden" r:id="rId3"/>
    <sheet name="(2013-14)" sheetId="20" state="hidden" r:id="rId4"/>
    <sheet name="(2014-15)" sheetId="19" state="hidden" r:id="rId5"/>
    <sheet name="(2015-16)" sheetId="14" state="hidden" r:id="rId6"/>
    <sheet name="FIRE1112 raw" sheetId="1" state="hidden" r:id="rId7"/>
    <sheet name="FIRE1402" sheetId="11" r:id="rId8"/>
  </sheets>
  <definedNames>
    <definedName name="_xlnm.Print_Area" localSheetId="0">'(2010-11)'!$B$1:$G$58</definedName>
    <definedName name="_xlnm.Print_Area" localSheetId="1">'(2011-12)'!$B$1:$G$58</definedName>
    <definedName name="_xlnm.Print_Area" localSheetId="2">'(2012-13)'!$B$1:$G$58</definedName>
    <definedName name="_xlnm.Print_Area" localSheetId="3">'(2013-14)'!$B$1:$G$58</definedName>
    <definedName name="_xlnm.Print_Area" localSheetId="4">'(2014-15)'!$B$1:$G$58</definedName>
    <definedName name="_xlnm.Print_Area" localSheetId="5">'(2015-16)'!$B$1:$J$58</definedName>
    <definedName name="qrychiefrepspecservrtaother" localSheetId="0">#REF!</definedName>
    <definedName name="qrychiefrepspecservrtaother" localSheetId="1">#REF!</definedName>
    <definedName name="qrychiefrepspecservrtaother" localSheetId="2">#REF!</definedName>
    <definedName name="qrychiefrepspecservrtaother" localSheetId="3">#REF!</definedName>
    <definedName name="qrychiefrepspecservrtaother" localSheetId="4">#REF!</definedName>
    <definedName name="qrychiefrepspecservrtaother" localSheetId="5">#REF!</definedName>
    <definedName name="qrychiefrepsuccretireresig" localSheetId="0">#REF!</definedName>
    <definedName name="qrychiefrepsuccretireresig" localSheetId="1">#REF!</definedName>
    <definedName name="qrychiefrepsuccretireresig" localSheetId="2">#REF!</definedName>
    <definedName name="qrychiefrepsuccretireresig" localSheetId="3">#REF!</definedName>
    <definedName name="qrychiefrepsuccretireresig" localSheetId="4">#REF!</definedName>
    <definedName name="qrychiefrepsuccretireresig" localSheetId="5">#REF!</definedName>
    <definedName name="qrychiefrepwteststr" localSheetId="0">#REF!</definedName>
    <definedName name="qrychiefrepwteststr" localSheetId="1">#REF!</definedName>
    <definedName name="qrychiefrepwteststr" localSheetId="2">#REF!</definedName>
    <definedName name="qrychiefrepwteststr" localSheetId="3">#REF!</definedName>
    <definedName name="qrychiefrepwteststr" localSheetId="4">#REF!</definedName>
    <definedName name="qrychiefrepwteststr" localSheetId="5">#REF!</definedName>
    <definedName name="qrychiefrepwtgeneth" localSheetId="0">#REF!</definedName>
    <definedName name="qrychiefrepwtgeneth" localSheetId="1">#REF!</definedName>
    <definedName name="qrychiefrepwtgeneth" localSheetId="2">#REF!</definedName>
    <definedName name="qrychiefrepwtgeneth" localSheetId="3">#REF!</definedName>
    <definedName name="qrychiefrepwtgeneth" localSheetId="4">#REF!</definedName>
    <definedName name="qrychiefrepwtgeneth" localSheetId="5">#REF!</definedName>
    <definedName name="qryffinjuries9900" localSheetId="0">#REF!</definedName>
    <definedName name="qryffinjuries9900" localSheetId="1">#REF!</definedName>
    <definedName name="qryffinjuries9900" localSheetId="2">#REF!</definedName>
    <definedName name="qryffinjuries9900" localSheetId="3">#REF!</definedName>
    <definedName name="qryffinjuries9900" localSheetId="4">#REF!</definedName>
    <definedName name="qryffinjuries9900" localSheetId="5">#REF!</definedName>
    <definedName name="qryPI15" localSheetId="0">#REF!</definedName>
    <definedName name="qryPI15" localSheetId="1">#REF!</definedName>
    <definedName name="qryPI15" localSheetId="2">#REF!</definedName>
    <definedName name="qryPI15" localSheetId="3">#REF!</definedName>
    <definedName name="qryPI15" localSheetId="4">#REF!</definedName>
    <definedName name="qryPI15" localSheetId="5">#REF!</definedName>
    <definedName name="qryPI16" localSheetId="0">#REF!</definedName>
    <definedName name="qryPI16" localSheetId="1">#REF!</definedName>
    <definedName name="qryPI16" localSheetId="2">#REF!</definedName>
    <definedName name="qryPI16" localSheetId="3">#REF!</definedName>
    <definedName name="qryPI16" localSheetId="4">#REF!</definedName>
    <definedName name="qryPI16" localSheetId="5">#REF!</definedName>
    <definedName name="qryPIBV145a" localSheetId="0">#REF!</definedName>
    <definedName name="qryPIBV145a" localSheetId="1">#REF!</definedName>
    <definedName name="qryPIBV145a" localSheetId="2">#REF!</definedName>
    <definedName name="qryPIBV145a" localSheetId="3">#REF!</definedName>
    <definedName name="qryPIBV145a" localSheetId="4">#REF!</definedName>
    <definedName name="qryPIBV145a" localSheetId="5">#REF!</definedName>
    <definedName name="qryPIBV145b" localSheetId="0">#REF!</definedName>
    <definedName name="qryPIBV145b" localSheetId="1">#REF!</definedName>
    <definedName name="qryPIBV145b" localSheetId="2">#REF!</definedName>
    <definedName name="qryPIBV145b" localSheetId="3">#REF!</definedName>
    <definedName name="qryPIBV145b" localSheetId="4">#REF!</definedName>
    <definedName name="qryPIBV145b" localSheetId="5">#REF!</definedName>
    <definedName name="qryPIBV145c" localSheetId="0">#REF!</definedName>
    <definedName name="qryPIBV145c" localSheetId="1">#REF!</definedName>
    <definedName name="qryPIBV145c" localSheetId="2">#REF!</definedName>
    <definedName name="qryPIBV145c" localSheetId="3">#REF!</definedName>
    <definedName name="qryPIBV145c" localSheetId="4">#REF!</definedName>
    <definedName name="qryPIBV145c" localSheetId="5">#REF!</definedName>
    <definedName name="qryPIBV15i" localSheetId="0">#REF!</definedName>
    <definedName name="qryPIBV15i" localSheetId="1">#REF!</definedName>
    <definedName name="qryPIBV15i" localSheetId="2">#REF!</definedName>
    <definedName name="qryPIBV15i" localSheetId="3">#REF!</definedName>
    <definedName name="qryPIBV15i" localSheetId="4">#REF!</definedName>
    <definedName name="qryPIBV15i" localSheetId="5">#REF!</definedName>
    <definedName name="qryPIBV15ii" localSheetId="0">#REF!</definedName>
    <definedName name="qryPIBV15ii" localSheetId="1">#REF!</definedName>
    <definedName name="qryPIBV15ii" localSheetId="2">#REF!</definedName>
    <definedName name="qryPIBV15ii" localSheetId="3">#REF!</definedName>
    <definedName name="qryPIBV15ii" localSheetId="4">#REF!</definedName>
    <definedName name="qryPIBV15ii" localSheetId="5">#REF!</definedName>
    <definedName name="qryPIctsickness" localSheetId="0">#REF!</definedName>
    <definedName name="qryPIctsickness" localSheetId="1">#REF!</definedName>
    <definedName name="qryPIctsickness" localSheetId="2">#REF!</definedName>
    <definedName name="qryPIctsickness" localSheetId="3">#REF!</definedName>
    <definedName name="qryPIctsickness" localSheetId="4">#REF!</definedName>
    <definedName name="qryPIctsickness" localSheetId="5">#REF!</definedName>
    <definedName name="qryPIriderfactleave" localSheetId="0">#REF!</definedName>
    <definedName name="qryPIriderfactleave" localSheetId="1">#REF!</definedName>
    <definedName name="qryPIriderfactleave" localSheetId="2">#REF!</definedName>
    <definedName name="qryPIriderfactleave" localSheetId="3">#REF!</definedName>
    <definedName name="qryPIriderfactleave" localSheetId="4">#REF!</definedName>
    <definedName name="qryPIriderfactleave" localSheetId="5">#REF!</definedName>
    <definedName name="qryPIriderfactsick" localSheetId="0">#REF!</definedName>
    <definedName name="qryPIriderfactsick" localSheetId="1">#REF!</definedName>
    <definedName name="qryPIriderfactsick" localSheetId="2">#REF!</definedName>
    <definedName name="qryPIriderfactsick" localSheetId="3">#REF!</definedName>
    <definedName name="qryPIriderfactsick" localSheetId="4">#REF!</definedName>
    <definedName name="qryPIriderfactsick" localSheetId="5">#REF!</definedName>
    <definedName name="Query1" localSheetId="0">#REF!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 localSheetId="5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4"/>
  <c r="E47"/>
  <c r="F47"/>
  <c r="G47"/>
  <c r="C47"/>
  <c r="D7"/>
  <c r="D6" s="1"/>
  <c r="E7"/>
  <c r="F7"/>
  <c r="G7"/>
  <c r="C7"/>
  <c r="C6" l="1"/>
  <c r="E6"/>
  <c r="F6"/>
  <c r="G6"/>
  <c r="A4" i="1"/>
  <c r="C26"/>
  <c r="C33"/>
  <c r="E56"/>
  <c r="H8"/>
  <c r="H22"/>
  <c r="F51"/>
  <c r="B32"/>
  <c r="E28"/>
  <c r="H51"/>
  <c r="C39"/>
  <c r="E47"/>
  <c r="H33"/>
  <c r="E41"/>
  <c r="H13"/>
  <c r="B20"/>
  <c r="H48"/>
  <c r="E21"/>
  <c r="F22"/>
  <c r="H55"/>
  <c r="C43"/>
  <c r="F18"/>
  <c r="B29"/>
  <c r="C47"/>
  <c r="H47"/>
  <c r="F44"/>
  <c r="B48"/>
  <c r="F24"/>
  <c r="E46"/>
  <c r="F30"/>
  <c r="E11"/>
  <c r="F28"/>
  <c r="H42"/>
  <c r="C49"/>
  <c r="B9"/>
  <c r="H10"/>
  <c r="E51"/>
  <c r="C53"/>
  <c r="F29"/>
  <c r="F40"/>
  <c r="C19"/>
  <c r="E52"/>
  <c r="E17"/>
  <c r="F43"/>
  <c r="H14"/>
  <c r="E31"/>
  <c r="B30"/>
  <c r="C20"/>
  <c r="H39"/>
  <c r="E26"/>
  <c r="H12"/>
  <c r="B45"/>
  <c r="C32"/>
  <c r="F9"/>
  <c r="F56"/>
  <c r="H45"/>
  <c r="B43"/>
  <c r="C40"/>
  <c r="E43"/>
  <c r="C24"/>
  <c r="C14"/>
  <c r="C15"/>
  <c r="E27"/>
  <c r="F48"/>
  <c r="C23"/>
  <c r="F14"/>
  <c r="C35"/>
  <c r="E49"/>
  <c r="E10"/>
  <c r="F27"/>
  <c r="H37"/>
  <c r="H40"/>
  <c r="B56"/>
  <c r="H18"/>
  <c r="B53"/>
  <c r="F45"/>
  <c r="F23"/>
  <c r="E12"/>
  <c r="B50"/>
  <c r="E48"/>
  <c r="H24"/>
  <c r="F33"/>
  <c r="F46"/>
  <c r="B47"/>
  <c r="F52"/>
  <c r="F25"/>
  <c r="F47"/>
  <c r="F39"/>
  <c r="E38"/>
  <c r="E54"/>
  <c r="C31"/>
  <c r="E53"/>
  <c r="C9"/>
  <c r="C44"/>
  <c r="C42"/>
  <c r="B21"/>
  <c r="H30"/>
  <c r="B23"/>
  <c r="B37"/>
  <c r="E18"/>
  <c r="C54"/>
  <c r="H36"/>
  <c r="E32"/>
  <c r="F13"/>
  <c r="H17"/>
  <c r="E50"/>
  <c r="E39"/>
  <c r="E8"/>
  <c r="H46"/>
  <c r="B31"/>
  <c r="B24"/>
  <c r="C29"/>
  <c r="B52"/>
  <c r="E15"/>
  <c r="H19"/>
  <c r="C48"/>
  <c r="E25"/>
  <c r="F20"/>
  <c r="C30"/>
  <c r="H26"/>
  <c r="F19"/>
  <c r="C50"/>
  <c r="B39"/>
  <c r="C46"/>
  <c r="H29"/>
  <c r="H23"/>
  <c r="F11"/>
  <c r="H50"/>
  <c r="C12"/>
  <c r="H34"/>
  <c r="E35"/>
  <c r="B54"/>
  <c r="B16"/>
  <c r="H44"/>
  <c r="H41"/>
  <c r="B18"/>
  <c r="F55"/>
  <c r="F12"/>
  <c r="B17"/>
  <c r="E37"/>
  <c r="H32"/>
  <c r="H21"/>
  <c r="C11"/>
  <c r="H16"/>
  <c r="B22"/>
  <c r="E33"/>
  <c r="E22"/>
  <c r="E40"/>
  <c r="B55"/>
  <c r="F16"/>
  <c r="H38"/>
  <c r="F17"/>
  <c r="F15"/>
  <c r="C36"/>
  <c r="B33"/>
  <c r="E24"/>
  <c r="E20"/>
  <c r="F53"/>
  <c r="C22"/>
  <c r="B36"/>
  <c r="F32"/>
  <c r="B12"/>
  <c r="C56"/>
  <c r="E29"/>
  <c r="F50"/>
  <c r="C10"/>
  <c r="C17"/>
  <c r="E9"/>
  <c r="F10"/>
  <c r="B38"/>
  <c r="F54"/>
  <c r="C27"/>
  <c r="H25"/>
  <c r="E19"/>
  <c r="E36"/>
  <c r="B15"/>
  <c r="B44"/>
  <c r="C16"/>
  <c r="B14"/>
  <c r="B51"/>
  <c r="C25"/>
  <c r="C51"/>
  <c r="H49"/>
  <c r="F21"/>
  <c r="H20"/>
  <c r="F8"/>
  <c r="B28"/>
  <c r="H27"/>
  <c r="B27"/>
  <c r="C21"/>
  <c r="B49"/>
  <c r="H52"/>
  <c r="B10"/>
  <c r="H15"/>
  <c r="F34"/>
  <c r="B19"/>
  <c r="B11"/>
  <c r="F26"/>
  <c r="E13"/>
  <c r="B25"/>
  <c r="C41"/>
  <c r="C34"/>
  <c r="E45"/>
  <c r="B34"/>
  <c r="F36"/>
  <c r="F38"/>
  <c r="H43"/>
  <c r="C28"/>
  <c r="H28"/>
  <c r="C18"/>
  <c r="C8"/>
  <c r="H54"/>
  <c r="F35"/>
  <c r="E55"/>
  <c r="F42"/>
  <c r="C37"/>
  <c r="C52"/>
  <c r="F49"/>
  <c r="C45"/>
  <c r="H31"/>
  <c r="B46"/>
  <c r="F37"/>
  <c r="E14"/>
  <c r="B41"/>
  <c r="C38"/>
  <c r="E34"/>
  <c r="B40"/>
  <c r="C55"/>
  <c r="E30"/>
  <c r="B35"/>
  <c r="C13"/>
  <c r="B8"/>
  <c r="B13"/>
  <c r="H53"/>
  <c r="E23"/>
  <c r="E42"/>
  <c r="H11"/>
  <c r="F31"/>
  <c r="E16"/>
  <c r="F41"/>
  <c r="H35"/>
  <c r="H56"/>
  <c r="E44"/>
  <c r="B26"/>
  <c r="B42"/>
  <c r="H9"/>
  <c r="F31" i="11" l="1"/>
  <c r="H31"/>
  <c r="H17"/>
  <c r="C47"/>
  <c r="H45"/>
  <c r="E49"/>
  <c r="B45"/>
  <c r="H29"/>
  <c r="E10"/>
  <c r="F33"/>
  <c r="E9"/>
  <c r="H52"/>
  <c r="H18"/>
  <c r="B26"/>
  <c r="C33"/>
  <c r="B50"/>
  <c r="B33"/>
  <c r="C26"/>
  <c r="E45"/>
  <c r="C51"/>
  <c r="H33"/>
  <c r="C15"/>
  <c r="C50"/>
  <c r="E27"/>
  <c r="E53"/>
  <c r="H19"/>
  <c r="H35"/>
  <c r="F52"/>
  <c r="H40"/>
  <c r="F16"/>
  <c r="E39"/>
  <c r="E56"/>
  <c r="B37"/>
  <c r="B47"/>
  <c r="F56"/>
  <c r="E8"/>
  <c r="F8"/>
  <c r="C30"/>
  <c r="F50"/>
  <c r="B48"/>
  <c r="B36"/>
  <c r="F13"/>
  <c r="F47"/>
  <c r="E46"/>
  <c r="E23"/>
  <c r="F46"/>
  <c r="E14"/>
  <c r="C13"/>
  <c r="H21"/>
  <c r="F45"/>
  <c r="B52"/>
  <c r="C46"/>
  <c r="H22"/>
  <c r="B8"/>
  <c r="F41"/>
  <c r="F30"/>
  <c r="E11"/>
  <c r="H38"/>
  <c r="E51"/>
  <c r="C19"/>
  <c r="H14"/>
  <c r="H32"/>
  <c r="F36"/>
  <c r="C48"/>
  <c r="B32"/>
  <c r="E31"/>
  <c r="B28"/>
  <c r="F10"/>
  <c r="E24"/>
  <c r="F53"/>
  <c r="B29"/>
  <c r="B31"/>
  <c r="E40"/>
  <c r="C27"/>
  <c r="F49"/>
  <c r="B23"/>
  <c r="C17"/>
  <c r="C25"/>
  <c r="C12"/>
  <c r="B25"/>
  <c r="C54"/>
  <c r="B44"/>
  <c r="H43"/>
  <c r="C49"/>
  <c r="F35"/>
  <c r="F24"/>
  <c r="C53"/>
  <c r="C8"/>
  <c r="F40"/>
  <c r="B10"/>
  <c r="H55"/>
  <c r="H44"/>
  <c r="B18"/>
  <c r="C36"/>
  <c r="C11"/>
  <c r="B54"/>
  <c r="E18"/>
  <c r="H37"/>
  <c r="C22"/>
  <c r="H30"/>
  <c r="H26"/>
  <c r="C10"/>
  <c r="F32"/>
  <c r="F42"/>
  <c r="E38"/>
  <c r="C56"/>
  <c r="C52"/>
  <c r="F19"/>
  <c r="E30"/>
  <c r="F44"/>
  <c r="H48"/>
  <c r="H47"/>
  <c r="E19"/>
  <c r="H23"/>
  <c r="C38"/>
  <c r="B56"/>
  <c r="E55"/>
  <c r="F9"/>
  <c r="H13"/>
  <c r="F38"/>
  <c r="H46"/>
  <c r="B53"/>
  <c r="E13"/>
  <c r="C20"/>
  <c r="B19"/>
  <c r="F20"/>
  <c r="H42"/>
  <c r="B49"/>
  <c r="H56"/>
  <c r="E41"/>
  <c r="E20"/>
  <c r="B41"/>
  <c r="E44"/>
  <c r="C41"/>
  <c r="E35"/>
  <c r="F28"/>
  <c r="B15"/>
  <c r="C32"/>
  <c r="F26"/>
  <c r="H10"/>
  <c r="H39"/>
  <c r="C55"/>
  <c r="H54"/>
  <c r="B55"/>
  <c r="C18"/>
  <c r="H12"/>
  <c r="C45"/>
  <c r="F54"/>
  <c r="C39"/>
  <c r="H50"/>
  <c r="E12"/>
  <c r="F43"/>
  <c r="B16"/>
  <c r="H34"/>
  <c r="H16"/>
  <c r="H53"/>
  <c r="E54"/>
  <c r="C31"/>
  <c r="C40"/>
  <c r="B11"/>
  <c r="F15"/>
  <c r="B14"/>
  <c r="H36"/>
  <c r="B43"/>
  <c r="C42"/>
  <c r="E50"/>
  <c r="B34"/>
  <c r="E33"/>
  <c r="F55"/>
  <c r="F12"/>
  <c r="C34"/>
  <c r="B30"/>
  <c r="E29"/>
  <c r="C43"/>
  <c r="B46"/>
  <c r="F34"/>
  <c r="C16"/>
  <c r="E32"/>
  <c r="B9"/>
  <c r="F11"/>
  <c r="H11"/>
  <c r="F17"/>
  <c r="B51"/>
  <c r="B38"/>
  <c r="C35"/>
  <c r="B13"/>
  <c r="B40"/>
  <c r="E17"/>
  <c r="E15"/>
  <c r="C29"/>
  <c r="F22"/>
  <c r="H51"/>
  <c r="H24"/>
  <c r="B22"/>
  <c r="H25"/>
  <c r="C24"/>
  <c r="F18"/>
  <c r="E48"/>
  <c r="F51"/>
  <c r="B27"/>
  <c r="E36"/>
  <c r="E52"/>
  <c r="E26"/>
  <c r="H20"/>
  <c r="F25"/>
  <c r="C23"/>
  <c r="B42"/>
  <c r="H15"/>
  <c r="C28"/>
  <c r="B12"/>
  <c r="F14"/>
  <c r="E22"/>
  <c r="H9"/>
  <c r="B39"/>
  <c r="H49"/>
  <c r="H28"/>
  <c r="B35"/>
  <c r="F48"/>
  <c r="E34"/>
  <c r="H27"/>
  <c r="E25"/>
  <c r="F21"/>
  <c r="F39"/>
  <c r="H41"/>
  <c r="E42"/>
  <c r="B20"/>
  <c r="E21"/>
  <c r="C9"/>
  <c r="E47"/>
  <c r="B21"/>
  <c r="F37"/>
  <c r="E16"/>
  <c r="C37"/>
  <c r="E37"/>
  <c r="B24"/>
  <c r="E28"/>
  <c r="C14"/>
  <c r="C21"/>
  <c r="F27"/>
  <c r="C44"/>
  <c r="F29"/>
  <c r="E43"/>
  <c r="H8"/>
  <c r="B17"/>
  <c r="F23"/>
</calcChain>
</file>

<file path=xl/sharedStrings.xml><?xml version="1.0" encoding="utf-8"?>
<sst xmlns="http://schemas.openxmlformats.org/spreadsheetml/2006/main" count="545" uniqueCount="97">
  <si>
    <t>England</t>
  </si>
  <si>
    <t>The full set of fire statistics releases, tables and guidance can be found on our landing page, here-</t>
  </si>
  <si>
    <t>https://www.gov.uk/government/collections/fire-statistics</t>
  </si>
  <si>
    <t>Source: Home Office Operational Statistics Data Collection, figures supplied by fire and rescue authorities.</t>
  </si>
  <si>
    <t>Last Updated: 27 October 2016</t>
  </si>
  <si>
    <t>Contact: FireStatistics@homeoffice.gsi.gov.uk</t>
  </si>
  <si>
    <t>Next Update: Autumn 2017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</si>
  <si>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</si>
  <si>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</si>
  <si>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</si>
  <si>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</si>
  <si>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</si>
  <si>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</si>
  <si>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</si>
  <si>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</si>
  <si>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</si>
  <si>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</si>
  <si>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</si>
  <si>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</si>
  <si>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</si>
  <si>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</si>
  <si>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</si>
  <si>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</si>
  <si>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</si>
  <si>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</si>
  <si>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</si>
  <si>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</si>
  <si>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</si>
  <si>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</si>
  <si>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</si>
  <si>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</si>
  <si>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</si>
  <si>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</si>
  <si>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</si>
  <si>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</si>
  <si>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</si>
  <si>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</si>
  <si>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</si>
  <si>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</si>
  <si>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</si>
  <si>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</si>
  <si>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</si>
  <si>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</si>
  <si>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</si>
  <si>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</si>
  <si>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</si>
  <si>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</si>
  <si>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</si>
  <si>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</si>
  <si>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</si>
  <si>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</si>
  <si>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</si>
  <si>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</si>
  <si>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</si>
  <si>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</si>
  <si>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</si>
  <si>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</si>
  <si>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</si>
  <si>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</si>
  <si>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</si>
  <si>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</si>
  <si>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</si>
  <si>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FRA</t>
  </si>
  <si>
    <t>Select a year from the drop-down list in the orange box below:</t>
  </si>
  <si>
    <t>2014-15</t>
  </si>
  <si>
    <t>2010-11</t>
  </si>
  <si>
    <t>2011-12</t>
  </si>
  <si>
    <t>2012-13</t>
  </si>
  <si>
    <t>2013-14</t>
  </si>
  <si>
    <t>The statistics in this table are Official Statistics.</t>
  </si>
  <si>
    <t>Source: DCLG Annual Returns</t>
  </si>
  <si>
    <t>Appendix 10. Incidents to Fire and Rescue Service vehicles in England At 31 March 2015</t>
  </si>
  <si>
    <t>Fire appliances</t>
  </si>
  <si>
    <t>Cars and vans</t>
  </si>
  <si>
    <r>
      <t>Other vehicles</t>
    </r>
    <r>
      <rPr>
        <b/>
        <vertAlign val="superscript"/>
        <sz val="10"/>
        <rFont val="Arial"/>
        <family val="2"/>
      </rPr>
      <t>1</t>
    </r>
  </si>
  <si>
    <t>On blue light</t>
  </si>
  <si>
    <t>Off blue light</t>
  </si>
  <si>
    <t>fireapp</t>
  </si>
  <si>
    <t>carvan</t>
  </si>
  <si>
    <t>Other</t>
  </si>
  <si>
    <t>on</t>
  </si>
  <si>
    <t>off</t>
  </si>
  <si>
    <t>other</t>
  </si>
  <si>
    <t>ENGLAND</t>
  </si>
  <si>
    <t>1. All vehicles other than appliances, cars and vans, such as general purpose lorries, boats etc</t>
  </si>
  <si>
    <t>Fire Appliances</t>
  </si>
  <si>
    <t>On Blue Light</t>
  </si>
  <si>
    <t>Off Blue Light</t>
  </si>
  <si>
    <t>Cars and Vans</t>
  </si>
  <si>
    <t>Other Vehicles</t>
  </si>
  <si>
    <r>
      <t>Other           Vehicles</t>
    </r>
    <r>
      <rPr>
        <vertAlign val="superscript"/>
        <sz val="11"/>
        <color theme="1"/>
        <rFont val="Calibri"/>
        <family val="2"/>
        <scheme val="minor"/>
      </rPr>
      <t>1</t>
    </r>
  </si>
  <si>
    <t>1 All vehicles other than appliances, cars and vans, such as general purpose lorries, boats etc</t>
  </si>
  <si>
    <t>Appendix 10. Incidents to Fire and Rescue Service vehicles in England At 31 March 2014</t>
  </si>
  <si>
    <t>Appendix 10. Incidents to Fire and Rescue Service vehicles in England At 31 March 2013</t>
  </si>
  <si>
    <t>Appendix 10. Incidents to fire and rescue authority vehicles in England 2011-12</t>
  </si>
  <si>
    <t>Appendix 10. Incidents to Fire and Rescue Service vehicles in England At 31 March 2011</t>
  </si>
  <si>
    <t>FIRE STATISTICS TABLE 1402: Accidents occurring to fire and rescue authority vehicles, by fire and rescue authority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</si>
</sst>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2"/>
      <name val="Arial"/>
      <family val="2"/>
    </font>
    <font>
      <b/>
      <sz val="14"/>
      <color indexed="43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1" fillId="0" borderId="0"/>
    <xf numFmtId="0" fontId="9" fillId="0" borderId="0"/>
    <xf numFmtId="0" fontId="6" fillId="0" borderId="0"/>
    <xf numFmtId="0" fontId="9" fillId="0" borderId="0"/>
    <xf numFmtId="0" fontId="11" fillId="0" borderId="0"/>
  </cellStyleXfs>
  <cellXfs count="85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7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9" fillId="0" borderId="0" xfId="6" applyFont="1" applyBorder="1" applyAlignment="1">
      <alignment vertical="center"/>
    </xf>
    <xf numFmtId="0" fontId="10" fillId="0" borderId="4" xfId="6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right" vertical="center" wrapText="1"/>
    </xf>
    <xf numFmtId="0" fontId="8" fillId="0" borderId="0" xfId="6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3" fontId="9" fillId="0" borderId="0" xfId="6" applyNumberFormat="1" applyFont="1" applyFill="1" applyBorder="1" applyAlignment="1">
      <alignment horizontal="right" vertical="center"/>
    </xf>
    <xf numFmtId="0" fontId="9" fillId="0" borderId="0" xfId="7" applyFont="1" applyBorder="1" applyAlignment="1">
      <alignment vertical="center"/>
    </xf>
    <xf numFmtId="0" fontId="9" fillId="0" borderId="6" xfId="5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0" fontId="0" fillId="5" borderId="0" xfId="0" applyFill="1" applyAlignment="1">
      <alignment horizontal="center" wrapText="1"/>
    </xf>
    <xf numFmtId="3" fontId="0" fillId="5" borderId="0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9" fillId="0" borderId="0" xfId="9" applyFont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3" fontId="9" fillId="0" borderId="6" xfId="6" applyNumberFormat="1" applyFont="1" applyFill="1" applyBorder="1" applyAlignment="1">
      <alignment horizontal="right" vertical="center"/>
    </xf>
    <xf numFmtId="0" fontId="0" fillId="4" borderId="2" xfId="0" applyFill="1" applyBorder="1"/>
    <xf numFmtId="0" fontId="9" fillId="0" borderId="6" xfId="6" applyFont="1" applyBorder="1" applyAlignment="1">
      <alignment vertical="center"/>
    </xf>
    <xf numFmtId="0" fontId="0" fillId="4" borderId="0" xfId="0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13" fillId="0" borderId="0" xfId="6" applyFont="1" applyFill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3" fontId="8" fillId="0" borderId="0" xfId="6" applyNumberFormat="1" applyFont="1" applyBorder="1" applyAlignment="1">
      <alignment vertical="center"/>
    </xf>
    <xf numFmtId="3" fontId="8" fillId="0" borderId="0" xfId="6" applyNumberFormat="1" applyFont="1" applyBorder="1" applyAlignment="1">
      <alignment horizontal="right" vertical="center"/>
    </xf>
    <xf numFmtId="0" fontId="11" fillId="0" borderId="0" xfId="5" applyAlignment="1">
      <alignment vertical="center"/>
    </xf>
    <xf numFmtId="0" fontId="0" fillId="4" borderId="1" xfId="0" applyFill="1" applyBorder="1" applyAlignment="1">
      <alignment horizontal="right" vertical="center" wrapText="1"/>
    </xf>
    <xf numFmtId="10" fontId="9" fillId="0" borderId="0" xfId="6" applyNumberFormat="1" applyFont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0" fontId="13" fillId="7" borderId="0" xfId="6" applyFont="1" applyFill="1" applyBorder="1" applyAlignment="1">
      <alignment vertical="center" wrapText="1"/>
    </xf>
    <xf numFmtId="0" fontId="11" fillId="0" borderId="0" xfId="5" applyAlignment="1">
      <alignment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6" xfId="5" applyFont="1" applyBorder="1" applyAlignment="1">
      <alignment vertical="center"/>
    </xf>
    <xf numFmtId="0" fontId="9" fillId="0" borderId="0" xfId="6" applyFont="1" applyBorder="1" applyAlignment="1">
      <alignment vertical="center" wrapText="1"/>
    </xf>
    <xf numFmtId="0" fontId="13" fillId="7" borderId="3" xfId="6" applyFont="1" applyFill="1" applyBorder="1" applyAlignment="1">
      <alignment vertical="center" wrapText="1"/>
    </xf>
    <xf numFmtId="0" fontId="11" fillId="0" borderId="4" xfId="5" applyBorder="1" applyAlignment="1">
      <alignment vertical="center"/>
    </xf>
    <xf numFmtId="0" fontId="11" fillId="0" borderId="5" xfId="5" applyBorder="1" applyAlignment="1">
      <alignment vertical="center"/>
    </xf>
    <xf numFmtId="0" fontId="0" fillId="4" borderId="0" xfId="0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4" borderId="2" xfId="0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</cellXfs>
  <cellStyles count="10">
    <cellStyle name="Hyperlink" xfId="2"/>
    <cellStyle name="Normal" xfId="0" builtinId="0"/>
    <cellStyle name="Normal 2" xfId="1"/>
    <cellStyle name="Normal 2 2" xfId="3"/>
    <cellStyle name="Normal 3" xfId="5"/>
    <cellStyle name="Normal_Book1" xfId="4"/>
    <cellStyle name="Normal_Gender" xfId="7"/>
    <cellStyle name="Normal_Gender 2" xfId="9"/>
    <cellStyle name="Normal_Injuries" xfId="8"/>
    <cellStyle name="Normal_Operational Activities" xfId="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8"/>
  <sheetViews>
    <sheetView showGridLines="0" topLeftCell="B1" zoomScale="85" workbookViewId="0">
      <pane xSplit="1" ySplit="3" topLeftCell="C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256" width="9.140625" style="31"/>
    <col min="257" max="257" width="0" style="31" hidden="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512" width="9.140625" style="31"/>
    <col min="513" max="513" width="0" style="31" hidden="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768" width="9.140625" style="31"/>
    <col min="769" max="769" width="0" style="31" hidden="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1024" width="9.140625" style="31"/>
    <col min="1025" max="1025" width="0" style="31" hidden="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280" width="9.140625" style="31"/>
    <col min="1281" max="1281" width="0" style="31" hidden="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536" width="9.140625" style="31"/>
    <col min="1537" max="1537" width="0" style="31" hidden="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792" width="9.140625" style="31"/>
    <col min="1793" max="1793" width="0" style="31" hidden="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2048" width="9.140625" style="31"/>
    <col min="2049" max="2049" width="0" style="31" hidden="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304" width="9.140625" style="31"/>
    <col min="2305" max="2305" width="0" style="31" hidden="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560" width="9.140625" style="31"/>
    <col min="2561" max="2561" width="0" style="31" hidden="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816" width="9.140625" style="31"/>
    <col min="2817" max="2817" width="0" style="31" hidden="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3072" width="9.140625" style="31"/>
    <col min="3073" max="3073" width="0" style="31" hidden="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328" width="9.140625" style="31"/>
    <col min="3329" max="3329" width="0" style="31" hidden="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584" width="9.140625" style="31"/>
    <col min="3585" max="3585" width="0" style="31" hidden="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840" width="9.140625" style="31"/>
    <col min="3841" max="3841" width="0" style="31" hidden="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4096" width="9.140625" style="31"/>
    <col min="4097" max="4097" width="0" style="31" hidden="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352" width="9.140625" style="31"/>
    <col min="4353" max="4353" width="0" style="31" hidden="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608" width="9.140625" style="31"/>
    <col min="4609" max="4609" width="0" style="31" hidden="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864" width="9.140625" style="31"/>
    <col min="4865" max="4865" width="0" style="31" hidden="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5120" width="9.140625" style="31"/>
    <col min="5121" max="5121" width="0" style="31" hidden="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376" width="9.140625" style="31"/>
    <col min="5377" max="5377" width="0" style="31" hidden="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632" width="9.140625" style="31"/>
    <col min="5633" max="5633" width="0" style="31" hidden="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888" width="9.140625" style="31"/>
    <col min="5889" max="5889" width="0" style="31" hidden="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6144" width="9.140625" style="31"/>
    <col min="6145" max="6145" width="0" style="31" hidden="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400" width="9.140625" style="31"/>
    <col min="6401" max="6401" width="0" style="31" hidden="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656" width="9.140625" style="31"/>
    <col min="6657" max="6657" width="0" style="31" hidden="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912" width="9.140625" style="31"/>
    <col min="6913" max="6913" width="0" style="31" hidden="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7168" width="9.140625" style="31"/>
    <col min="7169" max="7169" width="0" style="31" hidden="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424" width="9.140625" style="31"/>
    <col min="7425" max="7425" width="0" style="31" hidden="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680" width="9.140625" style="31"/>
    <col min="7681" max="7681" width="0" style="31" hidden="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936" width="9.140625" style="31"/>
    <col min="7937" max="7937" width="0" style="31" hidden="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8192" width="9.140625" style="31"/>
    <col min="8193" max="8193" width="0" style="31" hidden="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448" width="9.140625" style="31"/>
    <col min="8449" max="8449" width="0" style="31" hidden="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704" width="9.140625" style="31"/>
    <col min="8705" max="8705" width="0" style="31" hidden="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960" width="9.140625" style="31"/>
    <col min="8961" max="8961" width="0" style="31" hidden="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9216" width="9.140625" style="31"/>
    <col min="9217" max="9217" width="0" style="31" hidden="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472" width="9.140625" style="31"/>
    <col min="9473" max="9473" width="0" style="31" hidden="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728" width="9.140625" style="31"/>
    <col min="9729" max="9729" width="0" style="31" hidden="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984" width="9.140625" style="31"/>
    <col min="9985" max="9985" width="0" style="31" hidden="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10240" width="9.140625" style="31"/>
    <col min="10241" max="10241" width="0" style="31" hidden="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496" width="9.140625" style="31"/>
    <col min="10497" max="10497" width="0" style="31" hidden="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752" width="9.140625" style="31"/>
    <col min="10753" max="10753" width="0" style="31" hidden="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1008" width="9.140625" style="31"/>
    <col min="11009" max="11009" width="0" style="31" hidden="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264" width="9.140625" style="31"/>
    <col min="11265" max="11265" width="0" style="31" hidden="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520" width="9.140625" style="31"/>
    <col min="11521" max="11521" width="0" style="31" hidden="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776" width="9.140625" style="31"/>
    <col min="11777" max="11777" width="0" style="31" hidden="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2032" width="9.140625" style="31"/>
    <col min="12033" max="12033" width="0" style="31" hidden="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288" width="9.140625" style="31"/>
    <col min="12289" max="12289" width="0" style="31" hidden="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544" width="9.140625" style="31"/>
    <col min="12545" max="12545" width="0" style="31" hidden="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800" width="9.140625" style="31"/>
    <col min="12801" max="12801" width="0" style="31" hidden="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3056" width="9.140625" style="31"/>
    <col min="13057" max="13057" width="0" style="31" hidden="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312" width="9.140625" style="31"/>
    <col min="13313" max="13313" width="0" style="31" hidden="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568" width="9.140625" style="31"/>
    <col min="13569" max="13569" width="0" style="31" hidden="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824" width="9.140625" style="31"/>
    <col min="13825" max="13825" width="0" style="31" hidden="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4080" width="9.140625" style="31"/>
    <col min="14081" max="14081" width="0" style="31" hidden="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336" width="9.140625" style="31"/>
    <col min="14337" max="14337" width="0" style="31" hidden="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592" width="9.140625" style="31"/>
    <col min="14593" max="14593" width="0" style="31" hidden="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848" width="9.140625" style="31"/>
    <col min="14849" max="14849" width="0" style="31" hidden="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5104" width="9.140625" style="31"/>
    <col min="15105" max="15105" width="0" style="31" hidden="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360" width="9.140625" style="31"/>
    <col min="15361" max="15361" width="0" style="31" hidden="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616" width="9.140625" style="31"/>
    <col min="15617" max="15617" width="0" style="31" hidden="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872" width="9.140625" style="31"/>
    <col min="15873" max="15873" width="0" style="31" hidden="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6128" width="9.140625" style="31"/>
    <col min="16129" max="16129" width="0" style="31" hidden="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384" width="9.140625" style="31"/>
  </cols>
  <sheetData>
    <row r="1" spans="1:7" ht="33.75" customHeight="1">
      <c r="B1" s="66" t="s">
        <v>95</v>
      </c>
      <c r="C1" s="67"/>
      <c r="D1" s="67"/>
      <c r="E1" s="67"/>
      <c r="F1" s="67"/>
      <c r="G1" s="67"/>
    </row>
    <row r="2" spans="1:7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</row>
    <row r="3" spans="1:7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</row>
    <row r="4" spans="1:7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7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7" ht="26.25" customHeight="1">
      <c r="B6" s="39" t="s">
        <v>83</v>
      </c>
      <c r="C6" s="59">
        <v>1016</v>
      </c>
      <c r="D6" s="59">
        <v>1593</v>
      </c>
      <c r="E6" s="59">
        <v>54</v>
      </c>
      <c r="F6" s="59">
        <v>961</v>
      </c>
      <c r="G6" s="59">
        <v>127</v>
      </c>
    </row>
    <row r="7" spans="1:7" s="34" customFormat="1" ht="26.25" customHeight="1">
      <c r="A7" s="27"/>
      <c r="B7" s="34" t="s">
        <v>56</v>
      </c>
      <c r="C7" s="60">
        <v>622</v>
      </c>
      <c r="D7" s="60">
        <v>986</v>
      </c>
      <c r="E7" s="60">
        <v>38</v>
      </c>
      <c r="F7" s="60">
        <v>792</v>
      </c>
      <c r="G7" s="60">
        <v>109</v>
      </c>
    </row>
    <row r="8" spans="1:7">
      <c r="A8" s="28">
        <v>51</v>
      </c>
      <c r="B8" s="31" t="s">
        <v>9</v>
      </c>
      <c r="C8" s="36">
        <v>37</v>
      </c>
      <c r="D8" s="36">
        <v>51</v>
      </c>
      <c r="E8" s="36">
        <v>2</v>
      </c>
      <c r="F8" s="36">
        <v>32</v>
      </c>
      <c r="G8" s="36">
        <v>4</v>
      </c>
    </row>
    <row r="9" spans="1:7">
      <c r="A9" s="28">
        <v>52</v>
      </c>
      <c r="B9" s="31" t="s">
        <v>10</v>
      </c>
      <c r="C9" s="36">
        <v>3</v>
      </c>
      <c r="D9" s="36">
        <v>16</v>
      </c>
      <c r="E9" s="36">
        <v>1</v>
      </c>
      <c r="F9" s="36">
        <v>10</v>
      </c>
      <c r="G9" s="36">
        <v>0</v>
      </c>
    </row>
    <row r="10" spans="1:7">
      <c r="A10" s="28">
        <v>86</v>
      </c>
      <c r="B10" s="31" t="s">
        <v>11</v>
      </c>
      <c r="C10" s="36">
        <v>0</v>
      </c>
      <c r="D10" s="36">
        <v>11</v>
      </c>
      <c r="E10" s="36">
        <v>0</v>
      </c>
      <c r="F10" s="36">
        <v>1</v>
      </c>
      <c r="G10" s="36">
        <v>2</v>
      </c>
    </row>
    <row r="11" spans="1:7">
      <c r="A11" s="28">
        <v>53</v>
      </c>
      <c r="B11" s="31" t="s">
        <v>12</v>
      </c>
      <c r="C11" s="36">
        <v>17</v>
      </c>
      <c r="D11" s="36">
        <v>39</v>
      </c>
      <c r="E11" s="36">
        <v>1</v>
      </c>
      <c r="F11" s="36">
        <v>22</v>
      </c>
      <c r="G11" s="36">
        <v>0</v>
      </c>
    </row>
    <row r="12" spans="1:7">
      <c r="A12" s="28">
        <v>54</v>
      </c>
      <c r="B12" s="31" t="s">
        <v>13</v>
      </c>
      <c r="C12" s="36">
        <v>13</v>
      </c>
      <c r="D12" s="36">
        <v>22</v>
      </c>
      <c r="E12" s="36">
        <v>0</v>
      </c>
      <c r="F12" s="36">
        <v>28</v>
      </c>
      <c r="G12" s="36">
        <v>0</v>
      </c>
    </row>
    <row r="13" spans="1:7">
      <c r="A13" s="28">
        <v>55</v>
      </c>
      <c r="B13" s="31" t="s">
        <v>14</v>
      </c>
      <c r="C13" s="36">
        <v>2</v>
      </c>
      <c r="D13" s="36">
        <v>43</v>
      </c>
      <c r="E13" s="36">
        <v>1</v>
      </c>
      <c r="F13" s="36">
        <v>31</v>
      </c>
      <c r="G13" s="36">
        <v>1</v>
      </c>
    </row>
    <row r="14" spans="1:7">
      <c r="A14" s="28">
        <v>56</v>
      </c>
      <c r="B14" s="31" t="s">
        <v>15</v>
      </c>
      <c r="C14" s="36">
        <v>11</v>
      </c>
      <c r="D14" s="36">
        <v>30</v>
      </c>
      <c r="E14" s="36">
        <v>0</v>
      </c>
      <c r="F14" s="36">
        <v>33</v>
      </c>
      <c r="G14" s="36">
        <v>8</v>
      </c>
    </row>
    <row r="15" spans="1:7">
      <c r="A15" s="28">
        <v>57</v>
      </c>
      <c r="B15" s="31" t="s">
        <v>16</v>
      </c>
      <c r="C15" s="36">
        <v>10</v>
      </c>
      <c r="D15" s="36">
        <v>15</v>
      </c>
      <c r="E15" s="36">
        <v>1</v>
      </c>
      <c r="F15" s="36">
        <v>5</v>
      </c>
      <c r="G15" s="36">
        <v>0</v>
      </c>
    </row>
    <row r="16" spans="1:7">
      <c r="A16" s="28">
        <v>59</v>
      </c>
      <c r="B16" s="31" t="s">
        <v>17</v>
      </c>
      <c r="C16" s="36">
        <v>21</v>
      </c>
      <c r="D16" s="36">
        <v>11</v>
      </c>
      <c r="E16" s="36">
        <v>2</v>
      </c>
      <c r="F16" s="36">
        <v>13</v>
      </c>
      <c r="G16" s="36">
        <v>0</v>
      </c>
    </row>
    <row r="17" spans="1:7">
      <c r="A17" s="28">
        <v>60</v>
      </c>
      <c r="B17" s="31" t="s">
        <v>18</v>
      </c>
      <c r="C17" s="36">
        <v>12</v>
      </c>
      <c r="D17" s="36">
        <v>23</v>
      </c>
      <c r="E17" s="36">
        <v>0</v>
      </c>
      <c r="F17" s="36">
        <v>20</v>
      </c>
      <c r="G17" s="36">
        <v>1</v>
      </c>
    </row>
    <row r="18" spans="1:7">
      <c r="A18" s="28">
        <v>61</v>
      </c>
      <c r="B18" s="37" t="s">
        <v>57</v>
      </c>
      <c r="C18" s="36">
        <v>63</v>
      </c>
      <c r="D18" s="36">
        <v>78</v>
      </c>
      <c r="E18" s="36">
        <v>6</v>
      </c>
      <c r="F18" s="36">
        <v>66</v>
      </c>
      <c r="G18" s="36">
        <v>3</v>
      </c>
    </row>
    <row r="19" spans="1:7">
      <c r="A19" s="28">
        <v>62</v>
      </c>
      <c r="B19" s="31" t="s">
        <v>20</v>
      </c>
      <c r="C19" s="36">
        <v>11</v>
      </c>
      <c r="D19" s="36">
        <v>48</v>
      </c>
      <c r="E19" s="36">
        <v>0</v>
      </c>
      <c r="F19" s="36">
        <v>30</v>
      </c>
      <c r="G19" s="36">
        <v>12</v>
      </c>
    </row>
    <row r="20" spans="1:7">
      <c r="A20" s="28">
        <v>58</v>
      </c>
      <c r="B20" s="31" t="s">
        <v>21</v>
      </c>
      <c r="C20" s="36">
        <v>10</v>
      </c>
      <c r="D20" s="36">
        <v>6</v>
      </c>
      <c r="E20" s="36">
        <v>1</v>
      </c>
      <c r="F20" s="36">
        <v>6</v>
      </c>
      <c r="G20" s="36">
        <v>1</v>
      </c>
    </row>
    <row r="21" spans="1:7">
      <c r="A21" s="28">
        <v>63</v>
      </c>
      <c r="B21" s="31" t="s">
        <v>22</v>
      </c>
      <c r="C21" s="36">
        <v>31</v>
      </c>
      <c r="D21" s="36">
        <v>41</v>
      </c>
      <c r="E21" s="36">
        <v>1</v>
      </c>
      <c r="F21" s="36">
        <v>27</v>
      </c>
      <c r="G21" s="36">
        <v>0</v>
      </c>
    </row>
    <row r="22" spans="1:7">
      <c r="A22" s="28">
        <v>64</v>
      </c>
      <c r="B22" s="31" t="s">
        <v>23</v>
      </c>
      <c r="C22" s="36">
        <v>47</v>
      </c>
      <c r="D22" s="36">
        <v>38</v>
      </c>
      <c r="E22" s="36">
        <v>5</v>
      </c>
      <c r="F22" s="36">
        <v>46</v>
      </c>
      <c r="G22" s="36">
        <v>14</v>
      </c>
    </row>
    <row r="23" spans="1:7">
      <c r="A23" s="28">
        <v>65</v>
      </c>
      <c r="B23" s="31" t="s">
        <v>24</v>
      </c>
      <c r="C23" s="36">
        <v>9</v>
      </c>
      <c r="D23" s="36">
        <v>8</v>
      </c>
      <c r="E23" s="36">
        <v>1</v>
      </c>
      <c r="F23" s="36">
        <v>0</v>
      </c>
      <c r="G23" s="36">
        <v>0</v>
      </c>
    </row>
    <row r="24" spans="1:7">
      <c r="A24" s="28">
        <v>67</v>
      </c>
      <c r="B24" s="31" t="s">
        <v>27</v>
      </c>
      <c r="C24" s="36">
        <v>25</v>
      </c>
      <c r="D24" s="36">
        <v>34</v>
      </c>
      <c r="E24" s="36">
        <v>0</v>
      </c>
      <c r="F24" s="36">
        <v>16</v>
      </c>
      <c r="G24" s="36">
        <v>7</v>
      </c>
    </row>
    <row r="25" spans="1:7">
      <c r="A25" s="28">
        <v>68</v>
      </c>
      <c r="B25" s="31" t="s">
        <v>58</v>
      </c>
      <c r="C25" s="36">
        <v>10</v>
      </c>
      <c r="D25" s="36">
        <v>15</v>
      </c>
      <c r="E25" s="36">
        <v>1</v>
      </c>
      <c r="F25" s="36">
        <v>22</v>
      </c>
      <c r="G25" s="36">
        <v>0</v>
      </c>
    </row>
    <row r="26" spans="1:7">
      <c r="A26" s="28">
        <v>69</v>
      </c>
      <c r="B26" s="31" t="s">
        <v>29</v>
      </c>
      <c r="C26" s="36">
        <v>21</v>
      </c>
      <c r="D26" s="36">
        <v>23</v>
      </c>
      <c r="E26" s="36">
        <v>3</v>
      </c>
      <c r="F26" s="36">
        <v>29</v>
      </c>
      <c r="G26" s="36">
        <v>0</v>
      </c>
    </row>
    <row r="27" spans="1:7">
      <c r="A27" s="28">
        <v>70</v>
      </c>
      <c r="B27" s="31" t="s">
        <v>30</v>
      </c>
      <c r="C27" s="36">
        <v>11</v>
      </c>
      <c r="D27" s="36">
        <v>32</v>
      </c>
      <c r="E27" s="36">
        <v>0</v>
      </c>
      <c r="F27" s="36">
        <v>23</v>
      </c>
      <c r="G27" s="36">
        <v>0</v>
      </c>
    </row>
    <row r="28" spans="1:7">
      <c r="A28" s="28">
        <v>71</v>
      </c>
      <c r="B28" s="31" t="s">
        <v>59</v>
      </c>
      <c r="C28" s="36">
        <v>2</v>
      </c>
      <c r="D28" s="36">
        <v>2</v>
      </c>
      <c r="E28" s="36">
        <v>0</v>
      </c>
      <c r="F28" s="36">
        <v>1</v>
      </c>
      <c r="G28" s="36">
        <v>0</v>
      </c>
    </row>
    <row r="29" spans="1:7">
      <c r="A29" s="28">
        <v>73</v>
      </c>
      <c r="B29" s="31" t="s">
        <v>33</v>
      </c>
      <c r="C29" s="36">
        <v>40</v>
      </c>
      <c r="D29" s="36">
        <v>45</v>
      </c>
      <c r="E29" s="36">
        <v>1</v>
      </c>
      <c r="F29" s="36">
        <v>33</v>
      </c>
      <c r="G29" s="36">
        <v>1</v>
      </c>
    </row>
    <row r="30" spans="1:7">
      <c r="A30" s="28">
        <v>74</v>
      </c>
      <c r="B30" s="31" t="s">
        <v>34</v>
      </c>
      <c r="C30" s="36">
        <v>19</v>
      </c>
      <c r="D30" s="36">
        <v>38</v>
      </c>
      <c r="E30" s="36">
        <v>0</v>
      </c>
      <c r="F30" s="36">
        <v>25</v>
      </c>
      <c r="G30" s="36">
        <v>11</v>
      </c>
    </row>
    <row r="31" spans="1:7">
      <c r="A31" s="28">
        <v>75</v>
      </c>
      <c r="B31" s="31" t="s">
        <v>35</v>
      </c>
      <c r="C31" s="36">
        <v>12</v>
      </c>
      <c r="D31" s="36">
        <v>21</v>
      </c>
      <c r="E31" s="36">
        <v>0</v>
      </c>
      <c r="F31" s="36">
        <v>11</v>
      </c>
      <c r="G31" s="36">
        <v>1</v>
      </c>
    </row>
    <row r="32" spans="1:7">
      <c r="A32" s="28">
        <v>76</v>
      </c>
      <c r="B32" s="31" t="s">
        <v>36</v>
      </c>
      <c r="C32" s="36">
        <v>10</v>
      </c>
      <c r="D32" s="36">
        <v>21</v>
      </c>
      <c r="E32" s="36">
        <v>2</v>
      </c>
      <c r="F32" s="36">
        <v>55</v>
      </c>
      <c r="G32" s="36">
        <v>3</v>
      </c>
    </row>
    <row r="33" spans="1:7">
      <c r="A33" s="28">
        <v>79</v>
      </c>
      <c r="B33" s="31" t="s">
        <v>38</v>
      </c>
      <c r="C33" s="36">
        <v>1</v>
      </c>
      <c r="D33" s="36">
        <v>11</v>
      </c>
      <c r="E33" s="36">
        <v>0</v>
      </c>
      <c r="F33" s="36">
        <v>8</v>
      </c>
      <c r="G33" s="36">
        <v>0</v>
      </c>
    </row>
    <row r="34" spans="1:7">
      <c r="A34" s="28">
        <v>80</v>
      </c>
      <c r="B34" s="31" t="s">
        <v>39</v>
      </c>
      <c r="C34" s="36">
        <v>17</v>
      </c>
      <c r="D34" s="36">
        <v>33</v>
      </c>
      <c r="E34" s="36">
        <v>3</v>
      </c>
      <c r="F34" s="36">
        <v>35</v>
      </c>
      <c r="G34" s="36">
        <v>15</v>
      </c>
    </row>
    <row r="35" spans="1:7">
      <c r="A35" s="28">
        <v>81</v>
      </c>
      <c r="B35" s="31" t="s">
        <v>40</v>
      </c>
      <c r="C35" s="36">
        <v>20</v>
      </c>
      <c r="D35" s="36">
        <v>22</v>
      </c>
      <c r="E35" s="36">
        <v>0</v>
      </c>
      <c r="F35" s="36">
        <v>26</v>
      </c>
      <c r="G35" s="36">
        <v>0</v>
      </c>
    </row>
    <row r="36" spans="1:7">
      <c r="A36" s="28">
        <v>83</v>
      </c>
      <c r="B36" s="31" t="s">
        <v>41</v>
      </c>
      <c r="C36" s="36">
        <v>5</v>
      </c>
      <c r="D36" s="36">
        <v>19</v>
      </c>
      <c r="E36" s="36">
        <v>0</v>
      </c>
      <c r="F36" s="36">
        <v>6</v>
      </c>
      <c r="G36" s="36">
        <v>0</v>
      </c>
    </row>
    <row r="37" spans="1:7">
      <c r="A37" s="28">
        <v>84</v>
      </c>
      <c r="B37" s="31" t="s">
        <v>42</v>
      </c>
      <c r="C37" s="36">
        <v>22</v>
      </c>
      <c r="D37" s="36">
        <v>15</v>
      </c>
      <c r="E37" s="36">
        <v>0</v>
      </c>
      <c r="F37" s="36">
        <v>19</v>
      </c>
      <c r="G37" s="36">
        <v>6</v>
      </c>
    </row>
    <row r="38" spans="1:7">
      <c r="A38" s="28">
        <v>85</v>
      </c>
      <c r="B38" s="31" t="s">
        <v>43</v>
      </c>
      <c r="C38" s="36">
        <v>6</v>
      </c>
      <c r="D38" s="36">
        <v>22</v>
      </c>
      <c r="E38" s="36">
        <v>0</v>
      </c>
      <c r="F38" s="36">
        <v>11</v>
      </c>
      <c r="G38" s="36">
        <v>0</v>
      </c>
    </row>
    <row r="39" spans="1:7">
      <c r="A39" s="28">
        <v>87</v>
      </c>
      <c r="B39" s="31" t="s">
        <v>44</v>
      </c>
      <c r="C39" s="36">
        <v>5</v>
      </c>
      <c r="D39" s="36">
        <v>9</v>
      </c>
      <c r="E39" s="36">
        <v>0</v>
      </c>
      <c r="F39" s="36">
        <v>2</v>
      </c>
      <c r="G39" s="36">
        <v>9</v>
      </c>
    </row>
    <row r="40" spans="1:7">
      <c r="A40" s="28">
        <v>90</v>
      </c>
      <c r="B40" s="31" t="s">
        <v>46</v>
      </c>
      <c r="C40" s="36">
        <v>34</v>
      </c>
      <c r="D40" s="36">
        <v>23</v>
      </c>
      <c r="E40" s="36">
        <v>3</v>
      </c>
      <c r="F40" s="36">
        <v>26</v>
      </c>
      <c r="G40" s="36">
        <v>0</v>
      </c>
    </row>
    <row r="41" spans="1:7">
      <c r="A41" s="28">
        <v>91</v>
      </c>
      <c r="B41" s="31" t="s">
        <v>47</v>
      </c>
      <c r="C41" s="36">
        <v>11</v>
      </c>
      <c r="D41" s="36">
        <v>9</v>
      </c>
      <c r="E41" s="36">
        <v>1</v>
      </c>
      <c r="F41" s="36">
        <v>9</v>
      </c>
      <c r="G41" s="36">
        <v>0</v>
      </c>
    </row>
    <row r="42" spans="1:7">
      <c r="A42" s="28">
        <v>92</v>
      </c>
      <c r="B42" s="31" t="s">
        <v>48</v>
      </c>
      <c r="C42" s="36">
        <v>28</v>
      </c>
      <c r="D42" s="36">
        <v>35</v>
      </c>
      <c r="E42" s="36">
        <v>0</v>
      </c>
      <c r="F42" s="36">
        <v>20</v>
      </c>
      <c r="G42" s="36">
        <v>2</v>
      </c>
    </row>
    <row r="43" spans="1:7">
      <c r="A43" s="28">
        <v>94</v>
      </c>
      <c r="B43" s="31" t="s">
        <v>50</v>
      </c>
      <c r="C43" s="36">
        <v>13</v>
      </c>
      <c r="D43" s="36">
        <v>20</v>
      </c>
      <c r="E43" s="36">
        <v>1</v>
      </c>
      <c r="F43" s="36">
        <v>13</v>
      </c>
      <c r="G43" s="36">
        <v>0</v>
      </c>
    </row>
    <row r="44" spans="1:7">
      <c r="A44" s="28">
        <v>96</v>
      </c>
      <c r="B44" s="31" t="s">
        <v>52</v>
      </c>
      <c r="C44" s="36">
        <v>9</v>
      </c>
      <c r="D44" s="36">
        <v>37</v>
      </c>
      <c r="E44" s="36">
        <v>1</v>
      </c>
      <c r="F44" s="36">
        <v>21</v>
      </c>
      <c r="G44" s="36">
        <v>0</v>
      </c>
    </row>
    <row r="45" spans="1:7">
      <c r="A45" s="28">
        <v>98</v>
      </c>
      <c r="B45" s="31" t="s">
        <v>54</v>
      </c>
      <c r="C45" s="36">
        <v>4</v>
      </c>
      <c r="D45" s="36">
        <v>20</v>
      </c>
      <c r="E45" s="36">
        <v>0</v>
      </c>
      <c r="F45" s="36">
        <v>11</v>
      </c>
      <c r="G45" s="36">
        <v>8</v>
      </c>
    </row>
    <row r="46" spans="1:7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s="34" customFormat="1" ht="26.25" customHeight="1">
      <c r="B47" s="34" t="s">
        <v>60</v>
      </c>
      <c r="C47" s="61">
        <v>394</v>
      </c>
      <c r="D47" s="61">
        <v>607</v>
      </c>
      <c r="E47" s="61">
        <v>16</v>
      </c>
      <c r="F47" s="61">
        <v>169</v>
      </c>
      <c r="G47" s="61">
        <v>18</v>
      </c>
    </row>
    <row r="48" spans="1:7">
      <c r="A48" s="28">
        <v>66</v>
      </c>
      <c r="B48" s="31" t="s">
        <v>26</v>
      </c>
      <c r="C48" s="36">
        <v>9</v>
      </c>
      <c r="D48" s="36">
        <v>9</v>
      </c>
      <c r="E48" s="36">
        <v>0</v>
      </c>
      <c r="F48" s="36">
        <v>2</v>
      </c>
      <c r="G48" s="36">
        <v>1</v>
      </c>
    </row>
    <row r="49" spans="1:7">
      <c r="A49" s="28">
        <v>78</v>
      </c>
      <c r="B49" s="31" t="s">
        <v>37</v>
      </c>
      <c r="C49" s="36">
        <v>32</v>
      </c>
      <c r="D49" s="36">
        <v>45</v>
      </c>
      <c r="E49" s="36">
        <v>2</v>
      </c>
      <c r="F49" s="36">
        <v>25</v>
      </c>
      <c r="G49" s="36">
        <v>2</v>
      </c>
    </row>
    <row r="50" spans="1:7">
      <c r="A50" s="28">
        <v>89</v>
      </c>
      <c r="B50" s="31" t="s">
        <v>45</v>
      </c>
      <c r="C50" s="36">
        <v>9</v>
      </c>
      <c r="D50" s="36">
        <v>27</v>
      </c>
      <c r="E50" s="36">
        <v>0</v>
      </c>
      <c r="F50" s="36">
        <v>10</v>
      </c>
      <c r="G50" s="36">
        <v>0</v>
      </c>
    </row>
    <row r="51" spans="1:7">
      <c r="A51" s="28">
        <v>93</v>
      </c>
      <c r="B51" s="31" t="s">
        <v>61</v>
      </c>
      <c r="C51" s="36">
        <v>19</v>
      </c>
      <c r="D51" s="36">
        <v>28</v>
      </c>
      <c r="E51" s="36">
        <v>0</v>
      </c>
      <c r="F51" s="36">
        <v>9</v>
      </c>
      <c r="G51" s="36">
        <v>14</v>
      </c>
    </row>
    <row r="52" spans="1:7">
      <c r="A52" s="28">
        <v>95</v>
      </c>
      <c r="B52" s="31" t="s">
        <v>51</v>
      </c>
      <c r="C52" s="36">
        <v>35</v>
      </c>
      <c r="D52" s="36">
        <v>65</v>
      </c>
      <c r="E52" s="36">
        <v>0</v>
      </c>
      <c r="F52" s="36">
        <v>21</v>
      </c>
      <c r="G52" s="36">
        <v>1</v>
      </c>
    </row>
    <row r="53" spans="1:7">
      <c r="A53" s="28">
        <v>97</v>
      </c>
      <c r="B53" s="31" t="s">
        <v>53</v>
      </c>
      <c r="C53" s="36">
        <v>44</v>
      </c>
      <c r="D53" s="36">
        <v>72</v>
      </c>
      <c r="E53" s="36">
        <v>3</v>
      </c>
      <c r="F53" s="36">
        <v>50</v>
      </c>
      <c r="G53" s="36">
        <v>0</v>
      </c>
    </row>
    <row r="54" spans="1:7">
      <c r="A54" s="38">
        <v>77</v>
      </c>
      <c r="B54" s="53" t="s">
        <v>25</v>
      </c>
      <c r="C54" s="51">
        <v>246</v>
      </c>
      <c r="D54" s="51">
        <v>361</v>
      </c>
      <c r="E54" s="51">
        <v>11</v>
      </c>
      <c r="F54" s="51">
        <v>52</v>
      </c>
      <c r="G54" s="51">
        <v>0</v>
      </c>
    </row>
    <row r="55" spans="1:7">
      <c r="B55" s="39"/>
    </row>
    <row r="56" spans="1:7">
      <c r="B56" s="31" t="s">
        <v>84</v>
      </c>
    </row>
    <row r="57" spans="1:7" ht="12" customHeight="1">
      <c r="B57" s="71"/>
      <c r="C57" s="71"/>
      <c r="D57" s="71"/>
      <c r="E57" s="62"/>
      <c r="F57" s="62"/>
      <c r="G57" s="62"/>
    </row>
    <row r="58" spans="1:7">
      <c r="B58" s="41" t="s">
        <v>70</v>
      </c>
    </row>
  </sheetData>
  <mergeCells count="5">
    <mergeCell ref="B1:G1"/>
    <mergeCell ref="C2:D2"/>
    <mergeCell ref="E2:F2"/>
    <mergeCell ref="G2:G3"/>
    <mergeCell ref="B57:D57"/>
  </mergeCells>
  <pageMargins left="0.75" right="0.75" top="1" bottom="1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8"/>
  <sheetViews>
    <sheetView showGridLines="0" topLeftCell="B1" zoomScale="85" workbookViewId="0">
      <pane xSplit="1" ySplit="3" topLeftCell="C22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255" width="9.140625" style="31"/>
    <col min="256" max="256" width="0" style="31" hidden="1" customWidth="1"/>
    <col min="257" max="257" width="2.5703125" style="3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511" width="9.140625" style="31"/>
    <col min="512" max="512" width="0" style="31" hidden="1" customWidth="1"/>
    <col min="513" max="513" width="2.5703125" style="3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767" width="9.140625" style="31"/>
    <col min="768" max="768" width="0" style="31" hidden="1" customWidth="1"/>
    <col min="769" max="769" width="2.5703125" style="3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1023" width="9.140625" style="31"/>
    <col min="1024" max="1024" width="0" style="31" hidden="1" customWidth="1"/>
    <col min="1025" max="1025" width="2.5703125" style="3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279" width="9.140625" style="31"/>
    <col min="1280" max="1280" width="0" style="31" hidden="1" customWidth="1"/>
    <col min="1281" max="1281" width="2.5703125" style="3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535" width="9.140625" style="31"/>
    <col min="1536" max="1536" width="0" style="31" hidden="1" customWidth="1"/>
    <col min="1537" max="1537" width="2.5703125" style="3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791" width="9.140625" style="31"/>
    <col min="1792" max="1792" width="0" style="31" hidden="1" customWidth="1"/>
    <col min="1793" max="1793" width="2.5703125" style="3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2047" width="9.140625" style="31"/>
    <col min="2048" max="2048" width="0" style="31" hidden="1" customWidth="1"/>
    <col min="2049" max="2049" width="2.5703125" style="3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303" width="9.140625" style="31"/>
    <col min="2304" max="2304" width="0" style="31" hidden="1" customWidth="1"/>
    <col min="2305" max="2305" width="2.5703125" style="3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559" width="9.140625" style="31"/>
    <col min="2560" max="2560" width="0" style="31" hidden="1" customWidth="1"/>
    <col min="2561" max="2561" width="2.5703125" style="3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815" width="9.140625" style="31"/>
    <col min="2816" max="2816" width="0" style="31" hidden="1" customWidth="1"/>
    <col min="2817" max="2817" width="2.5703125" style="3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3071" width="9.140625" style="31"/>
    <col min="3072" max="3072" width="0" style="31" hidden="1" customWidth="1"/>
    <col min="3073" max="3073" width="2.5703125" style="3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327" width="9.140625" style="31"/>
    <col min="3328" max="3328" width="0" style="31" hidden="1" customWidth="1"/>
    <col min="3329" max="3329" width="2.5703125" style="3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583" width="9.140625" style="31"/>
    <col min="3584" max="3584" width="0" style="31" hidden="1" customWidth="1"/>
    <col min="3585" max="3585" width="2.5703125" style="3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839" width="9.140625" style="31"/>
    <col min="3840" max="3840" width="0" style="31" hidden="1" customWidth="1"/>
    <col min="3841" max="3841" width="2.5703125" style="3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4095" width="9.140625" style="31"/>
    <col min="4096" max="4096" width="0" style="31" hidden="1" customWidth="1"/>
    <col min="4097" max="4097" width="2.5703125" style="3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351" width="9.140625" style="31"/>
    <col min="4352" max="4352" width="0" style="31" hidden="1" customWidth="1"/>
    <col min="4353" max="4353" width="2.5703125" style="3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607" width="9.140625" style="31"/>
    <col min="4608" max="4608" width="0" style="31" hidden="1" customWidth="1"/>
    <col min="4609" max="4609" width="2.5703125" style="3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863" width="9.140625" style="31"/>
    <col min="4864" max="4864" width="0" style="31" hidden="1" customWidth="1"/>
    <col min="4865" max="4865" width="2.5703125" style="3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5119" width="9.140625" style="31"/>
    <col min="5120" max="5120" width="0" style="31" hidden="1" customWidth="1"/>
    <col min="5121" max="5121" width="2.5703125" style="3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375" width="9.140625" style="31"/>
    <col min="5376" max="5376" width="0" style="31" hidden="1" customWidth="1"/>
    <col min="5377" max="5377" width="2.5703125" style="3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631" width="9.140625" style="31"/>
    <col min="5632" max="5632" width="0" style="31" hidden="1" customWidth="1"/>
    <col min="5633" max="5633" width="2.5703125" style="3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887" width="9.140625" style="31"/>
    <col min="5888" max="5888" width="0" style="31" hidden="1" customWidth="1"/>
    <col min="5889" max="5889" width="2.5703125" style="3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6143" width="9.140625" style="31"/>
    <col min="6144" max="6144" width="0" style="31" hidden="1" customWidth="1"/>
    <col min="6145" max="6145" width="2.5703125" style="3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399" width="9.140625" style="31"/>
    <col min="6400" max="6400" width="0" style="31" hidden="1" customWidth="1"/>
    <col min="6401" max="6401" width="2.5703125" style="3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655" width="9.140625" style="31"/>
    <col min="6656" max="6656" width="0" style="31" hidden="1" customWidth="1"/>
    <col min="6657" max="6657" width="2.5703125" style="3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911" width="9.140625" style="31"/>
    <col min="6912" max="6912" width="0" style="31" hidden="1" customWidth="1"/>
    <col min="6913" max="6913" width="2.5703125" style="3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7167" width="9.140625" style="31"/>
    <col min="7168" max="7168" width="0" style="31" hidden="1" customWidth="1"/>
    <col min="7169" max="7169" width="2.5703125" style="3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423" width="9.140625" style="31"/>
    <col min="7424" max="7424" width="0" style="31" hidden="1" customWidth="1"/>
    <col min="7425" max="7425" width="2.5703125" style="3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679" width="9.140625" style="31"/>
    <col min="7680" max="7680" width="0" style="31" hidden="1" customWidth="1"/>
    <col min="7681" max="7681" width="2.5703125" style="3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935" width="9.140625" style="31"/>
    <col min="7936" max="7936" width="0" style="31" hidden="1" customWidth="1"/>
    <col min="7937" max="7937" width="2.5703125" style="3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8191" width="9.140625" style="31"/>
    <col min="8192" max="8192" width="0" style="31" hidden="1" customWidth="1"/>
    <col min="8193" max="8193" width="2.5703125" style="3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447" width="9.140625" style="31"/>
    <col min="8448" max="8448" width="0" style="31" hidden="1" customWidth="1"/>
    <col min="8449" max="8449" width="2.5703125" style="3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703" width="9.140625" style="31"/>
    <col min="8704" max="8704" width="0" style="31" hidden="1" customWidth="1"/>
    <col min="8705" max="8705" width="2.5703125" style="3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959" width="9.140625" style="31"/>
    <col min="8960" max="8960" width="0" style="31" hidden="1" customWidth="1"/>
    <col min="8961" max="8961" width="2.5703125" style="3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9215" width="9.140625" style="31"/>
    <col min="9216" max="9216" width="0" style="31" hidden="1" customWidth="1"/>
    <col min="9217" max="9217" width="2.5703125" style="3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471" width="9.140625" style="31"/>
    <col min="9472" max="9472" width="0" style="31" hidden="1" customWidth="1"/>
    <col min="9473" max="9473" width="2.5703125" style="3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727" width="9.140625" style="31"/>
    <col min="9728" max="9728" width="0" style="31" hidden="1" customWidth="1"/>
    <col min="9729" max="9729" width="2.5703125" style="3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983" width="9.140625" style="31"/>
    <col min="9984" max="9984" width="0" style="31" hidden="1" customWidth="1"/>
    <col min="9985" max="9985" width="2.5703125" style="3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10239" width="9.140625" style="31"/>
    <col min="10240" max="10240" width="0" style="31" hidden="1" customWidth="1"/>
    <col min="10241" max="10241" width="2.5703125" style="3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495" width="9.140625" style="31"/>
    <col min="10496" max="10496" width="0" style="31" hidden="1" customWidth="1"/>
    <col min="10497" max="10497" width="2.5703125" style="3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751" width="9.140625" style="31"/>
    <col min="10752" max="10752" width="0" style="31" hidden="1" customWidth="1"/>
    <col min="10753" max="10753" width="2.5703125" style="3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1007" width="9.140625" style="31"/>
    <col min="11008" max="11008" width="0" style="31" hidden="1" customWidth="1"/>
    <col min="11009" max="11009" width="2.5703125" style="3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263" width="9.140625" style="31"/>
    <col min="11264" max="11264" width="0" style="31" hidden="1" customWidth="1"/>
    <col min="11265" max="11265" width="2.5703125" style="3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519" width="9.140625" style="31"/>
    <col min="11520" max="11520" width="0" style="31" hidden="1" customWidth="1"/>
    <col min="11521" max="11521" width="2.5703125" style="3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775" width="9.140625" style="31"/>
    <col min="11776" max="11776" width="0" style="31" hidden="1" customWidth="1"/>
    <col min="11777" max="11777" width="2.5703125" style="3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2031" width="9.140625" style="31"/>
    <col min="12032" max="12032" width="0" style="31" hidden="1" customWidth="1"/>
    <col min="12033" max="12033" width="2.5703125" style="3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287" width="9.140625" style="31"/>
    <col min="12288" max="12288" width="0" style="31" hidden="1" customWidth="1"/>
    <col min="12289" max="12289" width="2.5703125" style="3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543" width="9.140625" style="31"/>
    <col min="12544" max="12544" width="0" style="31" hidden="1" customWidth="1"/>
    <col min="12545" max="12545" width="2.5703125" style="3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799" width="9.140625" style="31"/>
    <col min="12800" max="12800" width="0" style="31" hidden="1" customWidth="1"/>
    <col min="12801" max="12801" width="2.5703125" style="3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3055" width="9.140625" style="31"/>
    <col min="13056" max="13056" width="0" style="31" hidden="1" customWidth="1"/>
    <col min="13057" max="13057" width="2.5703125" style="3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311" width="9.140625" style="31"/>
    <col min="13312" max="13312" width="0" style="31" hidden="1" customWidth="1"/>
    <col min="13313" max="13313" width="2.5703125" style="3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567" width="9.140625" style="31"/>
    <col min="13568" max="13568" width="0" style="31" hidden="1" customWidth="1"/>
    <col min="13569" max="13569" width="2.5703125" style="3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823" width="9.140625" style="31"/>
    <col min="13824" max="13824" width="0" style="31" hidden="1" customWidth="1"/>
    <col min="13825" max="13825" width="2.5703125" style="3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4079" width="9.140625" style="31"/>
    <col min="14080" max="14080" width="0" style="31" hidden="1" customWidth="1"/>
    <col min="14081" max="14081" width="2.5703125" style="3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335" width="9.140625" style="31"/>
    <col min="14336" max="14336" width="0" style="31" hidden="1" customWidth="1"/>
    <col min="14337" max="14337" width="2.5703125" style="3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591" width="9.140625" style="31"/>
    <col min="14592" max="14592" width="0" style="31" hidden="1" customWidth="1"/>
    <col min="14593" max="14593" width="2.5703125" style="3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847" width="9.140625" style="31"/>
    <col min="14848" max="14848" width="0" style="31" hidden="1" customWidth="1"/>
    <col min="14849" max="14849" width="2.5703125" style="3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5103" width="9.140625" style="31"/>
    <col min="15104" max="15104" width="0" style="31" hidden="1" customWidth="1"/>
    <col min="15105" max="15105" width="2.5703125" style="3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359" width="9.140625" style="31"/>
    <col min="15360" max="15360" width="0" style="31" hidden="1" customWidth="1"/>
    <col min="15361" max="15361" width="2.5703125" style="3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615" width="9.140625" style="31"/>
    <col min="15616" max="15616" width="0" style="31" hidden="1" customWidth="1"/>
    <col min="15617" max="15617" width="2.5703125" style="3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871" width="9.140625" style="31"/>
    <col min="15872" max="15872" width="0" style="31" hidden="1" customWidth="1"/>
    <col min="15873" max="15873" width="2.5703125" style="3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6127" width="9.140625" style="31"/>
    <col min="16128" max="16128" width="0" style="31" hidden="1" customWidth="1"/>
    <col min="16129" max="16129" width="2.5703125" style="3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384" width="9.140625" style="31"/>
  </cols>
  <sheetData>
    <row r="1" spans="1:7" ht="33.75" customHeight="1">
      <c r="B1" s="66" t="s">
        <v>94</v>
      </c>
      <c r="C1" s="67"/>
      <c r="D1" s="67"/>
      <c r="E1" s="67"/>
      <c r="F1" s="67"/>
      <c r="G1" s="67"/>
    </row>
    <row r="2" spans="1:7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</row>
    <row r="3" spans="1:7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</row>
    <row r="4" spans="1:7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7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7" ht="26.25" customHeight="1">
      <c r="B6" s="39" t="s">
        <v>83</v>
      </c>
      <c r="C6" s="59">
        <v>950</v>
      </c>
      <c r="D6" s="59">
        <v>1518</v>
      </c>
      <c r="E6" s="59">
        <v>49</v>
      </c>
      <c r="F6" s="59">
        <v>844</v>
      </c>
      <c r="G6" s="59">
        <v>111</v>
      </c>
    </row>
    <row r="7" spans="1:7" s="34" customFormat="1" ht="26.25" customHeight="1">
      <c r="A7" s="27"/>
      <c r="B7" s="34" t="s">
        <v>56</v>
      </c>
      <c r="C7" s="60">
        <v>634</v>
      </c>
      <c r="D7" s="60">
        <v>975</v>
      </c>
      <c r="E7" s="60">
        <v>44</v>
      </c>
      <c r="F7" s="60">
        <v>696</v>
      </c>
      <c r="G7" s="60">
        <v>69</v>
      </c>
    </row>
    <row r="8" spans="1:7">
      <c r="A8" s="28">
        <v>51</v>
      </c>
      <c r="B8" s="31" t="s">
        <v>9</v>
      </c>
      <c r="C8" s="36">
        <v>44</v>
      </c>
      <c r="D8" s="36">
        <v>40</v>
      </c>
      <c r="E8" s="36">
        <v>2</v>
      </c>
      <c r="F8" s="36">
        <v>27</v>
      </c>
      <c r="G8" s="36">
        <v>4</v>
      </c>
    </row>
    <row r="9" spans="1:7">
      <c r="A9" s="28">
        <v>52</v>
      </c>
      <c r="B9" s="31" t="s">
        <v>10</v>
      </c>
      <c r="C9" s="36">
        <v>12</v>
      </c>
      <c r="D9" s="36">
        <v>20</v>
      </c>
      <c r="E9" s="36">
        <v>0</v>
      </c>
      <c r="F9" s="36">
        <v>14</v>
      </c>
      <c r="G9" s="36">
        <v>0</v>
      </c>
    </row>
    <row r="10" spans="1:7">
      <c r="A10" s="28">
        <v>86</v>
      </c>
      <c r="B10" s="31" t="s">
        <v>11</v>
      </c>
      <c r="C10" s="36">
        <v>3</v>
      </c>
      <c r="D10" s="36">
        <v>23</v>
      </c>
      <c r="E10" s="36">
        <v>0</v>
      </c>
      <c r="F10" s="36">
        <v>4</v>
      </c>
      <c r="G10" s="36">
        <v>2</v>
      </c>
    </row>
    <row r="11" spans="1:7">
      <c r="A11" s="28">
        <v>53</v>
      </c>
      <c r="B11" s="31" t="s">
        <v>12</v>
      </c>
      <c r="C11" s="36">
        <v>12</v>
      </c>
      <c r="D11" s="36">
        <v>30</v>
      </c>
      <c r="E11" s="36">
        <v>0</v>
      </c>
      <c r="F11" s="36">
        <v>8</v>
      </c>
      <c r="G11" s="36">
        <v>1</v>
      </c>
    </row>
    <row r="12" spans="1:7">
      <c r="A12" s="28">
        <v>54</v>
      </c>
      <c r="B12" s="31" t="s">
        <v>13</v>
      </c>
      <c r="C12" s="36">
        <v>12</v>
      </c>
      <c r="D12" s="36">
        <v>14</v>
      </c>
      <c r="E12" s="36">
        <v>2</v>
      </c>
      <c r="F12" s="36">
        <v>25</v>
      </c>
      <c r="G12" s="36">
        <v>0</v>
      </c>
    </row>
    <row r="13" spans="1:7">
      <c r="A13" s="28">
        <v>55</v>
      </c>
      <c r="B13" s="31" t="s">
        <v>14</v>
      </c>
      <c r="C13" s="36">
        <v>9</v>
      </c>
      <c r="D13" s="36">
        <v>29</v>
      </c>
      <c r="E13" s="36">
        <v>0</v>
      </c>
      <c r="F13" s="36">
        <v>28</v>
      </c>
      <c r="G13" s="36">
        <v>1</v>
      </c>
    </row>
    <row r="14" spans="1:7">
      <c r="A14" s="28">
        <v>56</v>
      </c>
      <c r="B14" s="31" t="s">
        <v>15</v>
      </c>
      <c r="C14" s="36">
        <v>2</v>
      </c>
      <c r="D14" s="36">
        <v>15</v>
      </c>
      <c r="E14" s="36">
        <v>0</v>
      </c>
      <c r="F14" s="36">
        <v>4</v>
      </c>
      <c r="G14" s="36">
        <v>0</v>
      </c>
    </row>
    <row r="15" spans="1:7">
      <c r="A15" s="28">
        <v>57</v>
      </c>
      <c r="B15" s="31" t="s">
        <v>16</v>
      </c>
      <c r="C15" s="36">
        <v>8</v>
      </c>
      <c r="D15" s="36">
        <v>7</v>
      </c>
      <c r="E15" s="36">
        <v>3</v>
      </c>
      <c r="F15" s="36">
        <v>5</v>
      </c>
      <c r="G15" s="36">
        <v>1</v>
      </c>
    </row>
    <row r="16" spans="1:7">
      <c r="A16" s="28">
        <v>59</v>
      </c>
      <c r="B16" s="31" t="s">
        <v>17</v>
      </c>
      <c r="C16" s="36">
        <v>21</v>
      </c>
      <c r="D16" s="36">
        <v>14</v>
      </c>
      <c r="E16" s="36">
        <v>0</v>
      </c>
      <c r="F16" s="36">
        <v>4</v>
      </c>
      <c r="G16" s="36">
        <v>0</v>
      </c>
    </row>
    <row r="17" spans="1:7">
      <c r="A17" s="28">
        <v>60</v>
      </c>
      <c r="B17" s="31" t="s">
        <v>18</v>
      </c>
      <c r="C17" s="36">
        <v>14</v>
      </c>
      <c r="D17" s="36">
        <v>15</v>
      </c>
      <c r="E17" s="36">
        <v>1</v>
      </c>
      <c r="F17" s="36">
        <v>33</v>
      </c>
      <c r="G17" s="36">
        <v>4</v>
      </c>
    </row>
    <row r="18" spans="1:7">
      <c r="A18" s="28">
        <v>61</v>
      </c>
      <c r="B18" s="49" t="s">
        <v>57</v>
      </c>
      <c r="C18" s="36">
        <v>36</v>
      </c>
      <c r="D18" s="36">
        <v>104</v>
      </c>
      <c r="E18" s="36">
        <v>2</v>
      </c>
      <c r="F18" s="36">
        <v>66</v>
      </c>
      <c r="G18" s="36">
        <v>3</v>
      </c>
    </row>
    <row r="19" spans="1:7">
      <c r="A19" s="28">
        <v>62</v>
      </c>
      <c r="B19" s="31" t="s">
        <v>20</v>
      </c>
      <c r="C19" s="36">
        <v>13</v>
      </c>
      <c r="D19" s="36">
        <v>29</v>
      </c>
      <c r="E19" s="36">
        <v>1</v>
      </c>
      <c r="F19" s="36">
        <v>17</v>
      </c>
      <c r="G19" s="36">
        <v>10</v>
      </c>
    </row>
    <row r="20" spans="1:7">
      <c r="A20" s="28">
        <v>58</v>
      </c>
      <c r="B20" s="31" t="s">
        <v>21</v>
      </c>
      <c r="C20" s="36">
        <v>2</v>
      </c>
      <c r="D20" s="36">
        <v>9</v>
      </c>
      <c r="E20" s="36">
        <v>0</v>
      </c>
      <c r="F20" s="36">
        <v>1</v>
      </c>
      <c r="G20" s="36">
        <v>0</v>
      </c>
    </row>
    <row r="21" spans="1:7">
      <c r="A21" s="28">
        <v>63</v>
      </c>
      <c r="B21" s="31" t="s">
        <v>22</v>
      </c>
      <c r="C21" s="36">
        <v>21</v>
      </c>
      <c r="D21" s="36">
        <v>28</v>
      </c>
      <c r="E21" s="36">
        <v>2</v>
      </c>
      <c r="F21" s="36">
        <v>37</v>
      </c>
      <c r="G21" s="36">
        <v>1</v>
      </c>
    </row>
    <row r="22" spans="1:7">
      <c r="A22" s="28">
        <v>64</v>
      </c>
      <c r="B22" s="31" t="s">
        <v>23</v>
      </c>
      <c r="C22" s="36">
        <v>53</v>
      </c>
      <c r="D22" s="36">
        <v>31</v>
      </c>
      <c r="E22" s="36">
        <v>1</v>
      </c>
      <c r="F22" s="36">
        <v>54</v>
      </c>
      <c r="G22" s="36">
        <v>5</v>
      </c>
    </row>
    <row r="23" spans="1:7">
      <c r="A23" s="28">
        <v>65</v>
      </c>
      <c r="B23" s="31" t="s">
        <v>24</v>
      </c>
      <c r="C23" s="36">
        <v>13</v>
      </c>
      <c r="D23" s="36">
        <v>8</v>
      </c>
      <c r="E23" s="36">
        <v>0</v>
      </c>
      <c r="F23" s="36">
        <v>2</v>
      </c>
      <c r="G23" s="36">
        <v>1</v>
      </c>
    </row>
    <row r="24" spans="1:7">
      <c r="A24" s="28">
        <v>67</v>
      </c>
      <c r="B24" s="31" t="s">
        <v>27</v>
      </c>
      <c r="C24" s="36">
        <v>36</v>
      </c>
      <c r="D24" s="36">
        <v>37</v>
      </c>
      <c r="E24" s="36">
        <v>2</v>
      </c>
      <c r="F24" s="36">
        <v>17</v>
      </c>
      <c r="G24" s="36">
        <v>0</v>
      </c>
    </row>
    <row r="25" spans="1:7">
      <c r="A25" s="28">
        <v>68</v>
      </c>
      <c r="B25" s="31" t="s">
        <v>58</v>
      </c>
      <c r="C25" s="36">
        <v>8</v>
      </c>
      <c r="D25" s="36">
        <v>18</v>
      </c>
      <c r="E25" s="36">
        <v>1</v>
      </c>
      <c r="F25" s="36">
        <v>19</v>
      </c>
      <c r="G25" s="36">
        <v>0</v>
      </c>
    </row>
    <row r="26" spans="1:7">
      <c r="A26" s="28">
        <v>69</v>
      </c>
      <c r="B26" s="31" t="s">
        <v>29</v>
      </c>
      <c r="C26" s="36">
        <v>29</v>
      </c>
      <c r="D26" s="36">
        <v>28</v>
      </c>
      <c r="E26" s="36">
        <v>1</v>
      </c>
      <c r="F26" s="36">
        <v>12</v>
      </c>
      <c r="G26" s="36">
        <v>0</v>
      </c>
    </row>
    <row r="27" spans="1:7">
      <c r="A27" s="28">
        <v>70</v>
      </c>
      <c r="B27" s="31" t="s">
        <v>30</v>
      </c>
      <c r="C27" s="36">
        <v>6</v>
      </c>
      <c r="D27" s="36">
        <v>20</v>
      </c>
      <c r="E27" s="36">
        <v>1</v>
      </c>
      <c r="F27" s="36">
        <v>24</v>
      </c>
      <c r="G27" s="36">
        <v>0</v>
      </c>
    </row>
    <row r="28" spans="1:7">
      <c r="A28" s="28">
        <v>71</v>
      </c>
      <c r="B28" s="31" t="s">
        <v>59</v>
      </c>
      <c r="C28" s="36">
        <v>2</v>
      </c>
      <c r="D28" s="36">
        <v>3</v>
      </c>
      <c r="E28" s="36">
        <v>0</v>
      </c>
      <c r="F28" s="36">
        <v>3</v>
      </c>
      <c r="G28" s="36">
        <v>0</v>
      </c>
    </row>
    <row r="29" spans="1:7">
      <c r="A29" s="28">
        <v>73</v>
      </c>
      <c r="B29" s="31" t="s">
        <v>33</v>
      </c>
      <c r="C29" s="36">
        <v>31</v>
      </c>
      <c r="D29" s="36">
        <v>50</v>
      </c>
      <c r="E29" s="36">
        <v>0</v>
      </c>
      <c r="F29" s="36">
        <v>27</v>
      </c>
      <c r="G29" s="36">
        <v>3</v>
      </c>
    </row>
    <row r="30" spans="1:7">
      <c r="A30" s="28">
        <v>74</v>
      </c>
      <c r="B30" s="31" t="s">
        <v>34</v>
      </c>
      <c r="C30" s="36">
        <v>16</v>
      </c>
      <c r="D30" s="36">
        <v>27</v>
      </c>
      <c r="E30" s="36">
        <v>0</v>
      </c>
      <c r="F30" s="36">
        <v>16</v>
      </c>
      <c r="G30" s="36">
        <v>5</v>
      </c>
    </row>
    <row r="31" spans="1:7">
      <c r="A31" s="28">
        <v>75</v>
      </c>
      <c r="B31" s="31" t="s">
        <v>35</v>
      </c>
      <c r="C31" s="36">
        <v>17</v>
      </c>
      <c r="D31" s="36">
        <v>24</v>
      </c>
      <c r="E31" s="36">
        <v>1</v>
      </c>
      <c r="F31" s="36">
        <v>12</v>
      </c>
      <c r="G31" s="36">
        <v>4</v>
      </c>
    </row>
    <row r="32" spans="1:7">
      <c r="A32" s="28">
        <v>76</v>
      </c>
      <c r="B32" s="31" t="s">
        <v>36</v>
      </c>
      <c r="C32" s="36">
        <v>4</v>
      </c>
      <c r="D32" s="36">
        <v>15</v>
      </c>
      <c r="E32" s="36">
        <v>5</v>
      </c>
      <c r="F32" s="36">
        <v>31</v>
      </c>
      <c r="G32" s="36">
        <v>8</v>
      </c>
    </row>
    <row r="33" spans="1:7">
      <c r="A33" s="28">
        <v>79</v>
      </c>
      <c r="B33" s="31" t="s">
        <v>38</v>
      </c>
      <c r="C33" s="36">
        <v>49</v>
      </c>
      <c r="D33" s="36">
        <v>64</v>
      </c>
      <c r="E33" s="36">
        <v>5</v>
      </c>
      <c r="F33" s="36">
        <v>30</v>
      </c>
      <c r="G33" s="36">
        <v>8</v>
      </c>
    </row>
    <row r="34" spans="1:7">
      <c r="A34" s="28">
        <v>80</v>
      </c>
      <c r="B34" s="31" t="s">
        <v>39</v>
      </c>
      <c r="C34" s="36">
        <v>12</v>
      </c>
      <c r="D34" s="36">
        <v>48</v>
      </c>
      <c r="E34" s="36">
        <v>0</v>
      </c>
      <c r="F34" s="36">
        <v>36</v>
      </c>
      <c r="G34" s="36">
        <v>2</v>
      </c>
    </row>
    <row r="35" spans="1:7">
      <c r="A35" s="28">
        <v>81</v>
      </c>
      <c r="B35" s="31" t="s">
        <v>40</v>
      </c>
      <c r="C35" s="36">
        <v>12</v>
      </c>
      <c r="D35" s="36">
        <v>26</v>
      </c>
      <c r="E35" s="36">
        <v>1</v>
      </c>
      <c r="F35" s="36">
        <v>21</v>
      </c>
      <c r="G35" s="36">
        <v>0</v>
      </c>
    </row>
    <row r="36" spans="1:7">
      <c r="A36" s="28">
        <v>83</v>
      </c>
      <c r="B36" s="31" t="s">
        <v>41</v>
      </c>
      <c r="C36" s="36">
        <v>6</v>
      </c>
      <c r="D36" s="36">
        <v>9</v>
      </c>
      <c r="E36" s="36">
        <v>0</v>
      </c>
      <c r="F36" s="36">
        <v>9</v>
      </c>
      <c r="G36" s="36">
        <v>0</v>
      </c>
    </row>
    <row r="37" spans="1:7">
      <c r="A37" s="28">
        <v>84</v>
      </c>
      <c r="B37" s="31" t="s">
        <v>42</v>
      </c>
      <c r="C37" s="36">
        <v>20</v>
      </c>
      <c r="D37" s="36">
        <v>18</v>
      </c>
      <c r="E37" s="36">
        <v>1</v>
      </c>
      <c r="F37" s="36">
        <v>4</v>
      </c>
      <c r="G37" s="36">
        <v>3</v>
      </c>
    </row>
    <row r="38" spans="1:7">
      <c r="A38" s="28">
        <v>85</v>
      </c>
      <c r="B38" s="31" t="s">
        <v>43</v>
      </c>
      <c r="C38" s="36">
        <v>10</v>
      </c>
      <c r="D38" s="36">
        <v>19</v>
      </c>
      <c r="E38" s="36">
        <v>0</v>
      </c>
      <c r="F38" s="36">
        <v>18</v>
      </c>
      <c r="G38" s="36">
        <v>0</v>
      </c>
    </row>
    <row r="39" spans="1:7">
      <c r="A39" s="28">
        <v>87</v>
      </c>
      <c r="B39" s="31" t="s">
        <v>44</v>
      </c>
      <c r="C39" s="36">
        <v>10</v>
      </c>
      <c r="D39" s="36">
        <v>4</v>
      </c>
      <c r="E39" s="36">
        <v>1</v>
      </c>
      <c r="F39" s="36">
        <v>6</v>
      </c>
      <c r="G39" s="36">
        <v>0</v>
      </c>
    </row>
    <row r="40" spans="1:7">
      <c r="A40" s="28">
        <v>90</v>
      </c>
      <c r="B40" s="31" t="s">
        <v>46</v>
      </c>
      <c r="C40" s="36">
        <v>31</v>
      </c>
      <c r="D40" s="36">
        <v>14</v>
      </c>
      <c r="E40" s="36">
        <v>4</v>
      </c>
      <c r="F40" s="36">
        <v>14</v>
      </c>
      <c r="G40" s="36">
        <v>0</v>
      </c>
    </row>
    <row r="41" spans="1:7">
      <c r="A41" s="28">
        <v>91</v>
      </c>
      <c r="B41" s="31" t="s">
        <v>47</v>
      </c>
      <c r="C41" s="36">
        <v>11</v>
      </c>
      <c r="D41" s="36">
        <v>7</v>
      </c>
      <c r="E41" s="36">
        <v>4</v>
      </c>
      <c r="F41" s="36">
        <v>11</v>
      </c>
      <c r="G41" s="36">
        <v>0</v>
      </c>
    </row>
    <row r="42" spans="1:7">
      <c r="A42" s="28">
        <v>92</v>
      </c>
      <c r="B42" s="31" t="s">
        <v>48</v>
      </c>
      <c r="C42" s="36">
        <v>21</v>
      </c>
      <c r="D42" s="36">
        <v>51</v>
      </c>
      <c r="E42" s="36">
        <v>2</v>
      </c>
      <c r="F42" s="36">
        <v>11</v>
      </c>
      <c r="G42" s="36">
        <v>2</v>
      </c>
    </row>
    <row r="43" spans="1:7">
      <c r="A43" s="28">
        <v>94</v>
      </c>
      <c r="B43" s="31" t="s">
        <v>50</v>
      </c>
      <c r="C43" s="36">
        <v>3</v>
      </c>
      <c r="D43" s="36">
        <v>22</v>
      </c>
      <c r="E43" s="36">
        <v>0</v>
      </c>
      <c r="F43" s="36">
        <v>5</v>
      </c>
      <c r="G43" s="36">
        <v>1</v>
      </c>
    </row>
    <row r="44" spans="1:7">
      <c r="A44" s="28">
        <v>96</v>
      </c>
      <c r="B44" s="31" t="s">
        <v>52</v>
      </c>
      <c r="C44" s="36">
        <v>14</v>
      </c>
      <c r="D44" s="36">
        <v>38</v>
      </c>
      <c r="E44" s="36">
        <v>0</v>
      </c>
      <c r="F44" s="36">
        <v>15</v>
      </c>
      <c r="G44" s="36">
        <v>0</v>
      </c>
    </row>
    <row r="45" spans="1:7">
      <c r="A45" s="28">
        <v>98</v>
      </c>
      <c r="B45" s="31" t="s">
        <v>54</v>
      </c>
      <c r="C45" s="36">
        <v>11</v>
      </c>
      <c r="D45" s="36">
        <v>17</v>
      </c>
      <c r="E45" s="36">
        <v>1</v>
      </c>
      <c r="F45" s="36">
        <v>26</v>
      </c>
      <c r="G45" s="36">
        <v>0</v>
      </c>
    </row>
    <row r="46" spans="1:7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s="34" customFormat="1" ht="26.25" customHeight="1">
      <c r="B47" s="34" t="s">
        <v>60</v>
      </c>
      <c r="C47" s="61">
        <v>316</v>
      </c>
      <c r="D47" s="61">
        <v>543</v>
      </c>
      <c r="E47" s="61">
        <v>5</v>
      </c>
      <c r="F47" s="61">
        <v>148</v>
      </c>
      <c r="G47" s="61">
        <v>42</v>
      </c>
    </row>
    <row r="48" spans="1:7">
      <c r="A48" s="28">
        <v>66</v>
      </c>
      <c r="B48" s="31" t="s">
        <v>26</v>
      </c>
      <c r="C48" s="36">
        <v>9</v>
      </c>
      <c r="D48" s="36">
        <v>26</v>
      </c>
      <c r="E48" s="36">
        <v>0</v>
      </c>
      <c r="F48" s="36">
        <v>3</v>
      </c>
      <c r="G48" s="36">
        <v>0</v>
      </c>
    </row>
    <row r="49" spans="1:7">
      <c r="A49" s="28">
        <v>78</v>
      </c>
      <c r="B49" s="31" t="s">
        <v>37</v>
      </c>
      <c r="C49" s="36">
        <v>25</v>
      </c>
      <c r="D49" s="36">
        <v>35</v>
      </c>
      <c r="E49" s="36">
        <v>0</v>
      </c>
      <c r="F49" s="36">
        <v>26</v>
      </c>
      <c r="G49" s="36">
        <v>4</v>
      </c>
    </row>
    <row r="50" spans="1:7">
      <c r="A50" s="28">
        <v>89</v>
      </c>
      <c r="B50" s="31" t="s">
        <v>45</v>
      </c>
      <c r="C50" s="36">
        <v>6</v>
      </c>
      <c r="D50" s="36">
        <v>22</v>
      </c>
      <c r="E50" s="36">
        <v>0</v>
      </c>
      <c r="F50" s="36">
        <v>13</v>
      </c>
      <c r="G50" s="36">
        <v>0</v>
      </c>
    </row>
    <row r="51" spans="1:7">
      <c r="A51" s="28">
        <v>93</v>
      </c>
      <c r="B51" s="31" t="s">
        <v>61</v>
      </c>
      <c r="C51" s="36">
        <v>8</v>
      </c>
      <c r="D51" s="36">
        <v>33</v>
      </c>
      <c r="E51" s="36">
        <v>0</v>
      </c>
      <c r="F51" s="36">
        <v>5</v>
      </c>
      <c r="G51" s="36">
        <v>2</v>
      </c>
    </row>
    <row r="52" spans="1:7">
      <c r="A52" s="28">
        <v>95</v>
      </c>
      <c r="B52" s="31" t="s">
        <v>51</v>
      </c>
      <c r="C52" s="36">
        <v>31</v>
      </c>
      <c r="D52" s="36">
        <v>68</v>
      </c>
      <c r="E52" s="36">
        <v>0</v>
      </c>
      <c r="F52" s="36">
        <v>22</v>
      </c>
      <c r="G52" s="36">
        <v>8</v>
      </c>
    </row>
    <row r="53" spans="1:7">
      <c r="A53" s="28">
        <v>97</v>
      </c>
      <c r="B53" s="31" t="s">
        <v>53</v>
      </c>
      <c r="C53" s="36">
        <v>35</v>
      </c>
      <c r="D53" s="36">
        <v>36</v>
      </c>
      <c r="E53" s="36">
        <v>1</v>
      </c>
      <c r="F53" s="36">
        <v>45</v>
      </c>
      <c r="G53" s="36">
        <v>0</v>
      </c>
    </row>
    <row r="54" spans="1:7">
      <c r="A54" s="38">
        <v>77</v>
      </c>
      <c r="B54" s="53" t="s">
        <v>25</v>
      </c>
      <c r="C54" s="51">
        <v>202</v>
      </c>
      <c r="D54" s="51">
        <v>323</v>
      </c>
      <c r="E54" s="51">
        <v>4</v>
      </c>
      <c r="F54" s="51">
        <v>34</v>
      </c>
      <c r="G54" s="51">
        <v>28</v>
      </c>
    </row>
    <row r="55" spans="1:7">
      <c r="B55" s="39"/>
    </row>
    <row r="56" spans="1:7">
      <c r="B56" s="31" t="s">
        <v>84</v>
      </c>
    </row>
    <row r="57" spans="1:7" ht="12" customHeight="1">
      <c r="B57" s="71"/>
      <c r="C57" s="71"/>
      <c r="D57" s="71"/>
      <c r="E57" s="62"/>
      <c r="F57" s="62"/>
      <c r="G57" s="62"/>
    </row>
    <row r="58" spans="1:7">
      <c r="B58" s="41" t="s">
        <v>70</v>
      </c>
    </row>
  </sheetData>
  <mergeCells count="5">
    <mergeCell ref="B1:G1"/>
    <mergeCell ref="C2:D2"/>
    <mergeCell ref="E2:F2"/>
    <mergeCell ref="G2:G3"/>
    <mergeCell ref="B57:D57"/>
  </mergeCells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60"/>
  <sheetViews>
    <sheetView showGridLines="0" topLeftCell="B1" zoomScale="85" workbookViewId="0">
      <pane xSplit="1" ySplit="3" topLeftCell="C28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ColWidth="0"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8" width="9.140625" style="31" customWidth="1"/>
    <col min="9" max="256" width="0" style="31" hidden="1"/>
    <col min="257" max="257" width="0" style="31" hidden="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264" width="9.140625" style="31" customWidth="1"/>
    <col min="265" max="512" width="0" style="31" hidden="1"/>
    <col min="513" max="513" width="0" style="31" hidden="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520" width="9.140625" style="31" customWidth="1"/>
    <col min="521" max="768" width="0" style="31" hidden="1"/>
    <col min="769" max="769" width="0" style="31" hidden="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776" width="9.140625" style="31" customWidth="1"/>
    <col min="777" max="1024" width="0" style="31" hidden="1"/>
    <col min="1025" max="1025" width="0" style="31" hidden="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032" width="9.140625" style="31" customWidth="1"/>
    <col min="1033" max="1280" width="0" style="31" hidden="1"/>
    <col min="1281" max="1281" width="0" style="31" hidden="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288" width="9.140625" style="31" customWidth="1"/>
    <col min="1289" max="1536" width="0" style="31" hidden="1"/>
    <col min="1537" max="1537" width="0" style="31" hidden="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544" width="9.140625" style="31" customWidth="1"/>
    <col min="1545" max="1792" width="0" style="31" hidden="1"/>
    <col min="1793" max="1793" width="0" style="31" hidden="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1800" width="9.140625" style="31" customWidth="1"/>
    <col min="1801" max="2048" width="0" style="31" hidden="1"/>
    <col min="2049" max="2049" width="0" style="31" hidden="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056" width="9.140625" style="31" customWidth="1"/>
    <col min="2057" max="2304" width="0" style="31" hidden="1"/>
    <col min="2305" max="2305" width="0" style="31" hidden="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312" width="9.140625" style="31" customWidth="1"/>
    <col min="2313" max="2560" width="0" style="31" hidden="1"/>
    <col min="2561" max="2561" width="0" style="31" hidden="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568" width="9.140625" style="31" customWidth="1"/>
    <col min="2569" max="2816" width="0" style="31" hidden="1"/>
    <col min="2817" max="2817" width="0" style="31" hidden="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2824" width="9.140625" style="31" customWidth="1"/>
    <col min="2825" max="3072" width="0" style="31" hidden="1"/>
    <col min="3073" max="3073" width="0" style="31" hidden="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080" width="9.140625" style="31" customWidth="1"/>
    <col min="3081" max="3328" width="0" style="31" hidden="1"/>
    <col min="3329" max="3329" width="0" style="31" hidden="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336" width="9.140625" style="31" customWidth="1"/>
    <col min="3337" max="3584" width="0" style="31" hidden="1"/>
    <col min="3585" max="3585" width="0" style="31" hidden="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592" width="9.140625" style="31" customWidth="1"/>
    <col min="3593" max="3840" width="0" style="31" hidden="1"/>
    <col min="3841" max="3841" width="0" style="31" hidden="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3848" width="9.140625" style="31" customWidth="1"/>
    <col min="3849" max="4096" width="0" style="31" hidden="1"/>
    <col min="4097" max="4097" width="0" style="31" hidden="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104" width="9.140625" style="31" customWidth="1"/>
    <col min="4105" max="4352" width="0" style="31" hidden="1"/>
    <col min="4353" max="4353" width="0" style="31" hidden="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360" width="9.140625" style="31" customWidth="1"/>
    <col min="4361" max="4608" width="0" style="31" hidden="1"/>
    <col min="4609" max="4609" width="0" style="31" hidden="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616" width="9.140625" style="31" customWidth="1"/>
    <col min="4617" max="4864" width="0" style="31" hidden="1"/>
    <col min="4865" max="4865" width="0" style="31" hidden="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4872" width="9.140625" style="31" customWidth="1"/>
    <col min="4873" max="5120" width="0" style="31" hidden="1"/>
    <col min="5121" max="5121" width="0" style="31" hidden="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128" width="9.140625" style="31" customWidth="1"/>
    <col min="5129" max="5376" width="0" style="31" hidden="1"/>
    <col min="5377" max="5377" width="0" style="31" hidden="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384" width="9.140625" style="31" customWidth="1"/>
    <col min="5385" max="5632" width="0" style="31" hidden="1"/>
    <col min="5633" max="5633" width="0" style="31" hidden="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640" width="9.140625" style="31" customWidth="1"/>
    <col min="5641" max="5888" width="0" style="31" hidden="1"/>
    <col min="5889" max="5889" width="0" style="31" hidden="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5896" width="9.140625" style="31" customWidth="1"/>
    <col min="5897" max="6144" width="0" style="31" hidden="1"/>
    <col min="6145" max="6145" width="0" style="31" hidden="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152" width="9.140625" style="31" customWidth="1"/>
    <col min="6153" max="6400" width="0" style="31" hidden="1"/>
    <col min="6401" max="6401" width="0" style="31" hidden="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408" width="9.140625" style="31" customWidth="1"/>
    <col min="6409" max="6656" width="0" style="31" hidden="1"/>
    <col min="6657" max="6657" width="0" style="31" hidden="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664" width="9.140625" style="31" customWidth="1"/>
    <col min="6665" max="6912" width="0" style="31" hidden="1"/>
    <col min="6913" max="6913" width="0" style="31" hidden="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6920" width="9.140625" style="31" customWidth="1"/>
    <col min="6921" max="7168" width="0" style="31" hidden="1"/>
    <col min="7169" max="7169" width="0" style="31" hidden="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176" width="9.140625" style="31" customWidth="1"/>
    <col min="7177" max="7424" width="0" style="31" hidden="1"/>
    <col min="7425" max="7425" width="0" style="31" hidden="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432" width="9.140625" style="31" customWidth="1"/>
    <col min="7433" max="7680" width="0" style="31" hidden="1"/>
    <col min="7681" max="7681" width="0" style="31" hidden="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688" width="9.140625" style="31" customWidth="1"/>
    <col min="7689" max="7936" width="0" style="31" hidden="1"/>
    <col min="7937" max="7937" width="0" style="31" hidden="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7944" width="9.140625" style="31" customWidth="1"/>
    <col min="7945" max="8192" width="0" style="31" hidden="1"/>
    <col min="8193" max="8193" width="0" style="31" hidden="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200" width="9.140625" style="31" customWidth="1"/>
    <col min="8201" max="8448" width="0" style="31" hidden="1"/>
    <col min="8449" max="8449" width="0" style="31" hidden="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456" width="9.140625" style="31" customWidth="1"/>
    <col min="8457" max="8704" width="0" style="31" hidden="1"/>
    <col min="8705" max="8705" width="0" style="31" hidden="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712" width="9.140625" style="31" customWidth="1"/>
    <col min="8713" max="8960" width="0" style="31" hidden="1"/>
    <col min="8961" max="8961" width="0" style="31" hidden="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8968" width="9.140625" style="31" customWidth="1"/>
    <col min="8969" max="9216" width="0" style="31" hidden="1"/>
    <col min="9217" max="9217" width="0" style="31" hidden="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224" width="9.140625" style="31" customWidth="1"/>
    <col min="9225" max="9472" width="0" style="31" hidden="1"/>
    <col min="9473" max="9473" width="0" style="31" hidden="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480" width="9.140625" style="31" customWidth="1"/>
    <col min="9481" max="9728" width="0" style="31" hidden="1"/>
    <col min="9729" max="9729" width="0" style="31" hidden="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736" width="9.140625" style="31" customWidth="1"/>
    <col min="9737" max="9984" width="0" style="31" hidden="1"/>
    <col min="9985" max="9985" width="0" style="31" hidden="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9992" width="9.140625" style="31" customWidth="1"/>
    <col min="9993" max="10240" width="0" style="31" hidden="1"/>
    <col min="10241" max="10241" width="0" style="31" hidden="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248" width="9.140625" style="31" customWidth="1"/>
    <col min="10249" max="10496" width="0" style="31" hidden="1"/>
    <col min="10497" max="10497" width="0" style="31" hidden="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504" width="9.140625" style="31" customWidth="1"/>
    <col min="10505" max="10752" width="0" style="31" hidden="1"/>
    <col min="10753" max="10753" width="0" style="31" hidden="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0760" width="9.140625" style="31" customWidth="1"/>
    <col min="10761" max="11008" width="0" style="31" hidden="1"/>
    <col min="11009" max="11009" width="0" style="31" hidden="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016" width="9.140625" style="31" customWidth="1"/>
    <col min="11017" max="11264" width="0" style="31" hidden="1"/>
    <col min="11265" max="11265" width="0" style="31" hidden="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272" width="9.140625" style="31" customWidth="1"/>
    <col min="11273" max="11520" width="0" style="31" hidden="1"/>
    <col min="11521" max="11521" width="0" style="31" hidden="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528" width="9.140625" style="31" customWidth="1"/>
    <col min="11529" max="11776" width="0" style="31" hidden="1"/>
    <col min="11777" max="11777" width="0" style="31" hidden="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1784" width="9.140625" style="31" customWidth="1"/>
    <col min="11785" max="12032" width="0" style="31" hidden="1"/>
    <col min="12033" max="12033" width="0" style="31" hidden="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040" width="9.140625" style="31" customWidth="1"/>
    <col min="12041" max="12288" width="0" style="31" hidden="1"/>
    <col min="12289" max="12289" width="0" style="31" hidden="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296" width="9.140625" style="31" customWidth="1"/>
    <col min="12297" max="12544" width="0" style="31" hidden="1"/>
    <col min="12545" max="12545" width="0" style="31" hidden="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552" width="9.140625" style="31" customWidth="1"/>
    <col min="12553" max="12800" width="0" style="31" hidden="1"/>
    <col min="12801" max="12801" width="0" style="31" hidden="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2808" width="9.140625" style="31" customWidth="1"/>
    <col min="12809" max="13056" width="0" style="31" hidden="1"/>
    <col min="13057" max="13057" width="0" style="31" hidden="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064" width="9.140625" style="31" customWidth="1"/>
    <col min="13065" max="13312" width="0" style="31" hidden="1"/>
    <col min="13313" max="13313" width="0" style="31" hidden="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320" width="9.140625" style="31" customWidth="1"/>
    <col min="13321" max="13568" width="0" style="31" hidden="1"/>
    <col min="13569" max="13569" width="0" style="31" hidden="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576" width="9.140625" style="31" customWidth="1"/>
    <col min="13577" max="13824" width="0" style="31" hidden="1"/>
    <col min="13825" max="13825" width="0" style="31" hidden="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3832" width="9.140625" style="31" customWidth="1"/>
    <col min="13833" max="14080" width="0" style="31" hidden="1"/>
    <col min="14081" max="14081" width="0" style="31" hidden="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088" width="9.140625" style="31" customWidth="1"/>
    <col min="14089" max="14336" width="0" style="31" hidden="1"/>
    <col min="14337" max="14337" width="0" style="31" hidden="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344" width="9.140625" style="31" customWidth="1"/>
    <col min="14345" max="14592" width="0" style="31" hidden="1"/>
    <col min="14593" max="14593" width="0" style="31" hidden="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600" width="9.140625" style="31" customWidth="1"/>
    <col min="14601" max="14848" width="0" style="31" hidden="1"/>
    <col min="14849" max="14849" width="0" style="31" hidden="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4856" width="9.140625" style="31" customWidth="1"/>
    <col min="14857" max="15104" width="0" style="31" hidden="1"/>
    <col min="15105" max="15105" width="0" style="31" hidden="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112" width="9.140625" style="31" customWidth="1"/>
    <col min="15113" max="15360" width="0" style="31" hidden="1"/>
    <col min="15361" max="15361" width="0" style="31" hidden="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368" width="9.140625" style="31" customWidth="1"/>
    <col min="15369" max="15616" width="0" style="31" hidden="1"/>
    <col min="15617" max="15617" width="0" style="31" hidden="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624" width="9.140625" style="31" customWidth="1"/>
    <col min="15625" max="15872" width="0" style="31" hidden="1"/>
    <col min="15873" max="15873" width="0" style="31" hidden="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5880" width="9.140625" style="31" customWidth="1"/>
    <col min="15881" max="16128" width="0" style="31" hidden="1"/>
    <col min="16129" max="16129" width="0" style="31" hidden="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136" width="9.140625" style="31" customWidth="1"/>
    <col min="16137" max="16384" width="0" style="31" hidden="1"/>
  </cols>
  <sheetData>
    <row r="1" spans="1:18" ht="33.75" customHeight="1">
      <c r="B1" s="66" t="s">
        <v>93</v>
      </c>
      <c r="C1" s="67"/>
      <c r="D1" s="67"/>
      <c r="E1" s="67"/>
      <c r="F1" s="67"/>
      <c r="G1" s="67"/>
    </row>
    <row r="2" spans="1:18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  <c r="I2" s="68"/>
      <c r="J2" s="68"/>
      <c r="K2" s="68"/>
      <c r="L2" s="68"/>
      <c r="M2" s="69"/>
    </row>
    <row r="3" spans="1:18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  <c r="I3" s="32"/>
      <c r="J3" s="32"/>
      <c r="K3" s="32"/>
      <c r="L3" s="32"/>
      <c r="M3" s="70"/>
    </row>
    <row r="4" spans="1:18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18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18" ht="26.25" customHeight="1">
      <c r="B6" s="39" t="s">
        <v>83</v>
      </c>
      <c r="C6" s="59">
        <v>816</v>
      </c>
      <c r="D6" s="59">
        <v>1378</v>
      </c>
      <c r="E6" s="59">
        <v>57</v>
      </c>
      <c r="F6" s="59">
        <v>862</v>
      </c>
      <c r="G6" s="59">
        <v>122</v>
      </c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34" customFormat="1" ht="26.25" customHeight="1">
      <c r="A7" s="27"/>
      <c r="B7" s="34" t="s">
        <v>56</v>
      </c>
      <c r="C7" s="60">
        <v>559</v>
      </c>
      <c r="D7" s="60">
        <v>880</v>
      </c>
      <c r="E7" s="60">
        <v>49</v>
      </c>
      <c r="F7" s="60">
        <v>719</v>
      </c>
      <c r="G7" s="60">
        <v>72</v>
      </c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>
      <c r="A8" s="28">
        <v>51</v>
      </c>
      <c r="B8" s="31" t="s">
        <v>9</v>
      </c>
      <c r="C8" s="36">
        <v>29</v>
      </c>
      <c r="D8" s="36">
        <v>44</v>
      </c>
      <c r="E8" s="36">
        <v>3</v>
      </c>
      <c r="F8" s="36">
        <v>18</v>
      </c>
      <c r="G8" s="36">
        <v>3</v>
      </c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>
      <c r="A9" s="28">
        <v>52</v>
      </c>
      <c r="B9" s="31" t="s">
        <v>10</v>
      </c>
      <c r="C9" s="36">
        <v>17</v>
      </c>
      <c r="D9" s="36">
        <v>23</v>
      </c>
      <c r="E9" s="36">
        <v>0</v>
      </c>
      <c r="F9" s="36">
        <v>6</v>
      </c>
      <c r="G9" s="36">
        <v>0</v>
      </c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>
      <c r="A10" s="28">
        <v>86</v>
      </c>
      <c r="B10" s="31" t="s">
        <v>11</v>
      </c>
      <c r="C10" s="36">
        <v>4</v>
      </c>
      <c r="D10" s="36">
        <v>21</v>
      </c>
      <c r="E10" s="36">
        <v>0</v>
      </c>
      <c r="F10" s="36">
        <v>5</v>
      </c>
      <c r="G10" s="36">
        <v>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>
      <c r="A11" s="28">
        <v>53</v>
      </c>
      <c r="B11" s="31" t="s">
        <v>12</v>
      </c>
      <c r="C11" s="36">
        <v>12</v>
      </c>
      <c r="D11" s="36">
        <v>13</v>
      </c>
      <c r="E11" s="36">
        <v>0</v>
      </c>
      <c r="F11" s="36">
        <v>12</v>
      </c>
      <c r="G11" s="36"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>
      <c r="A12" s="28">
        <v>54</v>
      </c>
      <c r="B12" s="31" t="s">
        <v>13</v>
      </c>
      <c r="C12" s="36">
        <v>4</v>
      </c>
      <c r="D12" s="36">
        <v>12</v>
      </c>
      <c r="E12" s="36">
        <v>2</v>
      </c>
      <c r="F12" s="36">
        <v>29</v>
      </c>
      <c r="G12" s="36"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>
      <c r="A13" s="28">
        <v>55</v>
      </c>
      <c r="B13" s="31" t="s">
        <v>14</v>
      </c>
      <c r="C13" s="36">
        <v>5</v>
      </c>
      <c r="D13" s="36">
        <v>24</v>
      </c>
      <c r="E13" s="36">
        <v>0</v>
      </c>
      <c r="F13" s="36">
        <v>15</v>
      </c>
      <c r="G13" s="36">
        <v>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>
      <c r="A14" s="28">
        <v>56</v>
      </c>
      <c r="B14" s="31" t="s">
        <v>15</v>
      </c>
      <c r="C14" s="36">
        <v>9</v>
      </c>
      <c r="D14" s="36">
        <v>18</v>
      </c>
      <c r="E14" s="36">
        <v>1</v>
      </c>
      <c r="F14" s="36">
        <v>14</v>
      </c>
      <c r="G14" s="36"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>
      <c r="A15" s="28">
        <v>57</v>
      </c>
      <c r="B15" s="31" t="s">
        <v>16</v>
      </c>
      <c r="C15" s="36">
        <v>5</v>
      </c>
      <c r="D15" s="36">
        <v>19</v>
      </c>
      <c r="E15" s="36">
        <v>0</v>
      </c>
      <c r="F15" s="36">
        <v>4</v>
      </c>
      <c r="G15" s="36">
        <v>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>
      <c r="A16" s="28">
        <v>59</v>
      </c>
      <c r="B16" s="31" t="s">
        <v>17</v>
      </c>
      <c r="C16" s="36">
        <v>6</v>
      </c>
      <c r="D16" s="36">
        <v>9</v>
      </c>
      <c r="E16" s="36">
        <v>4</v>
      </c>
      <c r="F16" s="36">
        <v>12</v>
      </c>
      <c r="G16" s="36">
        <v>2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>
      <c r="A17" s="28">
        <v>60</v>
      </c>
      <c r="B17" s="31" t="s">
        <v>18</v>
      </c>
      <c r="C17" s="36">
        <v>10</v>
      </c>
      <c r="D17" s="36">
        <v>29</v>
      </c>
      <c r="E17" s="36">
        <v>2</v>
      </c>
      <c r="F17" s="36">
        <v>39</v>
      </c>
      <c r="G17" s="36"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>
      <c r="A18" s="28">
        <v>61</v>
      </c>
      <c r="B18" s="49" t="s">
        <v>57</v>
      </c>
      <c r="C18" s="36">
        <v>53</v>
      </c>
      <c r="D18" s="36">
        <v>62</v>
      </c>
      <c r="E18" s="36">
        <v>4</v>
      </c>
      <c r="F18" s="36">
        <v>103</v>
      </c>
      <c r="G18" s="36">
        <v>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>
      <c r="A19" s="28">
        <v>62</v>
      </c>
      <c r="B19" s="31" t="s">
        <v>20</v>
      </c>
      <c r="C19" s="36">
        <v>24</v>
      </c>
      <c r="D19" s="36">
        <v>81</v>
      </c>
      <c r="E19" s="36">
        <v>1</v>
      </c>
      <c r="F19" s="36">
        <v>4</v>
      </c>
      <c r="G19" s="36">
        <v>0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>
      <c r="A20" s="28">
        <v>58</v>
      </c>
      <c r="B20" s="31" t="s">
        <v>21</v>
      </c>
      <c r="C20" s="36">
        <v>3</v>
      </c>
      <c r="D20" s="36">
        <v>8</v>
      </c>
      <c r="E20" s="36">
        <v>3</v>
      </c>
      <c r="F20" s="36">
        <v>5</v>
      </c>
      <c r="G20" s="36">
        <v>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>
      <c r="A21" s="28">
        <v>63</v>
      </c>
      <c r="B21" s="31" t="s">
        <v>22</v>
      </c>
      <c r="C21" s="36">
        <v>21</v>
      </c>
      <c r="D21" s="36">
        <v>38</v>
      </c>
      <c r="E21" s="36">
        <v>0</v>
      </c>
      <c r="F21" s="36">
        <v>20</v>
      </c>
      <c r="G21" s="36">
        <v>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>
      <c r="A22" s="28">
        <v>64</v>
      </c>
      <c r="B22" s="31" t="s">
        <v>23</v>
      </c>
      <c r="C22" s="36">
        <v>37</v>
      </c>
      <c r="D22" s="36">
        <v>54</v>
      </c>
      <c r="E22" s="36">
        <v>3</v>
      </c>
      <c r="F22" s="36">
        <v>67</v>
      </c>
      <c r="G22" s="36">
        <v>2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>
      <c r="A23" s="28">
        <v>65</v>
      </c>
      <c r="B23" s="31" t="s">
        <v>24</v>
      </c>
      <c r="C23" s="36">
        <v>16</v>
      </c>
      <c r="D23" s="36">
        <v>15</v>
      </c>
      <c r="E23" s="36">
        <v>1</v>
      </c>
      <c r="F23" s="36">
        <v>6</v>
      </c>
      <c r="G23" s="36">
        <v>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>
      <c r="A24" s="28">
        <v>67</v>
      </c>
      <c r="B24" s="31" t="s">
        <v>27</v>
      </c>
      <c r="C24" s="36">
        <v>20</v>
      </c>
      <c r="D24" s="36">
        <v>31</v>
      </c>
      <c r="E24" s="36">
        <v>1</v>
      </c>
      <c r="F24" s="36">
        <v>16</v>
      </c>
      <c r="G24" s="36">
        <v>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>
      <c r="A25" s="28">
        <v>68</v>
      </c>
      <c r="B25" s="31" t="s">
        <v>58</v>
      </c>
      <c r="C25" s="36">
        <v>28</v>
      </c>
      <c r="D25" s="36">
        <v>18</v>
      </c>
      <c r="E25" s="36">
        <v>0</v>
      </c>
      <c r="F25" s="36">
        <v>27</v>
      </c>
      <c r="G25" s="36">
        <v>4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>
      <c r="A26" s="28">
        <v>69</v>
      </c>
      <c r="B26" s="31" t="s">
        <v>29</v>
      </c>
      <c r="C26" s="36">
        <v>16</v>
      </c>
      <c r="D26" s="36">
        <v>18</v>
      </c>
      <c r="E26" s="36">
        <v>2</v>
      </c>
      <c r="F26" s="36">
        <v>28</v>
      </c>
      <c r="G26" s="36"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>
      <c r="A27" s="28">
        <v>70</v>
      </c>
      <c r="B27" s="31" t="s">
        <v>30</v>
      </c>
      <c r="C27" s="36">
        <v>6</v>
      </c>
      <c r="D27" s="36">
        <v>5</v>
      </c>
      <c r="E27" s="36">
        <v>1</v>
      </c>
      <c r="F27" s="36">
        <v>20</v>
      </c>
      <c r="G27" s="36">
        <v>1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>
      <c r="A28" s="28">
        <v>71</v>
      </c>
      <c r="B28" s="31" t="s">
        <v>59</v>
      </c>
      <c r="C28" s="36">
        <v>10</v>
      </c>
      <c r="D28" s="36">
        <v>12</v>
      </c>
      <c r="E28" s="36">
        <v>0</v>
      </c>
      <c r="F28" s="36">
        <v>6</v>
      </c>
      <c r="G28" s="36"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>
      <c r="A29" s="28">
        <v>73</v>
      </c>
      <c r="B29" s="31" t="s">
        <v>33</v>
      </c>
      <c r="C29" s="36">
        <v>30</v>
      </c>
      <c r="D29" s="36">
        <v>28</v>
      </c>
      <c r="E29" s="36">
        <v>3</v>
      </c>
      <c r="F29" s="36">
        <v>32</v>
      </c>
      <c r="G29" s="36">
        <v>2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>
      <c r="A30" s="28">
        <v>74</v>
      </c>
      <c r="B30" s="31" t="s">
        <v>34</v>
      </c>
      <c r="C30" s="36">
        <v>8</v>
      </c>
      <c r="D30" s="36">
        <v>16</v>
      </c>
      <c r="E30" s="36">
        <v>0</v>
      </c>
      <c r="F30" s="36">
        <v>22</v>
      </c>
      <c r="G30" s="36">
        <v>3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>
      <c r="A31" s="28">
        <v>75</v>
      </c>
      <c r="B31" s="31" t="s">
        <v>35</v>
      </c>
      <c r="C31" s="36">
        <v>11</v>
      </c>
      <c r="D31" s="36">
        <v>16</v>
      </c>
      <c r="E31" s="36">
        <v>0</v>
      </c>
      <c r="F31" s="36">
        <v>13</v>
      </c>
      <c r="G31" s="36">
        <v>7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>
      <c r="A32" s="28">
        <v>76</v>
      </c>
      <c r="B32" s="31" t="s">
        <v>36</v>
      </c>
      <c r="C32" s="36">
        <v>7</v>
      </c>
      <c r="D32" s="36">
        <v>14</v>
      </c>
      <c r="E32" s="36">
        <v>1</v>
      </c>
      <c r="F32" s="36">
        <v>20</v>
      </c>
      <c r="G32" s="36">
        <v>1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>
      <c r="A33" s="28">
        <v>79</v>
      </c>
      <c r="B33" s="31" t="s">
        <v>38</v>
      </c>
      <c r="C33" s="36">
        <v>26</v>
      </c>
      <c r="D33" s="36">
        <v>8</v>
      </c>
      <c r="E33" s="36">
        <v>6</v>
      </c>
      <c r="F33" s="36">
        <v>10</v>
      </c>
      <c r="G33" s="36">
        <v>10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>
      <c r="A34" s="28">
        <v>80</v>
      </c>
      <c r="B34" s="31" t="s">
        <v>39</v>
      </c>
      <c r="C34" s="36">
        <v>12</v>
      </c>
      <c r="D34" s="36">
        <v>44</v>
      </c>
      <c r="E34" s="36">
        <v>3</v>
      </c>
      <c r="F34" s="36">
        <v>12</v>
      </c>
      <c r="G34" s="36"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>
      <c r="A35" s="28">
        <v>81</v>
      </c>
      <c r="B35" s="31" t="s">
        <v>40</v>
      </c>
      <c r="C35" s="36">
        <v>8</v>
      </c>
      <c r="D35" s="36">
        <v>21</v>
      </c>
      <c r="E35" s="36">
        <v>1</v>
      </c>
      <c r="F35" s="36">
        <v>22</v>
      </c>
      <c r="G35" s="36">
        <v>2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>
      <c r="A36" s="28">
        <v>83</v>
      </c>
      <c r="B36" s="31" t="s">
        <v>41</v>
      </c>
      <c r="C36" s="36">
        <v>6</v>
      </c>
      <c r="D36" s="36">
        <v>12</v>
      </c>
      <c r="E36" s="36">
        <v>0</v>
      </c>
      <c r="F36" s="36">
        <v>11</v>
      </c>
      <c r="G36" s="36">
        <v>0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>
      <c r="A37" s="28">
        <v>84</v>
      </c>
      <c r="B37" s="31" t="s">
        <v>42</v>
      </c>
      <c r="C37" s="36">
        <v>20</v>
      </c>
      <c r="D37" s="36">
        <v>22</v>
      </c>
      <c r="E37" s="36">
        <v>0</v>
      </c>
      <c r="F37" s="36">
        <v>16</v>
      </c>
      <c r="G37" s="36">
        <v>0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>
      <c r="A38" s="28">
        <v>85</v>
      </c>
      <c r="B38" s="31" t="s">
        <v>43</v>
      </c>
      <c r="C38" s="36">
        <v>14</v>
      </c>
      <c r="D38" s="36">
        <v>23</v>
      </c>
      <c r="E38" s="36">
        <v>2</v>
      </c>
      <c r="F38" s="36">
        <v>24</v>
      </c>
      <c r="G38" s="36">
        <v>4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>
      <c r="A39" s="28">
        <v>87</v>
      </c>
      <c r="B39" s="31" t="s">
        <v>44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>
      <c r="A40" s="28">
        <v>90</v>
      </c>
      <c r="B40" s="31" t="s">
        <v>46</v>
      </c>
      <c r="C40" s="36">
        <v>19</v>
      </c>
      <c r="D40" s="36">
        <v>16</v>
      </c>
      <c r="E40" s="36">
        <v>2</v>
      </c>
      <c r="F40" s="36">
        <v>21</v>
      </c>
      <c r="G40" s="36">
        <v>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>
      <c r="A41" s="28">
        <v>91</v>
      </c>
      <c r="B41" s="31" t="s">
        <v>47</v>
      </c>
      <c r="C41" s="36">
        <v>11</v>
      </c>
      <c r="D41" s="36">
        <v>7</v>
      </c>
      <c r="E41" s="36">
        <v>0</v>
      </c>
      <c r="F41" s="36">
        <v>11</v>
      </c>
      <c r="G41" s="36">
        <v>0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>
      <c r="A42" s="28">
        <v>92</v>
      </c>
      <c r="B42" s="31" t="s">
        <v>48</v>
      </c>
      <c r="C42" s="36">
        <v>23</v>
      </c>
      <c r="D42" s="36">
        <v>28</v>
      </c>
      <c r="E42" s="36">
        <v>0</v>
      </c>
      <c r="F42" s="36">
        <v>13</v>
      </c>
      <c r="G42" s="36">
        <v>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>
      <c r="A43" s="28">
        <v>94</v>
      </c>
      <c r="B43" s="31" t="s">
        <v>50</v>
      </c>
      <c r="C43" s="36">
        <v>15</v>
      </c>
      <c r="D43" s="36">
        <v>9</v>
      </c>
      <c r="E43" s="36">
        <v>1</v>
      </c>
      <c r="F43" s="36">
        <v>4</v>
      </c>
      <c r="G43" s="36">
        <v>1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>
      <c r="A44" s="28">
        <v>96</v>
      </c>
      <c r="B44" s="31" t="s">
        <v>52</v>
      </c>
      <c r="C44" s="36">
        <v>6</v>
      </c>
      <c r="D44" s="36">
        <v>41</v>
      </c>
      <c r="E44" s="36">
        <v>2</v>
      </c>
      <c r="F44" s="36">
        <v>24</v>
      </c>
      <c r="G44" s="36">
        <v>0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>
      <c r="A45" s="28">
        <v>98</v>
      </c>
      <c r="B45" s="31" t="s">
        <v>54</v>
      </c>
      <c r="C45" s="36">
        <v>8</v>
      </c>
      <c r="D45" s="36">
        <v>21</v>
      </c>
      <c r="E45" s="36">
        <v>0</v>
      </c>
      <c r="F45" s="36">
        <v>7</v>
      </c>
      <c r="G45" s="36">
        <v>17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18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8" s="34" customFormat="1" ht="26.25" customHeight="1">
      <c r="B47" s="34" t="s">
        <v>60</v>
      </c>
      <c r="C47" s="61">
        <v>257</v>
      </c>
      <c r="D47" s="61">
        <v>498</v>
      </c>
      <c r="E47" s="61">
        <v>8</v>
      </c>
      <c r="F47" s="61">
        <v>143</v>
      </c>
      <c r="G47" s="61">
        <v>50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>
      <c r="A48" s="28">
        <v>66</v>
      </c>
      <c r="B48" s="31" t="s">
        <v>26</v>
      </c>
      <c r="C48" s="36">
        <v>17</v>
      </c>
      <c r="D48" s="36">
        <v>52</v>
      </c>
      <c r="E48" s="36">
        <v>0</v>
      </c>
      <c r="F48" s="36">
        <v>7</v>
      </c>
      <c r="G48" s="36">
        <v>0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1:18">
      <c r="A49" s="28">
        <v>78</v>
      </c>
      <c r="B49" s="31" t="s">
        <v>37</v>
      </c>
      <c r="C49" s="36">
        <v>16</v>
      </c>
      <c r="D49" s="36">
        <v>53</v>
      </c>
      <c r="E49" s="36">
        <v>1</v>
      </c>
      <c r="F49" s="36">
        <v>36</v>
      </c>
      <c r="G49" s="36">
        <v>7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1:18">
      <c r="A50" s="28">
        <v>89</v>
      </c>
      <c r="B50" s="31" t="s">
        <v>45</v>
      </c>
      <c r="C50" s="36">
        <v>12</v>
      </c>
      <c r="D50" s="36">
        <v>21</v>
      </c>
      <c r="E50" s="36">
        <v>0</v>
      </c>
      <c r="F50" s="36">
        <v>18</v>
      </c>
      <c r="G50" s="36">
        <v>0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>
      <c r="A51" s="28">
        <v>93</v>
      </c>
      <c r="B51" s="31" t="s">
        <v>61</v>
      </c>
      <c r="C51" s="36">
        <v>0</v>
      </c>
      <c r="D51" s="36">
        <v>6</v>
      </c>
      <c r="E51" s="36">
        <v>1</v>
      </c>
      <c r="F51" s="36">
        <v>2</v>
      </c>
      <c r="G51" s="36">
        <v>0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18">
      <c r="A52" s="28">
        <v>95</v>
      </c>
      <c r="B52" s="31" t="s">
        <v>51</v>
      </c>
      <c r="C52" s="36">
        <v>32</v>
      </c>
      <c r="D52" s="36">
        <v>43</v>
      </c>
      <c r="E52" s="36">
        <v>0</v>
      </c>
      <c r="F52" s="36">
        <v>20</v>
      </c>
      <c r="G52" s="36">
        <v>2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1:18">
      <c r="A53" s="28">
        <v>97</v>
      </c>
      <c r="B53" s="31" t="s">
        <v>53</v>
      </c>
      <c r="C53" s="36">
        <v>31</v>
      </c>
      <c r="D53" s="36">
        <v>53</v>
      </c>
      <c r="E53" s="36">
        <v>3</v>
      </c>
      <c r="F53" s="36">
        <v>32</v>
      </c>
      <c r="G53" s="36">
        <v>0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>
      <c r="A54" s="38">
        <v>77</v>
      </c>
      <c r="B54" s="53" t="s">
        <v>25</v>
      </c>
      <c r="C54" s="51">
        <v>149</v>
      </c>
      <c r="D54" s="51">
        <v>270</v>
      </c>
      <c r="E54" s="51">
        <v>3</v>
      </c>
      <c r="F54" s="51">
        <v>28</v>
      </c>
      <c r="G54" s="51">
        <v>41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>
      <c r="B55" s="39"/>
    </row>
    <row r="56" spans="1:18">
      <c r="B56" s="31" t="s">
        <v>84</v>
      </c>
    </row>
    <row r="57" spans="1:18" ht="12" customHeight="1">
      <c r="B57" s="71"/>
      <c r="C57" s="71"/>
      <c r="D57" s="71"/>
      <c r="E57" s="62"/>
      <c r="F57" s="62"/>
      <c r="G57" s="62"/>
    </row>
    <row r="58" spans="1:18">
      <c r="B58" s="41" t="s">
        <v>70</v>
      </c>
    </row>
    <row r="59" spans="1:18" ht="15">
      <c r="C59" s="65"/>
      <c r="D59" s="50"/>
      <c r="E59" s="50"/>
    </row>
    <row r="60" spans="1:18" ht="15">
      <c r="C60" s="65"/>
      <c r="D60" s="50"/>
      <c r="E60" s="50"/>
    </row>
  </sheetData>
  <sheetProtection password="EDBA" sheet="1" objects="1" scenarios="1"/>
  <mergeCells count="8">
    <mergeCell ref="M2:M3"/>
    <mergeCell ref="B57:D57"/>
    <mergeCell ref="B1:G1"/>
    <mergeCell ref="C2:D2"/>
    <mergeCell ref="E2:F2"/>
    <mergeCell ref="G2:G3"/>
    <mergeCell ref="I2:J2"/>
    <mergeCell ref="K2:L2"/>
  </mergeCells>
  <conditionalFormatting sqref="I6:R54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ageMargins left="0.75" right="0.75" top="1" bottom="1" header="0.5" footer="0.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8"/>
  <sheetViews>
    <sheetView showGridLines="0" topLeftCell="B1" zoomScale="85" workbookViewId="0">
      <pane xSplit="1" ySplit="3" topLeftCell="C22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256" width="9.140625" style="31"/>
    <col min="257" max="257" width="0" style="31" hidden="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512" width="9.140625" style="31"/>
    <col min="513" max="513" width="0" style="31" hidden="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768" width="9.140625" style="31"/>
    <col min="769" max="769" width="0" style="31" hidden="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1024" width="9.140625" style="31"/>
    <col min="1025" max="1025" width="0" style="31" hidden="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280" width="9.140625" style="31"/>
    <col min="1281" max="1281" width="0" style="31" hidden="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536" width="9.140625" style="31"/>
    <col min="1537" max="1537" width="0" style="31" hidden="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792" width="9.140625" style="31"/>
    <col min="1793" max="1793" width="0" style="31" hidden="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2048" width="9.140625" style="31"/>
    <col min="2049" max="2049" width="0" style="31" hidden="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304" width="9.140625" style="31"/>
    <col min="2305" max="2305" width="0" style="31" hidden="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560" width="9.140625" style="31"/>
    <col min="2561" max="2561" width="0" style="31" hidden="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816" width="9.140625" style="31"/>
    <col min="2817" max="2817" width="0" style="31" hidden="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3072" width="9.140625" style="31"/>
    <col min="3073" max="3073" width="0" style="31" hidden="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328" width="9.140625" style="31"/>
    <col min="3329" max="3329" width="0" style="31" hidden="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584" width="9.140625" style="31"/>
    <col min="3585" max="3585" width="0" style="31" hidden="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840" width="9.140625" style="31"/>
    <col min="3841" max="3841" width="0" style="31" hidden="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4096" width="9.140625" style="31"/>
    <col min="4097" max="4097" width="0" style="31" hidden="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352" width="9.140625" style="31"/>
    <col min="4353" max="4353" width="0" style="31" hidden="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608" width="9.140625" style="31"/>
    <col min="4609" max="4609" width="0" style="31" hidden="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864" width="9.140625" style="31"/>
    <col min="4865" max="4865" width="0" style="31" hidden="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5120" width="9.140625" style="31"/>
    <col min="5121" max="5121" width="0" style="31" hidden="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376" width="9.140625" style="31"/>
    <col min="5377" max="5377" width="0" style="31" hidden="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632" width="9.140625" style="31"/>
    <col min="5633" max="5633" width="0" style="31" hidden="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888" width="9.140625" style="31"/>
    <col min="5889" max="5889" width="0" style="31" hidden="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6144" width="9.140625" style="31"/>
    <col min="6145" max="6145" width="0" style="31" hidden="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400" width="9.140625" style="31"/>
    <col min="6401" max="6401" width="0" style="31" hidden="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656" width="9.140625" style="31"/>
    <col min="6657" max="6657" width="0" style="31" hidden="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912" width="9.140625" style="31"/>
    <col min="6913" max="6913" width="0" style="31" hidden="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7168" width="9.140625" style="31"/>
    <col min="7169" max="7169" width="0" style="31" hidden="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424" width="9.140625" style="31"/>
    <col min="7425" max="7425" width="0" style="31" hidden="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680" width="9.140625" style="31"/>
    <col min="7681" max="7681" width="0" style="31" hidden="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936" width="9.140625" style="31"/>
    <col min="7937" max="7937" width="0" style="31" hidden="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8192" width="9.140625" style="31"/>
    <col min="8193" max="8193" width="0" style="31" hidden="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448" width="9.140625" style="31"/>
    <col min="8449" max="8449" width="0" style="31" hidden="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704" width="9.140625" style="31"/>
    <col min="8705" max="8705" width="0" style="31" hidden="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960" width="9.140625" style="31"/>
    <col min="8961" max="8961" width="0" style="31" hidden="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9216" width="9.140625" style="31"/>
    <col min="9217" max="9217" width="0" style="31" hidden="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472" width="9.140625" style="31"/>
    <col min="9473" max="9473" width="0" style="31" hidden="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728" width="9.140625" style="31"/>
    <col min="9729" max="9729" width="0" style="31" hidden="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984" width="9.140625" style="31"/>
    <col min="9985" max="9985" width="0" style="31" hidden="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10240" width="9.140625" style="31"/>
    <col min="10241" max="10241" width="0" style="31" hidden="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496" width="9.140625" style="31"/>
    <col min="10497" max="10497" width="0" style="31" hidden="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752" width="9.140625" style="31"/>
    <col min="10753" max="10753" width="0" style="31" hidden="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1008" width="9.140625" style="31"/>
    <col min="11009" max="11009" width="0" style="31" hidden="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264" width="9.140625" style="31"/>
    <col min="11265" max="11265" width="0" style="31" hidden="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520" width="9.140625" style="31"/>
    <col min="11521" max="11521" width="0" style="31" hidden="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776" width="9.140625" style="31"/>
    <col min="11777" max="11777" width="0" style="31" hidden="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2032" width="9.140625" style="31"/>
    <col min="12033" max="12033" width="0" style="31" hidden="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288" width="9.140625" style="31"/>
    <col min="12289" max="12289" width="0" style="31" hidden="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544" width="9.140625" style="31"/>
    <col min="12545" max="12545" width="0" style="31" hidden="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800" width="9.140625" style="31"/>
    <col min="12801" max="12801" width="0" style="31" hidden="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3056" width="9.140625" style="31"/>
    <col min="13057" max="13057" width="0" style="31" hidden="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312" width="9.140625" style="31"/>
    <col min="13313" max="13313" width="0" style="31" hidden="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568" width="9.140625" style="31"/>
    <col min="13569" max="13569" width="0" style="31" hidden="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824" width="9.140625" style="31"/>
    <col min="13825" max="13825" width="0" style="31" hidden="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4080" width="9.140625" style="31"/>
    <col min="14081" max="14081" width="0" style="31" hidden="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336" width="9.140625" style="31"/>
    <col min="14337" max="14337" width="0" style="31" hidden="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592" width="9.140625" style="31"/>
    <col min="14593" max="14593" width="0" style="31" hidden="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848" width="9.140625" style="31"/>
    <col min="14849" max="14849" width="0" style="31" hidden="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5104" width="9.140625" style="31"/>
    <col min="15105" max="15105" width="0" style="31" hidden="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360" width="9.140625" style="31"/>
    <col min="15361" max="15361" width="0" style="31" hidden="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616" width="9.140625" style="31"/>
    <col min="15617" max="15617" width="0" style="31" hidden="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872" width="9.140625" style="31"/>
    <col min="15873" max="15873" width="0" style="31" hidden="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6128" width="9.140625" style="31"/>
    <col min="16129" max="16129" width="0" style="31" hidden="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384" width="9.140625" style="31"/>
  </cols>
  <sheetData>
    <row r="1" spans="1:15" ht="33.75" customHeight="1">
      <c r="B1" s="72" t="s">
        <v>92</v>
      </c>
      <c r="C1" s="73"/>
      <c r="D1" s="73"/>
      <c r="E1" s="73"/>
      <c r="F1" s="73"/>
      <c r="G1" s="74"/>
    </row>
    <row r="2" spans="1:15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</row>
    <row r="3" spans="1:15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</row>
    <row r="4" spans="1:15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15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15" ht="26.25" customHeight="1">
      <c r="B6" s="39" t="s">
        <v>83</v>
      </c>
      <c r="C6" s="59">
        <v>939</v>
      </c>
      <c r="D6" s="59">
        <v>1319</v>
      </c>
      <c r="E6" s="59">
        <v>56</v>
      </c>
      <c r="F6" s="59">
        <v>801</v>
      </c>
      <c r="G6" s="59">
        <v>145</v>
      </c>
      <c r="I6" s="35"/>
      <c r="J6" s="35"/>
      <c r="K6" s="35"/>
      <c r="L6" s="35"/>
      <c r="M6" s="35"/>
      <c r="N6" s="35"/>
      <c r="O6" s="35"/>
    </row>
    <row r="7" spans="1:15" s="34" customFormat="1" ht="26.25" customHeight="1">
      <c r="A7" s="27"/>
      <c r="B7" s="34" t="s">
        <v>56</v>
      </c>
      <c r="C7" s="60">
        <v>653</v>
      </c>
      <c r="D7" s="60">
        <v>824</v>
      </c>
      <c r="E7" s="60">
        <v>43</v>
      </c>
      <c r="F7" s="60">
        <v>646</v>
      </c>
      <c r="G7" s="60">
        <v>77</v>
      </c>
      <c r="I7" s="35"/>
      <c r="J7" s="35"/>
      <c r="K7" s="35"/>
      <c r="L7" s="35"/>
      <c r="M7" s="35"/>
    </row>
    <row r="8" spans="1:15">
      <c r="A8" s="28">
        <v>51</v>
      </c>
      <c r="B8" s="31" t="s">
        <v>9</v>
      </c>
      <c r="C8" s="36">
        <v>33</v>
      </c>
      <c r="D8" s="36">
        <v>41</v>
      </c>
      <c r="E8" s="36">
        <v>0</v>
      </c>
      <c r="F8" s="36">
        <v>21</v>
      </c>
      <c r="G8" s="36">
        <v>5</v>
      </c>
      <c r="I8" s="35"/>
      <c r="J8" s="35"/>
      <c r="K8" s="35"/>
      <c r="L8" s="35"/>
      <c r="M8" s="35"/>
    </row>
    <row r="9" spans="1:15">
      <c r="A9" s="28">
        <v>52</v>
      </c>
      <c r="B9" s="31" t="s">
        <v>10</v>
      </c>
      <c r="C9" s="36">
        <v>14</v>
      </c>
      <c r="D9" s="36">
        <v>20</v>
      </c>
      <c r="E9" s="36">
        <v>0</v>
      </c>
      <c r="F9" s="36">
        <v>6</v>
      </c>
      <c r="G9" s="36">
        <v>0</v>
      </c>
      <c r="I9" s="35"/>
      <c r="J9" s="35"/>
      <c r="K9" s="35"/>
      <c r="L9" s="35"/>
      <c r="M9" s="35"/>
    </row>
    <row r="10" spans="1:15">
      <c r="A10" s="28">
        <v>86</v>
      </c>
      <c r="B10" s="31" t="s">
        <v>11</v>
      </c>
      <c r="C10" s="36">
        <v>11</v>
      </c>
      <c r="D10" s="36">
        <v>27</v>
      </c>
      <c r="E10" s="36">
        <v>0</v>
      </c>
      <c r="F10" s="36">
        <v>6</v>
      </c>
      <c r="G10" s="36">
        <v>2</v>
      </c>
      <c r="I10" s="35"/>
      <c r="J10" s="35"/>
      <c r="K10" s="35"/>
      <c r="L10" s="35"/>
      <c r="M10" s="35"/>
    </row>
    <row r="11" spans="1:15">
      <c r="A11" s="28">
        <v>53</v>
      </c>
      <c r="B11" s="31" t="s">
        <v>12</v>
      </c>
      <c r="C11" s="36">
        <v>19</v>
      </c>
      <c r="D11" s="36">
        <v>13</v>
      </c>
      <c r="E11" s="36">
        <v>3</v>
      </c>
      <c r="F11" s="36">
        <v>9</v>
      </c>
      <c r="G11" s="36">
        <v>2</v>
      </c>
      <c r="I11" s="35"/>
      <c r="J11" s="35"/>
      <c r="K11" s="35"/>
      <c r="L11" s="35"/>
      <c r="M11" s="35"/>
    </row>
    <row r="12" spans="1:15">
      <c r="A12" s="28">
        <v>54</v>
      </c>
      <c r="B12" s="31" t="s">
        <v>13</v>
      </c>
      <c r="C12" s="36">
        <v>0</v>
      </c>
      <c r="D12" s="36">
        <v>15</v>
      </c>
      <c r="E12" s="36">
        <v>1</v>
      </c>
      <c r="F12" s="36">
        <v>22</v>
      </c>
      <c r="G12" s="36">
        <v>0</v>
      </c>
      <c r="I12" s="35"/>
      <c r="J12" s="35"/>
      <c r="K12" s="35"/>
      <c r="L12" s="35"/>
      <c r="M12" s="35"/>
    </row>
    <row r="13" spans="1:15">
      <c r="A13" s="28">
        <v>55</v>
      </c>
      <c r="B13" s="31" t="s">
        <v>14</v>
      </c>
      <c r="C13" s="36">
        <v>8</v>
      </c>
      <c r="D13" s="36">
        <v>24</v>
      </c>
      <c r="E13" s="36">
        <v>0</v>
      </c>
      <c r="F13" s="36">
        <v>29</v>
      </c>
      <c r="G13" s="36">
        <v>2</v>
      </c>
      <c r="I13" s="35"/>
      <c r="J13" s="35"/>
      <c r="K13" s="35"/>
      <c r="L13" s="35"/>
      <c r="M13" s="35"/>
    </row>
    <row r="14" spans="1:15">
      <c r="A14" s="28">
        <v>56</v>
      </c>
      <c r="B14" s="31" t="s">
        <v>15</v>
      </c>
      <c r="C14" s="36">
        <v>8</v>
      </c>
      <c r="D14" s="36">
        <v>6</v>
      </c>
      <c r="E14" s="36">
        <v>0</v>
      </c>
      <c r="F14" s="36">
        <v>5</v>
      </c>
      <c r="G14" s="36">
        <v>0</v>
      </c>
      <c r="I14" s="35"/>
      <c r="J14" s="35"/>
      <c r="K14" s="35"/>
      <c r="L14" s="35"/>
      <c r="M14" s="35"/>
    </row>
    <row r="15" spans="1:15">
      <c r="A15" s="28">
        <v>57</v>
      </c>
      <c r="B15" s="31" t="s">
        <v>16</v>
      </c>
      <c r="C15" s="36">
        <v>2</v>
      </c>
      <c r="D15" s="36">
        <v>5</v>
      </c>
      <c r="E15" s="36">
        <v>0</v>
      </c>
      <c r="F15" s="36">
        <v>6</v>
      </c>
      <c r="G15" s="36">
        <v>1</v>
      </c>
      <c r="I15" s="35"/>
      <c r="J15" s="35"/>
      <c r="K15" s="35"/>
      <c r="L15" s="35"/>
      <c r="M15" s="35"/>
    </row>
    <row r="16" spans="1:15">
      <c r="A16" s="28">
        <v>59</v>
      </c>
      <c r="B16" s="31" t="s">
        <v>17</v>
      </c>
      <c r="C16" s="36">
        <v>11</v>
      </c>
      <c r="D16" s="36">
        <v>9</v>
      </c>
      <c r="E16" s="36">
        <v>2</v>
      </c>
      <c r="F16" s="36">
        <v>5</v>
      </c>
      <c r="G16" s="36">
        <v>2</v>
      </c>
      <c r="I16" s="35"/>
      <c r="J16" s="35"/>
      <c r="K16" s="35"/>
      <c r="L16" s="35"/>
      <c r="M16" s="35"/>
    </row>
    <row r="17" spans="1:13">
      <c r="A17" s="28">
        <v>60</v>
      </c>
      <c r="B17" s="31" t="s">
        <v>18</v>
      </c>
      <c r="C17" s="36">
        <v>15</v>
      </c>
      <c r="D17" s="36">
        <v>33</v>
      </c>
      <c r="E17" s="36">
        <v>0</v>
      </c>
      <c r="F17" s="36">
        <v>27</v>
      </c>
      <c r="G17" s="36">
        <v>3</v>
      </c>
      <c r="I17" s="35"/>
      <c r="J17" s="35"/>
      <c r="K17" s="35"/>
      <c r="L17" s="35"/>
      <c r="M17" s="35"/>
    </row>
    <row r="18" spans="1:13">
      <c r="A18" s="28">
        <v>61</v>
      </c>
      <c r="B18" s="49" t="s">
        <v>57</v>
      </c>
      <c r="C18" s="36">
        <v>63</v>
      </c>
      <c r="D18" s="36">
        <v>61</v>
      </c>
      <c r="E18" s="36">
        <v>4</v>
      </c>
      <c r="F18" s="36">
        <v>47</v>
      </c>
      <c r="G18" s="36">
        <v>8</v>
      </c>
      <c r="I18" s="35"/>
      <c r="J18" s="35"/>
      <c r="K18" s="35"/>
      <c r="L18" s="35"/>
      <c r="M18" s="35"/>
    </row>
    <row r="19" spans="1:13">
      <c r="A19" s="28">
        <v>62</v>
      </c>
      <c r="B19" s="31" t="s">
        <v>20</v>
      </c>
      <c r="C19" s="36">
        <v>21</v>
      </c>
      <c r="D19" s="36">
        <v>26</v>
      </c>
      <c r="E19" s="36">
        <v>1</v>
      </c>
      <c r="F19" s="36">
        <v>34</v>
      </c>
      <c r="G19" s="36">
        <v>10</v>
      </c>
      <c r="I19" s="35"/>
      <c r="J19" s="35"/>
      <c r="K19" s="35"/>
      <c r="L19" s="35"/>
      <c r="M19" s="35"/>
    </row>
    <row r="20" spans="1:13">
      <c r="A20" s="28">
        <v>58</v>
      </c>
      <c r="B20" s="31" t="s">
        <v>21</v>
      </c>
      <c r="C20" s="36">
        <v>2</v>
      </c>
      <c r="D20" s="36">
        <v>13</v>
      </c>
      <c r="E20" s="36">
        <v>1</v>
      </c>
      <c r="F20" s="36">
        <v>4</v>
      </c>
      <c r="G20" s="36">
        <v>1</v>
      </c>
      <c r="I20" s="35"/>
      <c r="J20" s="35"/>
      <c r="K20" s="35"/>
      <c r="L20" s="35"/>
      <c r="M20" s="35"/>
    </row>
    <row r="21" spans="1:13">
      <c r="A21" s="28">
        <v>63</v>
      </c>
      <c r="B21" s="31" t="s">
        <v>22</v>
      </c>
      <c r="C21" s="36">
        <v>15</v>
      </c>
      <c r="D21" s="36">
        <v>42</v>
      </c>
      <c r="E21" s="36">
        <v>2</v>
      </c>
      <c r="F21" s="36">
        <v>23</v>
      </c>
      <c r="G21" s="36">
        <v>1</v>
      </c>
      <c r="I21" s="35"/>
      <c r="J21" s="35"/>
      <c r="K21" s="35"/>
      <c r="L21" s="35"/>
      <c r="M21" s="35"/>
    </row>
    <row r="22" spans="1:13">
      <c r="A22" s="28">
        <v>64</v>
      </c>
      <c r="B22" s="31" t="s">
        <v>23</v>
      </c>
      <c r="C22" s="36">
        <v>46</v>
      </c>
      <c r="D22" s="36">
        <v>40</v>
      </c>
      <c r="E22" s="36">
        <v>4</v>
      </c>
      <c r="F22" s="36">
        <v>61</v>
      </c>
      <c r="G22" s="36">
        <v>3</v>
      </c>
      <c r="I22" s="35"/>
      <c r="J22" s="35"/>
      <c r="K22" s="35"/>
      <c r="L22" s="35"/>
      <c r="M22" s="35"/>
    </row>
    <row r="23" spans="1:13">
      <c r="A23" s="28">
        <v>65</v>
      </c>
      <c r="B23" s="31" t="s">
        <v>24</v>
      </c>
      <c r="C23" s="36">
        <v>13</v>
      </c>
      <c r="D23" s="36">
        <v>9</v>
      </c>
      <c r="E23" s="36">
        <v>0</v>
      </c>
      <c r="F23" s="36">
        <v>8</v>
      </c>
      <c r="G23" s="36">
        <v>0</v>
      </c>
      <c r="I23" s="35"/>
      <c r="J23" s="35"/>
      <c r="K23" s="35"/>
      <c r="L23" s="35"/>
      <c r="M23" s="35"/>
    </row>
    <row r="24" spans="1:13">
      <c r="A24" s="28">
        <v>67</v>
      </c>
      <c r="B24" s="31" t="s">
        <v>27</v>
      </c>
      <c r="C24" s="36">
        <v>16</v>
      </c>
      <c r="D24" s="36">
        <v>34</v>
      </c>
      <c r="E24" s="36">
        <v>4</v>
      </c>
      <c r="F24" s="36">
        <v>18</v>
      </c>
      <c r="G24" s="36">
        <v>3</v>
      </c>
      <c r="I24" s="35"/>
      <c r="J24" s="35"/>
      <c r="K24" s="35"/>
      <c r="L24" s="35"/>
      <c r="M24" s="35"/>
    </row>
    <row r="25" spans="1:13">
      <c r="A25" s="28">
        <v>68</v>
      </c>
      <c r="B25" s="31" t="s">
        <v>58</v>
      </c>
      <c r="C25" s="36">
        <v>30</v>
      </c>
      <c r="D25" s="36">
        <v>21</v>
      </c>
      <c r="E25" s="36">
        <v>0</v>
      </c>
      <c r="F25" s="36">
        <v>15</v>
      </c>
      <c r="G25" s="36">
        <v>2</v>
      </c>
      <c r="I25" s="35"/>
      <c r="J25" s="35"/>
      <c r="K25" s="35"/>
      <c r="L25" s="35"/>
      <c r="M25" s="35"/>
    </row>
    <row r="26" spans="1:13">
      <c r="A26" s="28">
        <v>69</v>
      </c>
      <c r="B26" s="31" t="s">
        <v>29</v>
      </c>
      <c r="C26" s="36">
        <v>16</v>
      </c>
      <c r="D26" s="36">
        <v>27</v>
      </c>
      <c r="E26" s="36">
        <v>2</v>
      </c>
      <c r="F26" s="36">
        <v>17</v>
      </c>
      <c r="G26" s="36">
        <v>0</v>
      </c>
      <c r="I26" s="35"/>
      <c r="J26" s="35"/>
      <c r="K26" s="35"/>
      <c r="L26" s="35"/>
      <c r="M26" s="35"/>
    </row>
    <row r="27" spans="1:13">
      <c r="A27" s="28">
        <v>70</v>
      </c>
      <c r="B27" s="31" t="s">
        <v>30</v>
      </c>
      <c r="C27" s="36">
        <v>11</v>
      </c>
      <c r="D27" s="36">
        <v>7</v>
      </c>
      <c r="E27" s="36">
        <v>0</v>
      </c>
      <c r="F27" s="36">
        <v>12</v>
      </c>
      <c r="G27" s="36">
        <v>0</v>
      </c>
      <c r="I27" s="35"/>
      <c r="J27" s="35"/>
      <c r="K27" s="35"/>
      <c r="L27" s="35"/>
      <c r="M27" s="35"/>
    </row>
    <row r="28" spans="1:13">
      <c r="A28" s="28">
        <v>71</v>
      </c>
      <c r="B28" s="31" t="s">
        <v>59</v>
      </c>
      <c r="C28" s="36">
        <v>1</v>
      </c>
      <c r="D28" s="36">
        <v>3</v>
      </c>
      <c r="E28" s="36">
        <v>0</v>
      </c>
      <c r="F28" s="36">
        <v>4</v>
      </c>
      <c r="G28" s="36">
        <v>0</v>
      </c>
      <c r="I28" s="35"/>
      <c r="J28" s="35"/>
      <c r="K28" s="35"/>
      <c r="L28" s="35"/>
      <c r="M28" s="35"/>
    </row>
    <row r="29" spans="1:13">
      <c r="A29" s="28">
        <v>73</v>
      </c>
      <c r="B29" s="31" t="s">
        <v>33</v>
      </c>
      <c r="C29" s="36">
        <v>18</v>
      </c>
      <c r="D29" s="36">
        <v>41</v>
      </c>
      <c r="E29" s="36">
        <v>5</v>
      </c>
      <c r="F29" s="36">
        <v>55</v>
      </c>
      <c r="G29" s="36">
        <v>1</v>
      </c>
      <c r="I29" s="35"/>
      <c r="J29" s="35"/>
      <c r="K29" s="35"/>
      <c r="L29" s="35"/>
      <c r="M29" s="35"/>
    </row>
    <row r="30" spans="1:13">
      <c r="A30" s="28">
        <v>74</v>
      </c>
      <c r="B30" s="31" t="s">
        <v>34</v>
      </c>
      <c r="C30" s="36">
        <v>11</v>
      </c>
      <c r="D30" s="36">
        <v>18</v>
      </c>
      <c r="E30" s="36">
        <v>0</v>
      </c>
      <c r="F30" s="36">
        <v>5</v>
      </c>
      <c r="G30" s="36">
        <v>8</v>
      </c>
      <c r="I30" s="35"/>
      <c r="J30" s="35"/>
      <c r="K30" s="35"/>
      <c r="L30" s="35"/>
      <c r="M30" s="35"/>
    </row>
    <row r="31" spans="1:13">
      <c r="A31" s="28">
        <v>75</v>
      </c>
      <c r="B31" s="31" t="s">
        <v>35</v>
      </c>
      <c r="C31" s="36">
        <v>10</v>
      </c>
      <c r="D31" s="36">
        <v>24</v>
      </c>
      <c r="E31" s="36">
        <v>0</v>
      </c>
      <c r="F31" s="36">
        <v>15</v>
      </c>
      <c r="G31" s="36">
        <v>2</v>
      </c>
      <c r="I31" s="35"/>
      <c r="J31" s="35"/>
      <c r="K31" s="35"/>
      <c r="L31" s="35"/>
      <c r="M31" s="35"/>
    </row>
    <row r="32" spans="1:13">
      <c r="A32" s="28">
        <v>76</v>
      </c>
      <c r="B32" s="31" t="s">
        <v>36</v>
      </c>
      <c r="C32" s="36">
        <v>8</v>
      </c>
      <c r="D32" s="36">
        <v>5</v>
      </c>
      <c r="E32" s="36">
        <v>1</v>
      </c>
      <c r="F32" s="36">
        <v>20</v>
      </c>
      <c r="G32" s="36">
        <v>3</v>
      </c>
      <c r="I32" s="35"/>
      <c r="J32" s="35"/>
      <c r="K32" s="35"/>
      <c r="L32" s="35"/>
      <c r="M32" s="35"/>
    </row>
    <row r="33" spans="1:13">
      <c r="A33" s="28">
        <v>79</v>
      </c>
      <c r="B33" s="31" t="s">
        <v>38</v>
      </c>
      <c r="C33" s="36">
        <v>49</v>
      </c>
      <c r="D33" s="36">
        <v>44</v>
      </c>
      <c r="E33" s="36">
        <v>3</v>
      </c>
      <c r="F33" s="36">
        <v>12</v>
      </c>
      <c r="G33" s="36">
        <v>3</v>
      </c>
      <c r="I33" s="35"/>
      <c r="J33" s="35"/>
      <c r="K33" s="35"/>
      <c r="L33" s="35"/>
      <c r="M33" s="35"/>
    </row>
    <row r="34" spans="1:13">
      <c r="A34" s="28">
        <v>80</v>
      </c>
      <c r="B34" s="31" t="s">
        <v>39</v>
      </c>
      <c r="C34" s="36">
        <v>25</v>
      </c>
      <c r="D34" s="36">
        <v>45</v>
      </c>
      <c r="E34" s="36">
        <v>2</v>
      </c>
      <c r="F34" s="36">
        <v>14</v>
      </c>
      <c r="G34" s="36">
        <v>0</v>
      </c>
      <c r="I34" s="35"/>
      <c r="J34" s="35"/>
      <c r="K34" s="35"/>
      <c r="L34" s="35"/>
      <c r="M34" s="35"/>
    </row>
    <row r="35" spans="1:13">
      <c r="A35" s="28">
        <v>81</v>
      </c>
      <c r="B35" s="31" t="s">
        <v>40</v>
      </c>
      <c r="C35" s="36">
        <v>16</v>
      </c>
      <c r="D35" s="36">
        <v>16</v>
      </c>
      <c r="E35" s="36">
        <v>3</v>
      </c>
      <c r="F35" s="36">
        <v>19</v>
      </c>
      <c r="G35" s="36">
        <v>0</v>
      </c>
      <c r="I35" s="35"/>
      <c r="J35" s="35"/>
      <c r="K35" s="35"/>
      <c r="L35" s="35"/>
      <c r="M35" s="35"/>
    </row>
    <row r="36" spans="1:13">
      <c r="A36" s="28">
        <v>83</v>
      </c>
      <c r="B36" s="31" t="s">
        <v>41</v>
      </c>
      <c r="C36" s="36">
        <v>12</v>
      </c>
      <c r="D36" s="36">
        <v>9</v>
      </c>
      <c r="E36" s="36">
        <v>1</v>
      </c>
      <c r="F36" s="36">
        <v>9</v>
      </c>
      <c r="G36" s="36">
        <v>1</v>
      </c>
      <c r="I36" s="35"/>
      <c r="J36" s="35"/>
      <c r="K36" s="35"/>
      <c r="L36" s="35"/>
      <c r="M36" s="35"/>
    </row>
    <row r="37" spans="1:13">
      <c r="A37" s="28">
        <v>84</v>
      </c>
      <c r="B37" s="31" t="s">
        <v>42</v>
      </c>
      <c r="C37" s="36">
        <v>19</v>
      </c>
      <c r="D37" s="36">
        <v>13</v>
      </c>
      <c r="E37" s="36">
        <v>0</v>
      </c>
      <c r="F37" s="36">
        <v>13</v>
      </c>
      <c r="G37" s="36">
        <v>3</v>
      </c>
      <c r="I37" s="35"/>
      <c r="J37" s="35"/>
      <c r="K37" s="35"/>
      <c r="L37" s="35"/>
      <c r="M37" s="35"/>
    </row>
    <row r="38" spans="1:13">
      <c r="A38" s="28">
        <v>85</v>
      </c>
      <c r="B38" s="31" t="s">
        <v>43</v>
      </c>
      <c r="C38" s="36">
        <v>18</v>
      </c>
      <c r="D38" s="36">
        <v>12</v>
      </c>
      <c r="E38" s="36">
        <v>3</v>
      </c>
      <c r="F38" s="36">
        <v>27</v>
      </c>
      <c r="G38" s="36">
        <v>3</v>
      </c>
      <c r="I38" s="35"/>
      <c r="J38" s="35"/>
      <c r="K38" s="35"/>
      <c r="L38" s="35"/>
      <c r="M38" s="35"/>
    </row>
    <row r="39" spans="1:13">
      <c r="A39" s="28">
        <v>87</v>
      </c>
      <c r="B39" s="31" t="s">
        <v>44</v>
      </c>
      <c r="C39" s="36">
        <v>28</v>
      </c>
      <c r="D39" s="36">
        <v>10</v>
      </c>
      <c r="E39" s="36">
        <v>0</v>
      </c>
      <c r="F39" s="36">
        <v>2</v>
      </c>
      <c r="G39" s="36">
        <v>7</v>
      </c>
      <c r="I39" s="35"/>
      <c r="J39" s="35"/>
      <c r="K39" s="35"/>
      <c r="L39" s="35"/>
      <c r="M39" s="35"/>
    </row>
    <row r="40" spans="1:13">
      <c r="A40" s="28">
        <v>90</v>
      </c>
      <c r="B40" s="31" t="s">
        <v>46</v>
      </c>
      <c r="C40" s="36">
        <v>18</v>
      </c>
      <c r="D40" s="36">
        <v>18</v>
      </c>
      <c r="E40" s="36">
        <v>0</v>
      </c>
      <c r="F40" s="36">
        <v>19</v>
      </c>
      <c r="G40" s="36">
        <v>0</v>
      </c>
      <c r="I40" s="35"/>
      <c r="J40" s="35"/>
      <c r="K40" s="35"/>
      <c r="L40" s="35"/>
      <c r="M40" s="35"/>
    </row>
    <row r="41" spans="1:13">
      <c r="A41" s="28">
        <v>91</v>
      </c>
      <c r="B41" s="31" t="s">
        <v>47</v>
      </c>
      <c r="C41" s="36">
        <v>8</v>
      </c>
      <c r="D41" s="36">
        <v>1</v>
      </c>
      <c r="E41" s="36">
        <v>0</v>
      </c>
      <c r="F41" s="36">
        <v>6</v>
      </c>
      <c r="G41" s="36">
        <v>0</v>
      </c>
      <c r="I41" s="35"/>
      <c r="J41" s="35"/>
      <c r="K41" s="35"/>
      <c r="L41" s="35"/>
      <c r="M41" s="35"/>
    </row>
    <row r="42" spans="1:13">
      <c r="A42" s="28">
        <v>92</v>
      </c>
      <c r="B42" s="31" t="s">
        <v>48</v>
      </c>
      <c r="C42" s="36">
        <v>26</v>
      </c>
      <c r="D42" s="36">
        <v>25</v>
      </c>
      <c r="E42" s="36">
        <v>1</v>
      </c>
      <c r="F42" s="36">
        <v>7</v>
      </c>
      <c r="G42" s="36">
        <v>0</v>
      </c>
      <c r="I42" s="35"/>
      <c r="J42" s="35"/>
      <c r="K42" s="35"/>
      <c r="L42" s="35"/>
      <c r="M42" s="35"/>
    </row>
    <row r="43" spans="1:13">
      <c r="A43" s="28">
        <v>94</v>
      </c>
      <c r="B43" s="31" t="s">
        <v>50</v>
      </c>
      <c r="C43" s="36">
        <v>6</v>
      </c>
      <c r="D43" s="36">
        <v>16</v>
      </c>
      <c r="E43" s="36">
        <v>0</v>
      </c>
      <c r="F43" s="36">
        <v>5</v>
      </c>
      <c r="G43" s="36">
        <v>1</v>
      </c>
      <c r="I43" s="35"/>
      <c r="J43" s="35"/>
      <c r="K43" s="35"/>
      <c r="L43" s="35"/>
      <c r="M43" s="35"/>
    </row>
    <row r="44" spans="1:13">
      <c r="A44" s="28">
        <v>96</v>
      </c>
      <c r="B44" s="31" t="s">
        <v>52</v>
      </c>
      <c r="C44" s="36">
        <v>9</v>
      </c>
      <c r="D44" s="36">
        <v>33</v>
      </c>
      <c r="E44" s="36">
        <v>0</v>
      </c>
      <c r="F44" s="36">
        <v>19</v>
      </c>
      <c r="G44" s="36">
        <v>0</v>
      </c>
      <c r="I44" s="35"/>
      <c r="J44" s="35"/>
      <c r="K44" s="35"/>
      <c r="L44" s="35"/>
      <c r="M44" s="35"/>
    </row>
    <row r="45" spans="1:13">
      <c r="A45" s="28">
        <v>98</v>
      </c>
      <c r="B45" s="31" t="s">
        <v>54</v>
      </c>
      <c r="C45" s="36">
        <v>17</v>
      </c>
      <c r="D45" s="36">
        <v>18</v>
      </c>
      <c r="E45" s="36">
        <v>0</v>
      </c>
      <c r="F45" s="36">
        <v>20</v>
      </c>
      <c r="G45" s="36">
        <v>0</v>
      </c>
      <c r="I45" s="35"/>
      <c r="J45" s="35"/>
      <c r="K45" s="35"/>
      <c r="L45" s="35"/>
      <c r="M45" s="35"/>
    </row>
    <row r="46" spans="1:13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I46" s="35"/>
      <c r="J46" s="35"/>
      <c r="K46" s="35"/>
      <c r="L46" s="35"/>
      <c r="M46" s="35"/>
    </row>
    <row r="47" spans="1:13" s="34" customFormat="1" ht="26.25" customHeight="1">
      <c r="B47" s="34" t="s">
        <v>60</v>
      </c>
      <c r="C47" s="61">
        <v>286</v>
      </c>
      <c r="D47" s="61">
        <v>495</v>
      </c>
      <c r="E47" s="61">
        <v>13</v>
      </c>
      <c r="F47" s="61">
        <v>155</v>
      </c>
      <c r="G47" s="61">
        <v>68</v>
      </c>
      <c r="I47" s="35"/>
      <c r="J47" s="35"/>
      <c r="K47" s="35"/>
      <c r="L47" s="35"/>
      <c r="M47" s="35"/>
    </row>
    <row r="48" spans="1:13">
      <c r="A48" s="28">
        <v>66</v>
      </c>
      <c r="B48" s="31" t="s">
        <v>26</v>
      </c>
      <c r="C48" s="36">
        <v>19</v>
      </c>
      <c r="D48" s="36">
        <v>65</v>
      </c>
      <c r="E48" s="36">
        <v>0</v>
      </c>
      <c r="F48" s="36">
        <v>16</v>
      </c>
      <c r="G48" s="36">
        <v>7</v>
      </c>
      <c r="I48" s="35"/>
      <c r="J48" s="35"/>
      <c r="K48" s="35"/>
      <c r="L48" s="35"/>
      <c r="M48" s="35"/>
    </row>
    <row r="49" spans="1:13">
      <c r="A49" s="28">
        <v>78</v>
      </c>
      <c r="B49" s="31" t="s">
        <v>37</v>
      </c>
      <c r="C49" s="36">
        <v>24</v>
      </c>
      <c r="D49" s="36">
        <v>43</v>
      </c>
      <c r="E49" s="36">
        <v>0</v>
      </c>
      <c r="F49" s="36">
        <v>28</v>
      </c>
      <c r="G49" s="36">
        <v>8</v>
      </c>
      <c r="I49" s="35"/>
      <c r="J49" s="35"/>
      <c r="K49" s="35"/>
      <c r="L49" s="35"/>
      <c r="M49" s="35"/>
    </row>
    <row r="50" spans="1:13">
      <c r="A50" s="28">
        <v>89</v>
      </c>
      <c r="B50" s="31" t="s">
        <v>45</v>
      </c>
      <c r="C50" s="36">
        <v>10</v>
      </c>
      <c r="D50" s="36">
        <v>17</v>
      </c>
      <c r="E50" s="36">
        <v>1</v>
      </c>
      <c r="F50" s="36">
        <v>12</v>
      </c>
      <c r="G50" s="36">
        <v>1</v>
      </c>
      <c r="I50" s="35"/>
      <c r="J50" s="35"/>
      <c r="K50" s="35"/>
      <c r="L50" s="35"/>
      <c r="M50" s="35"/>
    </row>
    <row r="51" spans="1:13">
      <c r="A51" s="28">
        <v>93</v>
      </c>
      <c r="B51" s="31" t="s">
        <v>61</v>
      </c>
      <c r="C51" s="36">
        <v>20</v>
      </c>
      <c r="D51" s="36">
        <v>27</v>
      </c>
      <c r="E51" s="36">
        <v>0</v>
      </c>
      <c r="F51" s="36">
        <v>7</v>
      </c>
      <c r="G51" s="36">
        <v>0</v>
      </c>
      <c r="I51" s="35"/>
      <c r="J51" s="35"/>
      <c r="K51" s="35"/>
      <c r="L51" s="35"/>
      <c r="M51" s="35"/>
    </row>
    <row r="52" spans="1:13">
      <c r="A52" s="28">
        <v>95</v>
      </c>
      <c r="B52" s="31" t="s">
        <v>51</v>
      </c>
      <c r="C52" s="36">
        <v>26</v>
      </c>
      <c r="D52" s="36">
        <v>46</v>
      </c>
      <c r="E52" s="36">
        <v>0</v>
      </c>
      <c r="F52" s="36">
        <v>13</v>
      </c>
      <c r="G52" s="36">
        <v>14</v>
      </c>
      <c r="I52" s="35"/>
      <c r="J52" s="35"/>
      <c r="K52" s="35"/>
      <c r="L52" s="35"/>
      <c r="M52" s="35"/>
    </row>
    <row r="53" spans="1:13">
      <c r="A53" s="28">
        <v>97</v>
      </c>
      <c r="B53" s="31" t="s">
        <v>53</v>
      </c>
      <c r="C53" s="36">
        <v>26</v>
      </c>
      <c r="D53" s="36">
        <v>45</v>
      </c>
      <c r="E53" s="36">
        <v>0</v>
      </c>
      <c r="F53" s="36">
        <v>19</v>
      </c>
      <c r="G53" s="36">
        <v>0</v>
      </c>
      <c r="I53" s="35"/>
      <c r="J53" s="35"/>
      <c r="K53" s="35"/>
      <c r="L53" s="35"/>
      <c r="M53" s="35"/>
    </row>
    <row r="54" spans="1:13">
      <c r="A54" s="38">
        <v>77</v>
      </c>
      <c r="B54" s="53" t="s">
        <v>25</v>
      </c>
      <c r="C54" s="51">
        <v>161</v>
      </c>
      <c r="D54" s="51">
        <v>252</v>
      </c>
      <c r="E54" s="51">
        <v>12</v>
      </c>
      <c r="F54" s="51">
        <v>60</v>
      </c>
      <c r="G54" s="51">
        <v>38</v>
      </c>
      <c r="I54" s="35"/>
      <c r="J54" s="35"/>
      <c r="K54" s="35"/>
      <c r="L54" s="35"/>
      <c r="M54" s="35"/>
    </row>
    <row r="55" spans="1:13">
      <c r="B55" s="39"/>
    </row>
    <row r="56" spans="1:13">
      <c r="B56" s="31" t="s">
        <v>84</v>
      </c>
    </row>
    <row r="57" spans="1:13" ht="12" customHeight="1">
      <c r="B57" s="71"/>
      <c r="C57" s="71"/>
      <c r="D57" s="71"/>
      <c r="E57" s="62"/>
      <c r="F57" s="62"/>
      <c r="G57" s="62"/>
    </row>
    <row r="58" spans="1:13">
      <c r="B58" s="41" t="s">
        <v>70</v>
      </c>
    </row>
  </sheetData>
  <mergeCells count="5">
    <mergeCell ref="B1:G1"/>
    <mergeCell ref="C2:D2"/>
    <mergeCell ref="E2:F2"/>
    <mergeCell ref="G2:G3"/>
    <mergeCell ref="B57:D57"/>
  </mergeCells>
  <pageMargins left="0.75" right="0.75" top="1" bottom="1" header="0.5" footer="0.5"/>
  <pageSetup paperSize="9" scale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opLeftCell="B1" zoomScale="85" workbookViewId="0">
      <pane xSplit="1" ySplit="3" topLeftCell="C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256" width="9.140625" style="31"/>
    <col min="257" max="257" width="0" style="31" hidden="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512" width="9.140625" style="31"/>
    <col min="513" max="513" width="0" style="31" hidden="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768" width="9.140625" style="31"/>
    <col min="769" max="769" width="0" style="31" hidden="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1024" width="9.140625" style="31"/>
    <col min="1025" max="1025" width="0" style="31" hidden="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280" width="9.140625" style="31"/>
    <col min="1281" max="1281" width="0" style="31" hidden="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536" width="9.140625" style="31"/>
    <col min="1537" max="1537" width="0" style="31" hidden="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792" width="9.140625" style="31"/>
    <col min="1793" max="1793" width="0" style="31" hidden="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2048" width="9.140625" style="31"/>
    <col min="2049" max="2049" width="0" style="31" hidden="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304" width="9.140625" style="31"/>
    <col min="2305" max="2305" width="0" style="31" hidden="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560" width="9.140625" style="31"/>
    <col min="2561" max="2561" width="0" style="31" hidden="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816" width="9.140625" style="31"/>
    <col min="2817" max="2817" width="0" style="31" hidden="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3072" width="9.140625" style="31"/>
    <col min="3073" max="3073" width="0" style="31" hidden="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328" width="9.140625" style="31"/>
    <col min="3329" max="3329" width="0" style="31" hidden="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584" width="9.140625" style="31"/>
    <col min="3585" max="3585" width="0" style="31" hidden="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840" width="9.140625" style="31"/>
    <col min="3841" max="3841" width="0" style="31" hidden="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4096" width="9.140625" style="31"/>
    <col min="4097" max="4097" width="0" style="31" hidden="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352" width="9.140625" style="31"/>
    <col min="4353" max="4353" width="0" style="31" hidden="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608" width="9.140625" style="31"/>
    <col min="4609" max="4609" width="0" style="31" hidden="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864" width="9.140625" style="31"/>
    <col min="4865" max="4865" width="0" style="31" hidden="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5120" width="9.140625" style="31"/>
    <col min="5121" max="5121" width="0" style="31" hidden="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376" width="9.140625" style="31"/>
    <col min="5377" max="5377" width="0" style="31" hidden="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632" width="9.140625" style="31"/>
    <col min="5633" max="5633" width="0" style="31" hidden="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888" width="9.140625" style="31"/>
    <col min="5889" max="5889" width="0" style="31" hidden="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6144" width="9.140625" style="31"/>
    <col min="6145" max="6145" width="0" style="31" hidden="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400" width="9.140625" style="31"/>
    <col min="6401" max="6401" width="0" style="31" hidden="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656" width="9.140625" style="31"/>
    <col min="6657" max="6657" width="0" style="31" hidden="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912" width="9.140625" style="31"/>
    <col min="6913" max="6913" width="0" style="31" hidden="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7168" width="9.140625" style="31"/>
    <col min="7169" max="7169" width="0" style="31" hidden="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424" width="9.140625" style="31"/>
    <col min="7425" max="7425" width="0" style="31" hidden="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680" width="9.140625" style="31"/>
    <col min="7681" max="7681" width="0" style="31" hidden="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936" width="9.140625" style="31"/>
    <col min="7937" max="7937" width="0" style="31" hidden="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8192" width="9.140625" style="31"/>
    <col min="8193" max="8193" width="0" style="31" hidden="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448" width="9.140625" style="31"/>
    <col min="8449" max="8449" width="0" style="31" hidden="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704" width="9.140625" style="31"/>
    <col min="8705" max="8705" width="0" style="31" hidden="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960" width="9.140625" style="31"/>
    <col min="8961" max="8961" width="0" style="31" hidden="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9216" width="9.140625" style="31"/>
    <col min="9217" max="9217" width="0" style="31" hidden="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472" width="9.140625" style="31"/>
    <col min="9473" max="9473" width="0" style="31" hidden="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728" width="9.140625" style="31"/>
    <col min="9729" max="9729" width="0" style="31" hidden="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984" width="9.140625" style="31"/>
    <col min="9985" max="9985" width="0" style="31" hidden="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10240" width="9.140625" style="31"/>
    <col min="10241" max="10241" width="0" style="31" hidden="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496" width="9.140625" style="31"/>
    <col min="10497" max="10497" width="0" style="31" hidden="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752" width="9.140625" style="31"/>
    <col min="10753" max="10753" width="0" style="31" hidden="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1008" width="9.140625" style="31"/>
    <col min="11009" max="11009" width="0" style="31" hidden="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264" width="9.140625" style="31"/>
    <col min="11265" max="11265" width="0" style="31" hidden="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520" width="9.140625" style="31"/>
    <col min="11521" max="11521" width="0" style="31" hidden="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776" width="9.140625" style="31"/>
    <col min="11777" max="11777" width="0" style="31" hidden="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2032" width="9.140625" style="31"/>
    <col min="12033" max="12033" width="0" style="31" hidden="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288" width="9.140625" style="31"/>
    <col min="12289" max="12289" width="0" style="31" hidden="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544" width="9.140625" style="31"/>
    <col min="12545" max="12545" width="0" style="31" hidden="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800" width="9.140625" style="31"/>
    <col min="12801" max="12801" width="0" style="31" hidden="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3056" width="9.140625" style="31"/>
    <col min="13057" max="13057" width="0" style="31" hidden="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312" width="9.140625" style="31"/>
    <col min="13313" max="13313" width="0" style="31" hidden="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568" width="9.140625" style="31"/>
    <col min="13569" max="13569" width="0" style="31" hidden="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824" width="9.140625" style="31"/>
    <col min="13825" max="13825" width="0" style="31" hidden="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4080" width="9.140625" style="31"/>
    <col min="14081" max="14081" width="0" style="31" hidden="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336" width="9.140625" style="31"/>
    <col min="14337" max="14337" width="0" style="31" hidden="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592" width="9.140625" style="31"/>
    <col min="14593" max="14593" width="0" style="31" hidden="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848" width="9.140625" style="31"/>
    <col min="14849" max="14849" width="0" style="31" hidden="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5104" width="9.140625" style="31"/>
    <col min="15105" max="15105" width="0" style="31" hidden="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360" width="9.140625" style="31"/>
    <col min="15361" max="15361" width="0" style="31" hidden="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616" width="9.140625" style="31"/>
    <col min="15617" max="15617" width="0" style="31" hidden="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872" width="9.140625" style="31"/>
    <col min="15873" max="15873" width="0" style="31" hidden="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6128" width="9.140625" style="31"/>
    <col min="16129" max="16129" width="0" style="31" hidden="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384" width="9.140625" style="31"/>
  </cols>
  <sheetData>
    <row r="1" spans="1:15" ht="33.75" customHeight="1">
      <c r="B1" s="72" t="s">
        <v>71</v>
      </c>
      <c r="C1" s="73"/>
      <c r="D1" s="73"/>
      <c r="E1" s="73"/>
      <c r="F1" s="73"/>
      <c r="G1" s="74"/>
    </row>
    <row r="2" spans="1:15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</row>
    <row r="3" spans="1:15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</row>
    <row r="4" spans="1:15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15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15" ht="26.25" customHeight="1">
      <c r="B6" s="39" t="s">
        <v>83</v>
      </c>
      <c r="C6" s="59">
        <v>770</v>
      </c>
      <c r="D6" s="59">
        <v>1226</v>
      </c>
      <c r="E6" s="59">
        <v>52</v>
      </c>
      <c r="F6" s="59">
        <v>704</v>
      </c>
      <c r="G6" s="59">
        <v>79</v>
      </c>
      <c r="I6" s="35"/>
      <c r="J6" s="35"/>
      <c r="K6" s="35"/>
      <c r="L6" s="35"/>
      <c r="M6" s="35"/>
      <c r="N6" s="35"/>
      <c r="O6" s="35"/>
    </row>
    <row r="7" spans="1:15" s="34" customFormat="1" ht="26.25" customHeight="1">
      <c r="A7" s="27"/>
      <c r="B7" s="34" t="s">
        <v>56</v>
      </c>
      <c r="C7" s="60">
        <v>501</v>
      </c>
      <c r="D7" s="60">
        <v>747</v>
      </c>
      <c r="E7" s="60">
        <v>49</v>
      </c>
      <c r="F7" s="60">
        <v>580</v>
      </c>
      <c r="G7" s="60">
        <v>64</v>
      </c>
      <c r="I7" s="35"/>
      <c r="J7" s="35"/>
      <c r="K7" s="35"/>
      <c r="L7" s="35"/>
      <c r="M7" s="35"/>
    </row>
    <row r="8" spans="1:15">
      <c r="A8" s="28">
        <v>51</v>
      </c>
      <c r="B8" s="31" t="s">
        <v>9</v>
      </c>
      <c r="C8" s="36">
        <v>24</v>
      </c>
      <c r="D8" s="36">
        <v>29</v>
      </c>
      <c r="E8" s="36">
        <v>3</v>
      </c>
      <c r="F8" s="36">
        <v>20</v>
      </c>
      <c r="G8" s="36">
        <v>3</v>
      </c>
      <c r="I8" s="35"/>
      <c r="J8" s="35"/>
      <c r="K8" s="35"/>
      <c r="L8" s="35"/>
      <c r="M8" s="35"/>
    </row>
    <row r="9" spans="1:15">
      <c r="A9" s="28">
        <v>52</v>
      </c>
      <c r="B9" s="31" t="s">
        <v>10</v>
      </c>
      <c r="C9" s="36">
        <v>10</v>
      </c>
      <c r="D9" s="36">
        <v>9</v>
      </c>
      <c r="E9" s="36">
        <v>0</v>
      </c>
      <c r="F9" s="36">
        <v>8</v>
      </c>
      <c r="G9" s="36">
        <v>0</v>
      </c>
      <c r="I9" s="35"/>
      <c r="J9" s="35"/>
      <c r="K9" s="35"/>
      <c r="L9" s="35"/>
      <c r="M9" s="35"/>
    </row>
    <row r="10" spans="1:15">
      <c r="A10" s="28">
        <v>86</v>
      </c>
      <c r="B10" s="31" t="s">
        <v>11</v>
      </c>
      <c r="C10" s="36">
        <v>5</v>
      </c>
      <c r="D10" s="36">
        <v>14</v>
      </c>
      <c r="E10" s="36">
        <v>2</v>
      </c>
      <c r="F10" s="36">
        <v>5</v>
      </c>
      <c r="G10" s="36">
        <v>0</v>
      </c>
      <c r="I10" s="35"/>
      <c r="J10" s="35"/>
      <c r="K10" s="35"/>
      <c r="L10" s="35"/>
      <c r="M10" s="35"/>
    </row>
    <row r="11" spans="1:15">
      <c r="A11" s="28">
        <v>53</v>
      </c>
      <c r="B11" s="31" t="s">
        <v>12</v>
      </c>
      <c r="C11" s="36">
        <v>8</v>
      </c>
      <c r="D11" s="36">
        <v>11</v>
      </c>
      <c r="E11" s="36">
        <v>0</v>
      </c>
      <c r="F11" s="36">
        <v>9</v>
      </c>
      <c r="G11" s="36">
        <v>2</v>
      </c>
      <c r="I11" s="35"/>
      <c r="J11" s="35"/>
      <c r="K11" s="35"/>
      <c r="L11" s="35"/>
      <c r="M11" s="35"/>
    </row>
    <row r="12" spans="1:15">
      <c r="A12" s="28">
        <v>54</v>
      </c>
      <c r="B12" s="31" t="s">
        <v>13</v>
      </c>
      <c r="C12" s="36">
        <v>3</v>
      </c>
      <c r="D12" s="36">
        <v>14</v>
      </c>
      <c r="E12" s="36">
        <v>1</v>
      </c>
      <c r="F12" s="36">
        <v>16</v>
      </c>
      <c r="G12" s="36">
        <v>0</v>
      </c>
      <c r="I12" s="35"/>
      <c r="J12" s="35"/>
      <c r="K12" s="35"/>
      <c r="L12" s="35"/>
      <c r="M12" s="35"/>
    </row>
    <row r="13" spans="1:15">
      <c r="A13" s="28">
        <v>55</v>
      </c>
      <c r="B13" s="31" t="s">
        <v>14</v>
      </c>
      <c r="C13" s="36">
        <v>4</v>
      </c>
      <c r="D13" s="36">
        <v>9</v>
      </c>
      <c r="E13" s="36">
        <v>0</v>
      </c>
      <c r="F13" s="36">
        <v>23</v>
      </c>
      <c r="G13" s="36">
        <v>0</v>
      </c>
      <c r="I13" s="35"/>
      <c r="J13" s="35"/>
      <c r="K13" s="35"/>
      <c r="L13" s="35"/>
      <c r="M13" s="35"/>
    </row>
    <row r="14" spans="1:15">
      <c r="A14" s="28">
        <v>56</v>
      </c>
      <c r="B14" s="31" t="s">
        <v>15</v>
      </c>
      <c r="C14" s="36">
        <v>8</v>
      </c>
      <c r="D14" s="36">
        <v>25</v>
      </c>
      <c r="E14" s="36">
        <v>2</v>
      </c>
      <c r="F14" s="36">
        <v>8</v>
      </c>
      <c r="G14" s="36">
        <v>1</v>
      </c>
      <c r="I14" s="35"/>
      <c r="J14" s="35"/>
      <c r="K14" s="35"/>
      <c r="L14" s="35"/>
      <c r="M14" s="35"/>
    </row>
    <row r="15" spans="1:15">
      <c r="A15" s="28">
        <v>57</v>
      </c>
      <c r="B15" s="31" t="s">
        <v>16</v>
      </c>
      <c r="C15" s="36">
        <v>4</v>
      </c>
      <c r="D15" s="36">
        <v>3</v>
      </c>
      <c r="E15" s="36">
        <v>2</v>
      </c>
      <c r="F15" s="36">
        <v>1</v>
      </c>
      <c r="G15" s="36">
        <v>2</v>
      </c>
      <c r="I15" s="35"/>
      <c r="J15" s="35"/>
      <c r="K15" s="35"/>
      <c r="L15" s="35"/>
      <c r="M15" s="35"/>
    </row>
    <row r="16" spans="1:15">
      <c r="A16" s="28">
        <v>59</v>
      </c>
      <c r="B16" s="31" t="s">
        <v>17</v>
      </c>
      <c r="C16" s="36">
        <v>5</v>
      </c>
      <c r="D16" s="36">
        <v>7</v>
      </c>
      <c r="E16" s="36">
        <v>0</v>
      </c>
      <c r="F16" s="36">
        <v>2</v>
      </c>
      <c r="G16" s="36">
        <v>0</v>
      </c>
      <c r="I16" s="35"/>
      <c r="J16" s="35"/>
      <c r="K16" s="35"/>
      <c r="L16" s="35"/>
      <c r="M16" s="35"/>
    </row>
    <row r="17" spans="1:13">
      <c r="A17" s="28">
        <v>60</v>
      </c>
      <c r="B17" s="31" t="s">
        <v>18</v>
      </c>
      <c r="C17" s="36">
        <v>8</v>
      </c>
      <c r="D17" s="36">
        <v>23</v>
      </c>
      <c r="E17" s="36">
        <v>1</v>
      </c>
      <c r="F17" s="36">
        <v>20</v>
      </c>
      <c r="G17" s="36">
        <v>3</v>
      </c>
      <c r="I17" s="35"/>
      <c r="J17" s="35"/>
      <c r="K17" s="35"/>
      <c r="L17" s="35"/>
      <c r="M17" s="35"/>
    </row>
    <row r="18" spans="1:13">
      <c r="A18" s="28">
        <v>61</v>
      </c>
      <c r="B18" s="37" t="s">
        <v>57</v>
      </c>
      <c r="C18" s="36">
        <v>52</v>
      </c>
      <c r="D18" s="36">
        <v>66</v>
      </c>
      <c r="E18" s="36">
        <v>6</v>
      </c>
      <c r="F18" s="36">
        <v>57</v>
      </c>
      <c r="G18" s="36">
        <v>4</v>
      </c>
      <c r="I18" s="35"/>
      <c r="J18" s="35"/>
      <c r="K18" s="35"/>
      <c r="L18" s="35"/>
      <c r="M18" s="35"/>
    </row>
    <row r="19" spans="1:13">
      <c r="A19" s="28">
        <v>62</v>
      </c>
      <c r="B19" s="31" t="s">
        <v>20</v>
      </c>
      <c r="C19" s="36">
        <v>9</v>
      </c>
      <c r="D19" s="36">
        <v>24</v>
      </c>
      <c r="E19" s="36">
        <v>1</v>
      </c>
      <c r="F19" s="36">
        <v>32</v>
      </c>
      <c r="G19" s="36">
        <v>2</v>
      </c>
      <c r="I19" s="35"/>
      <c r="J19" s="35"/>
      <c r="K19" s="35"/>
      <c r="L19" s="35"/>
      <c r="M19" s="35"/>
    </row>
    <row r="20" spans="1:13">
      <c r="A20" s="28">
        <v>58</v>
      </c>
      <c r="B20" s="31" t="s">
        <v>21</v>
      </c>
      <c r="C20" s="36">
        <v>5</v>
      </c>
      <c r="D20" s="36">
        <v>8</v>
      </c>
      <c r="E20" s="36">
        <v>1</v>
      </c>
      <c r="F20" s="36">
        <v>3</v>
      </c>
      <c r="G20" s="36">
        <v>0</v>
      </c>
      <c r="I20" s="35"/>
      <c r="J20" s="35"/>
      <c r="K20" s="35"/>
      <c r="L20" s="35"/>
      <c r="M20" s="35"/>
    </row>
    <row r="21" spans="1:13">
      <c r="A21" s="28">
        <v>63</v>
      </c>
      <c r="B21" s="31" t="s">
        <v>22</v>
      </c>
      <c r="C21" s="36">
        <v>17</v>
      </c>
      <c r="D21" s="36">
        <v>33</v>
      </c>
      <c r="E21" s="36">
        <v>1</v>
      </c>
      <c r="F21" s="36">
        <v>19</v>
      </c>
      <c r="G21" s="36">
        <v>1</v>
      </c>
      <c r="I21" s="35"/>
      <c r="J21" s="35"/>
      <c r="K21" s="35"/>
      <c r="L21" s="35"/>
      <c r="M21" s="35"/>
    </row>
    <row r="22" spans="1:13">
      <c r="A22" s="28">
        <v>64</v>
      </c>
      <c r="B22" s="31" t="s">
        <v>23</v>
      </c>
      <c r="C22" s="36">
        <v>39</v>
      </c>
      <c r="D22" s="36">
        <v>49</v>
      </c>
      <c r="E22" s="36">
        <v>1</v>
      </c>
      <c r="F22" s="36">
        <v>55</v>
      </c>
      <c r="G22" s="36">
        <v>4</v>
      </c>
      <c r="I22" s="35"/>
      <c r="J22" s="35"/>
      <c r="K22" s="35"/>
      <c r="L22" s="35"/>
      <c r="M22" s="35"/>
    </row>
    <row r="23" spans="1:13">
      <c r="A23" s="28">
        <v>65</v>
      </c>
      <c r="B23" s="31" t="s">
        <v>24</v>
      </c>
      <c r="C23" s="36">
        <v>4</v>
      </c>
      <c r="D23" s="36">
        <v>18</v>
      </c>
      <c r="E23" s="36">
        <v>0</v>
      </c>
      <c r="F23" s="36">
        <v>3</v>
      </c>
      <c r="G23" s="36">
        <v>2</v>
      </c>
      <c r="I23" s="35"/>
      <c r="J23" s="35"/>
      <c r="K23" s="35"/>
      <c r="L23" s="35"/>
      <c r="M23" s="35"/>
    </row>
    <row r="24" spans="1:13">
      <c r="A24" s="28">
        <v>67</v>
      </c>
      <c r="B24" s="31" t="s">
        <v>27</v>
      </c>
      <c r="C24" s="36">
        <v>19</v>
      </c>
      <c r="D24" s="36">
        <v>30</v>
      </c>
      <c r="E24" s="36">
        <v>2</v>
      </c>
      <c r="F24" s="36">
        <v>18</v>
      </c>
      <c r="G24" s="36">
        <v>5</v>
      </c>
      <c r="I24" s="35"/>
      <c r="J24" s="35"/>
      <c r="K24" s="35"/>
      <c r="L24" s="35"/>
      <c r="M24" s="35"/>
    </row>
    <row r="25" spans="1:13">
      <c r="A25" s="28">
        <v>68</v>
      </c>
      <c r="B25" s="31" t="s">
        <v>58</v>
      </c>
      <c r="C25" s="36">
        <v>14</v>
      </c>
      <c r="D25" s="36">
        <v>14</v>
      </c>
      <c r="E25" s="36">
        <v>2</v>
      </c>
      <c r="F25" s="36">
        <v>8</v>
      </c>
      <c r="G25" s="36">
        <v>0</v>
      </c>
      <c r="I25" s="35"/>
      <c r="J25" s="35"/>
      <c r="K25" s="35"/>
      <c r="L25" s="35"/>
      <c r="M25" s="35"/>
    </row>
    <row r="26" spans="1:13">
      <c r="A26" s="28">
        <v>69</v>
      </c>
      <c r="B26" s="31" t="s">
        <v>29</v>
      </c>
      <c r="C26" s="36">
        <v>15</v>
      </c>
      <c r="D26" s="36">
        <v>17</v>
      </c>
      <c r="E26" s="36">
        <v>5</v>
      </c>
      <c r="F26" s="36">
        <v>16</v>
      </c>
      <c r="G26" s="36">
        <v>1</v>
      </c>
      <c r="I26" s="35"/>
      <c r="J26" s="35"/>
      <c r="K26" s="35"/>
      <c r="L26" s="35"/>
      <c r="M26" s="35"/>
    </row>
    <row r="27" spans="1:13">
      <c r="A27" s="28">
        <v>70</v>
      </c>
      <c r="B27" s="31" t="s">
        <v>30</v>
      </c>
      <c r="C27" s="36">
        <v>4</v>
      </c>
      <c r="D27" s="36">
        <v>12</v>
      </c>
      <c r="E27" s="36">
        <v>3</v>
      </c>
      <c r="F27" s="36">
        <v>15</v>
      </c>
      <c r="G27" s="36">
        <v>0</v>
      </c>
      <c r="I27" s="35"/>
      <c r="J27" s="35"/>
      <c r="K27" s="35"/>
      <c r="L27" s="35"/>
      <c r="M27" s="35"/>
    </row>
    <row r="28" spans="1:13">
      <c r="A28" s="28">
        <v>71</v>
      </c>
      <c r="B28" s="31" t="s">
        <v>59</v>
      </c>
      <c r="C28" s="36">
        <v>2</v>
      </c>
      <c r="D28" s="36">
        <v>6</v>
      </c>
      <c r="E28" s="36">
        <v>0</v>
      </c>
      <c r="F28" s="36">
        <v>1</v>
      </c>
      <c r="G28" s="36">
        <v>0</v>
      </c>
      <c r="I28" s="35"/>
      <c r="J28" s="35"/>
      <c r="K28" s="35"/>
      <c r="L28" s="35"/>
      <c r="M28" s="35"/>
    </row>
    <row r="29" spans="1:13">
      <c r="A29" s="28">
        <v>73</v>
      </c>
      <c r="B29" s="31" t="s">
        <v>33</v>
      </c>
      <c r="C29" s="36">
        <v>21</v>
      </c>
      <c r="D29" s="36">
        <v>26</v>
      </c>
      <c r="E29" s="36">
        <v>0</v>
      </c>
      <c r="F29" s="36">
        <v>41</v>
      </c>
      <c r="G29" s="36">
        <v>0</v>
      </c>
      <c r="I29" s="35"/>
      <c r="J29" s="35"/>
      <c r="K29" s="35"/>
      <c r="L29" s="35"/>
      <c r="M29" s="35"/>
    </row>
    <row r="30" spans="1:13">
      <c r="A30" s="28">
        <v>74</v>
      </c>
      <c r="B30" s="31" t="s">
        <v>34</v>
      </c>
      <c r="C30" s="36">
        <v>13</v>
      </c>
      <c r="D30" s="36">
        <v>20</v>
      </c>
      <c r="E30" s="36">
        <v>0</v>
      </c>
      <c r="F30" s="36">
        <v>7</v>
      </c>
      <c r="G30" s="36">
        <v>1</v>
      </c>
      <c r="I30" s="35"/>
      <c r="J30" s="35"/>
      <c r="K30" s="35"/>
      <c r="L30" s="35"/>
      <c r="M30" s="35"/>
    </row>
    <row r="31" spans="1:13">
      <c r="A31" s="28">
        <v>75</v>
      </c>
      <c r="B31" s="31" t="s">
        <v>35</v>
      </c>
      <c r="C31" s="36">
        <v>11</v>
      </c>
      <c r="D31" s="36">
        <v>29</v>
      </c>
      <c r="E31" s="36">
        <v>1</v>
      </c>
      <c r="F31" s="36">
        <v>10</v>
      </c>
      <c r="G31" s="36">
        <v>4</v>
      </c>
      <c r="I31" s="35"/>
      <c r="J31" s="35"/>
      <c r="K31" s="35"/>
      <c r="L31" s="35"/>
      <c r="M31" s="35"/>
    </row>
    <row r="32" spans="1:13">
      <c r="A32" s="28">
        <v>76</v>
      </c>
      <c r="B32" s="31" t="s">
        <v>36</v>
      </c>
      <c r="C32" s="36">
        <v>3</v>
      </c>
      <c r="D32" s="36">
        <v>11</v>
      </c>
      <c r="E32" s="36">
        <v>0</v>
      </c>
      <c r="F32" s="36">
        <v>18</v>
      </c>
      <c r="G32" s="36">
        <v>0</v>
      </c>
      <c r="I32" s="35"/>
      <c r="J32" s="35"/>
      <c r="K32" s="35"/>
      <c r="L32" s="35"/>
      <c r="M32" s="35"/>
    </row>
    <row r="33" spans="1:13">
      <c r="A33" s="28">
        <v>79</v>
      </c>
      <c r="B33" s="31" t="s">
        <v>38</v>
      </c>
      <c r="C33" s="36">
        <v>29</v>
      </c>
      <c r="D33" s="36">
        <v>27</v>
      </c>
      <c r="E33" s="36">
        <v>4</v>
      </c>
      <c r="F33" s="36">
        <v>21</v>
      </c>
      <c r="G33" s="36">
        <v>11</v>
      </c>
      <c r="I33" s="35"/>
      <c r="J33" s="35"/>
      <c r="K33" s="35"/>
      <c r="L33" s="35"/>
      <c r="M33" s="35"/>
    </row>
    <row r="34" spans="1:13">
      <c r="A34" s="28">
        <v>80</v>
      </c>
      <c r="B34" s="31" t="s">
        <v>39</v>
      </c>
      <c r="C34" s="36">
        <v>11</v>
      </c>
      <c r="D34" s="36">
        <v>32</v>
      </c>
      <c r="E34" s="36">
        <v>0</v>
      </c>
      <c r="F34" s="36">
        <v>15</v>
      </c>
      <c r="G34" s="36">
        <v>2</v>
      </c>
      <c r="I34" s="35"/>
      <c r="J34" s="35"/>
      <c r="K34" s="35"/>
      <c r="L34" s="35"/>
      <c r="M34" s="35"/>
    </row>
    <row r="35" spans="1:13">
      <c r="A35" s="28">
        <v>81</v>
      </c>
      <c r="B35" s="31" t="s">
        <v>40</v>
      </c>
      <c r="C35" s="36">
        <v>18</v>
      </c>
      <c r="D35" s="36">
        <v>10</v>
      </c>
      <c r="E35" s="36">
        <v>2</v>
      </c>
      <c r="F35" s="36">
        <v>28</v>
      </c>
      <c r="G35" s="36">
        <v>0</v>
      </c>
      <c r="I35" s="35"/>
      <c r="J35" s="35"/>
      <c r="K35" s="35"/>
      <c r="L35" s="35"/>
      <c r="M35" s="35"/>
    </row>
    <row r="36" spans="1:13">
      <c r="A36" s="28">
        <v>83</v>
      </c>
      <c r="B36" s="31" t="s">
        <v>41</v>
      </c>
      <c r="C36" s="36">
        <v>7</v>
      </c>
      <c r="D36" s="36">
        <v>10</v>
      </c>
      <c r="E36" s="36">
        <v>2</v>
      </c>
      <c r="F36" s="36">
        <v>10</v>
      </c>
      <c r="G36" s="36">
        <v>2</v>
      </c>
      <c r="I36" s="35"/>
      <c r="J36" s="35"/>
      <c r="K36" s="35"/>
      <c r="L36" s="35"/>
      <c r="M36" s="35"/>
    </row>
    <row r="37" spans="1:13">
      <c r="A37" s="28">
        <v>84</v>
      </c>
      <c r="B37" s="31" t="s">
        <v>42</v>
      </c>
      <c r="C37" s="36">
        <v>20</v>
      </c>
      <c r="D37" s="36">
        <v>22</v>
      </c>
      <c r="E37" s="36">
        <v>0</v>
      </c>
      <c r="F37" s="36">
        <v>6</v>
      </c>
      <c r="G37" s="36">
        <v>0</v>
      </c>
      <c r="I37" s="35"/>
      <c r="J37" s="35"/>
      <c r="K37" s="35"/>
      <c r="L37" s="35"/>
      <c r="M37" s="35"/>
    </row>
    <row r="38" spans="1:13">
      <c r="A38" s="28">
        <v>85</v>
      </c>
      <c r="B38" s="31" t="s">
        <v>43</v>
      </c>
      <c r="C38" s="36">
        <v>13</v>
      </c>
      <c r="D38" s="36">
        <v>24</v>
      </c>
      <c r="E38" s="36">
        <v>1</v>
      </c>
      <c r="F38" s="36">
        <v>8</v>
      </c>
      <c r="G38" s="36">
        <v>3</v>
      </c>
      <c r="I38" s="35"/>
      <c r="J38" s="35"/>
      <c r="K38" s="35"/>
      <c r="L38" s="35"/>
      <c r="M38" s="35"/>
    </row>
    <row r="39" spans="1:13">
      <c r="A39" s="28">
        <v>87</v>
      </c>
      <c r="B39" s="31" t="s">
        <v>44</v>
      </c>
      <c r="C39" s="36">
        <v>23</v>
      </c>
      <c r="D39" s="36">
        <v>7</v>
      </c>
      <c r="E39" s="36">
        <v>1</v>
      </c>
      <c r="F39" s="36">
        <v>5</v>
      </c>
      <c r="G39" s="36">
        <v>1</v>
      </c>
      <c r="I39" s="35"/>
      <c r="J39" s="35"/>
      <c r="K39" s="35"/>
      <c r="L39" s="35"/>
      <c r="M39" s="35"/>
    </row>
    <row r="40" spans="1:13">
      <c r="A40" s="28">
        <v>90</v>
      </c>
      <c r="B40" s="31" t="s">
        <v>46</v>
      </c>
      <c r="C40" s="36">
        <v>19</v>
      </c>
      <c r="D40" s="36">
        <v>27</v>
      </c>
      <c r="E40" s="36">
        <v>1</v>
      </c>
      <c r="F40" s="36">
        <v>17</v>
      </c>
      <c r="G40" s="36">
        <v>0</v>
      </c>
      <c r="I40" s="35"/>
      <c r="J40" s="35"/>
      <c r="K40" s="35"/>
      <c r="L40" s="35"/>
      <c r="M40" s="35"/>
    </row>
    <row r="41" spans="1:13">
      <c r="A41" s="28">
        <v>91</v>
      </c>
      <c r="B41" s="31" t="s">
        <v>47</v>
      </c>
      <c r="C41" s="36">
        <v>12</v>
      </c>
      <c r="D41" s="36">
        <v>9</v>
      </c>
      <c r="E41" s="36">
        <v>0</v>
      </c>
      <c r="F41" s="36">
        <v>5</v>
      </c>
      <c r="G41" s="36">
        <v>1</v>
      </c>
      <c r="I41" s="35"/>
      <c r="J41" s="35"/>
      <c r="K41" s="35"/>
      <c r="L41" s="35"/>
      <c r="M41" s="35"/>
    </row>
    <row r="42" spans="1:13">
      <c r="A42" s="28">
        <v>92</v>
      </c>
      <c r="B42" s="31" t="s">
        <v>48</v>
      </c>
      <c r="C42" s="36">
        <v>19</v>
      </c>
      <c r="D42" s="36">
        <v>29</v>
      </c>
      <c r="E42" s="36">
        <v>0</v>
      </c>
      <c r="F42" s="36">
        <v>4</v>
      </c>
      <c r="G42" s="36">
        <v>5</v>
      </c>
      <c r="I42" s="35"/>
      <c r="J42" s="35"/>
      <c r="K42" s="35"/>
      <c r="L42" s="35"/>
      <c r="M42" s="35"/>
    </row>
    <row r="43" spans="1:13">
      <c r="A43" s="28">
        <v>94</v>
      </c>
      <c r="B43" s="31" t="s">
        <v>50</v>
      </c>
      <c r="C43" s="36">
        <v>6</v>
      </c>
      <c r="D43" s="36">
        <v>10</v>
      </c>
      <c r="E43" s="36">
        <v>3</v>
      </c>
      <c r="F43" s="36">
        <v>6</v>
      </c>
      <c r="G43" s="36">
        <v>4</v>
      </c>
      <c r="I43" s="35"/>
      <c r="J43" s="35"/>
      <c r="K43" s="35"/>
      <c r="L43" s="35"/>
      <c r="M43" s="35"/>
    </row>
    <row r="44" spans="1:13">
      <c r="A44" s="28">
        <v>96</v>
      </c>
      <c r="B44" s="31" t="s">
        <v>52</v>
      </c>
      <c r="C44" s="36">
        <v>2</v>
      </c>
      <c r="D44" s="36">
        <v>21</v>
      </c>
      <c r="E44" s="36">
        <v>1</v>
      </c>
      <c r="F44" s="36">
        <v>17</v>
      </c>
      <c r="G44" s="36">
        <v>0</v>
      </c>
      <c r="I44" s="35"/>
      <c r="J44" s="35"/>
      <c r="K44" s="35"/>
      <c r="L44" s="35"/>
      <c r="M44" s="35"/>
    </row>
    <row r="45" spans="1:13">
      <c r="A45" s="28">
        <v>98</v>
      </c>
      <c r="B45" s="31" t="s">
        <v>54</v>
      </c>
      <c r="C45" s="36">
        <v>15</v>
      </c>
      <c r="D45" s="36">
        <v>12</v>
      </c>
      <c r="E45" s="36">
        <v>0</v>
      </c>
      <c r="F45" s="36">
        <v>23</v>
      </c>
      <c r="G45" s="36">
        <v>0</v>
      </c>
      <c r="I45" s="35"/>
      <c r="J45" s="35"/>
      <c r="K45" s="35"/>
      <c r="L45" s="35"/>
      <c r="M45" s="35"/>
    </row>
    <row r="46" spans="1:13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I46" s="35"/>
      <c r="J46" s="35"/>
      <c r="K46" s="35"/>
      <c r="L46" s="35"/>
      <c r="M46" s="35"/>
    </row>
    <row r="47" spans="1:13" s="34" customFormat="1" ht="26.25" customHeight="1">
      <c r="B47" s="34" t="s">
        <v>60</v>
      </c>
      <c r="C47" s="61">
        <v>269</v>
      </c>
      <c r="D47" s="61">
        <v>479</v>
      </c>
      <c r="E47" s="61">
        <v>3</v>
      </c>
      <c r="F47" s="61">
        <v>124</v>
      </c>
      <c r="G47" s="61">
        <v>15</v>
      </c>
      <c r="I47" s="35"/>
      <c r="J47" s="35"/>
      <c r="K47" s="35"/>
      <c r="L47" s="35"/>
      <c r="M47" s="35"/>
    </row>
    <row r="48" spans="1:13">
      <c r="A48" s="28">
        <v>66</v>
      </c>
      <c r="B48" s="31" t="s">
        <v>26</v>
      </c>
      <c r="C48" s="36">
        <v>29</v>
      </c>
      <c r="D48" s="36">
        <v>41</v>
      </c>
      <c r="E48" s="36">
        <v>2</v>
      </c>
      <c r="F48" s="36">
        <v>17</v>
      </c>
      <c r="G48" s="36">
        <v>0</v>
      </c>
      <c r="I48" s="35"/>
      <c r="J48" s="35"/>
      <c r="K48" s="35"/>
      <c r="L48" s="35"/>
      <c r="M48" s="35"/>
    </row>
    <row r="49" spans="1:13">
      <c r="A49" s="28">
        <v>78</v>
      </c>
      <c r="B49" s="31" t="s">
        <v>37</v>
      </c>
      <c r="C49" s="36">
        <v>15</v>
      </c>
      <c r="D49" s="36">
        <v>43</v>
      </c>
      <c r="E49" s="36">
        <v>0</v>
      </c>
      <c r="F49" s="36">
        <v>28</v>
      </c>
      <c r="G49" s="36">
        <v>0</v>
      </c>
      <c r="I49" s="35"/>
      <c r="J49" s="35"/>
      <c r="K49" s="35"/>
      <c r="L49" s="35"/>
      <c r="M49" s="35"/>
    </row>
    <row r="50" spans="1:13">
      <c r="A50" s="28">
        <v>89</v>
      </c>
      <c r="B50" s="31" t="s">
        <v>45</v>
      </c>
      <c r="C50" s="36">
        <v>9</v>
      </c>
      <c r="D50" s="36">
        <v>15</v>
      </c>
      <c r="E50" s="36">
        <v>0</v>
      </c>
      <c r="F50" s="36">
        <v>13</v>
      </c>
      <c r="G50" s="36">
        <v>0</v>
      </c>
      <c r="I50" s="35"/>
      <c r="J50" s="35"/>
      <c r="K50" s="35"/>
      <c r="L50" s="35"/>
      <c r="M50" s="35"/>
    </row>
    <row r="51" spans="1:13">
      <c r="A51" s="28">
        <v>93</v>
      </c>
      <c r="B51" s="31" t="s">
        <v>61</v>
      </c>
      <c r="C51" s="36">
        <v>17</v>
      </c>
      <c r="D51" s="36">
        <v>22</v>
      </c>
      <c r="E51" s="36">
        <v>0</v>
      </c>
      <c r="F51" s="36">
        <v>7</v>
      </c>
      <c r="G51" s="36">
        <v>0</v>
      </c>
      <c r="I51" s="35"/>
      <c r="J51" s="35"/>
      <c r="K51" s="35"/>
      <c r="L51" s="35"/>
      <c r="M51" s="35"/>
    </row>
    <row r="52" spans="1:13">
      <c r="A52" s="28">
        <v>95</v>
      </c>
      <c r="B52" s="31" t="s">
        <v>51</v>
      </c>
      <c r="C52" s="36">
        <v>23</v>
      </c>
      <c r="D52" s="36">
        <v>32</v>
      </c>
      <c r="E52" s="36">
        <v>0</v>
      </c>
      <c r="F52" s="36">
        <v>13</v>
      </c>
      <c r="G52" s="36">
        <v>5</v>
      </c>
      <c r="I52" s="35"/>
      <c r="J52" s="35"/>
      <c r="K52" s="35"/>
      <c r="L52" s="35"/>
      <c r="M52" s="35"/>
    </row>
    <row r="53" spans="1:13">
      <c r="A53" s="28">
        <v>97</v>
      </c>
      <c r="B53" s="31" t="s">
        <v>53</v>
      </c>
      <c r="C53" s="36">
        <v>25</v>
      </c>
      <c r="D53" s="36">
        <v>37</v>
      </c>
      <c r="E53" s="36">
        <v>0</v>
      </c>
      <c r="F53" s="36">
        <v>19</v>
      </c>
      <c r="G53" s="36">
        <v>1</v>
      </c>
      <c r="I53" s="35"/>
      <c r="J53" s="35"/>
      <c r="K53" s="35"/>
      <c r="L53" s="35"/>
      <c r="M53" s="35"/>
    </row>
    <row r="54" spans="1:13">
      <c r="A54" s="38">
        <v>77</v>
      </c>
      <c r="B54" s="53" t="s">
        <v>25</v>
      </c>
      <c r="C54" s="51">
        <v>151</v>
      </c>
      <c r="D54" s="51">
        <v>289</v>
      </c>
      <c r="E54" s="51">
        <v>1</v>
      </c>
      <c r="F54" s="51">
        <v>27</v>
      </c>
      <c r="G54" s="51">
        <v>9</v>
      </c>
      <c r="I54" s="35"/>
      <c r="J54" s="35"/>
      <c r="K54" s="35"/>
      <c r="L54" s="35"/>
      <c r="M54" s="35"/>
    </row>
    <row r="55" spans="1:13">
      <c r="B55" s="39"/>
    </row>
    <row r="56" spans="1:13">
      <c r="B56" s="31" t="s">
        <v>84</v>
      </c>
    </row>
    <row r="57" spans="1:13" ht="12" customHeight="1">
      <c r="B57" s="71"/>
      <c r="C57" s="71"/>
      <c r="D57" s="71"/>
      <c r="E57" s="62"/>
      <c r="F57" s="62"/>
      <c r="G57" s="62"/>
    </row>
    <row r="58" spans="1:13">
      <c r="B58" s="41" t="s">
        <v>70</v>
      </c>
    </row>
  </sheetData>
  <mergeCells count="5">
    <mergeCell ref="B1:G1"/>
    <mergeCell ref="C2:D2"/>
    <mergeCell ref="E2:F2"/>
    <mergeCell ref="G2:G3"/>
    <mergeCell ref="B57:D57"/>
  </mergeCells>
  <pageMargins left="0.75" right="0.75" top="1" bottom="1" header="0.5" footer="0.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showGridLines="0" zoomScale="85" zoomScaleNormal="85" workbookViewId="0">
      <pane xSplit="2" ySplit="3" topLeftCell="C16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2.75"/>
  <cols>
    <col min="1" max="1" width="8" style="31" hidden="1" customWidth="1"/>
    <col min="2" max="2" width="24.7109375" style="31" customWidth="1"/>
    <col min="3" max="3" width="21.28515625" style="31" customWidth="1"/>
    <col min="4" max="4" width="19.5703125" style="31" customWidth="1"/>
    <col min="5" max="5" width="17.7109375" style="31" customWidth="1"/>
    <col min="6" max="6" width="16" style="31" customWidth="1"/>
    <col min="7" max="7" width="17.7109375" style="31" customWidth="1"/>
    <col min="8" max="256" width="9.140625" style="31"/>
    <col min="257" max="257" width="0" style="31" hidden="1" customWidth="1"/>
    <col min="258" max="258" width="24.7109375" style="31" customWidth="1"/>
    <col min="259" max="259" width="21.28515625" style="31" customWidth="1"/>
    <col min="260" max="260" width="19.5703125" style="31" customWidth="1"/>
    <col min="261" max="261" width="17.7109375" style="31" customWidth="1"/>
    <col min="262" max="262" width="16" style="31" customWidth="1"/>
    <col min="263" max="263" width="17.7109375" style="31" customWidth="1"/>
    <col min="264" max="512" width="9.140625" style="31"/>
    <col min="513" max="513" width="0" style="31" hidden="1" customWidth="1"/>
    <col min="514" max="514" width="24.7109375" style="31" customWidth="1"/>
    <col min="515" max="515" width="21.28515625" style="31" customWidth="1"/>
    <col min="516" max="516" width="19.5703125" style="31" customWidth="1"/>
    <col min="517" max="517" width="17.7109375" style="31" customWidth="1"/>
    <col min="518" max="518" width="16" style="31" customWidth="1"/>
    <col min="519" max="519" width="17.7109375" style="31" customWidth="1"/>
    <col min="520" max="768" width="9.140625" style="31"/>
    <col min="769" max="769" width="0" style="31" hidden="1" customWidth="1"/>
    <col min="770" max="770" width="24.7109375" style="31" customWidth="1"/>
    <col min="771" max="771" width="21.28515625" style="31" customWidth="1"/>
    <col min="772" max="772" width="19.5703125" style="31" customWidth="1"/>
    <col min="773" max="773" width="17.7109375" style="31" customWidth="1"/>
    <col min="774" max="774" width="16" style="31" customWidth="1"/>
    <col min="775" max="775" width="17.7109375" style="31" customWidth="1"/>
    <col min="776" max="1024" width="9.140625" style="31"/>
    <col min="1025" max="1025" width="0" style="31" hidden="1" customWidth="1"/>
    <col min="1026" max="1026" width="24.7109375" style="31" customWidth="1"/>
    <col min="1027" max="1027" width="21.28515625" style="31" customWidth="1"/>
    <col min="1028" max="1028" width="19.5703125" style="31" customWidth="1"/>
    <col min="1029" max="1029" width="17.7109375" style="31" customWidth="1"/>
    <col min="1030" max="1030" width="16" style="31" customWidth="1"/>
    <col min="1031" max="1031" width="17.7109375" style="31" customWidth="1"/>
    <col min="1032" max="1280" width="9.140625" style="31"/>
    <col min="1281" max="1281" width="0" style="31" hidden="1" customWidth="1"/>
    <col min="1282" max="1282" width="24.7109375" style="31" customWidth="1"/>
    <col min="1283" max="1283" width="21.28515625" style="31" customWidth="1"/>
    <col min="1284" max="1284" width="19.5703125" style="31" customWidth="1"/>
    <col min="1285" max="1285" width="17.7109375" style="31" customWidth="1"/>
    <col min="1286" max="1286" width="16" style="31" customWidth="1"/>
    <col min="1287" max="1287" width="17.7109375" style="31" customWidth="1"/>
    <col min="1288" max="1536" width="9.140625" style="31"/>
    <col min="1537" max="1537" width="0" style="31" hidden="1" customWidth="1"/>
    <col min="1538" max="1538" width="24.7109375" style="31" customWidth="1"/>
    <col min="1539" max="1539" width="21.28515625" style="31" customWidth="1"/>
    <col min="1540" max="1540" width="19.5703125" style="31" customWidth="1"/>
    <col min="1541" max="1541" width="17.7109375" style="31" customWidth="1"/>
    <col min="1542" max="1542" width="16" style="31" customWidth="1"/>
    <col min="1543" max="1543" width="17.7109375" style="31" customWidth="1"/>
    <col min="1544" max="1792" width="9.140625" style="31"/>
    <col min="1793" max="1793" width="0" style="31" hidden="1" customWidth="1"/>
    <col min="1794" max="1794" width="24.7109375" style="31" customWidth="1"/>
    <col min="1795" max="1795" width="21.28515625" style="31" customWidth="1"/>
    <col min="1796" max="1796" width="19.5703125" style="31" customWidth="1"/>
    <col min="1797" max="1797" width="17.7109375" style="31" customWidth="1"/>
    <col min="1798" max="1798" width="16" style="31" customWidth="1"/>
    <col min="1799" max="1799" width="17.7109375" style="31" customWidth="1"/>
    <col min="1800" max="2048" width="9.140625" style="31"/>
    <col min="2049" max="2049" width="0" style="31" hidden="1" customWidth="1"/>
    <col min="2050" max="2050" width="24.7109375" style="31" customWidth="1"/>
    <col min="2051" max="2051" width="21.28515625" style="31" customWidth="1"/>
    <col min="2052" max="2052" width="19.5703125" style="31" customWidth="1"/>
    <col min="2053" max="2053" width="17.7109375" style="31" customWidth="1"/>
    <col min="2054" max="2054" width="16" style="31" customWidth="1"/>
    <col min="2055" max="2055" width="17.7109375" style="31" customWidth="1"/>
    <col min="2056" max="2304" width="9.140625" style="31"/>
    <col min="2305" max="2305" width="0" style="31" hidden="1" customWidth="1"/>
    <col min="2306" max="2306" width="24.7109375" style="31" customWidth="1"/>
    <col min="2307" max="2307" width="21.28515625" style="31" customWidth="1"/>
    <col min="2308" max="2308" width="19.5703125" style="31" customWidth="1"/>
    <col min="2309" max="2309" width="17.7109375" style="31" customWidth="1"/>
    <col min="2310" max="2310" width="16" style="31" customWidth="1"/>
    <col min="2311" max="2311" width="17.7109375" style="31" customWidth="1"/>
    <col min="2312" max="2560" width="9.140625" style="31"/>
    <col min="2561" max="2561" width="0" style="31" hidden="1" customWidth="1"/>
    <col min="2562" max="2562" width="24.7109375" style="31" customWidth="1"/>
    <col min="2563" max="2563" width="21.28515625" style="31" customWidth="1"/>
    <col min="2564" max="2564" width="19.5703125" style="31" customWidth="1"/>
    <col min="2565" max="2565" width="17.7109375" style="31" customWidth="1"/>
    <col min="2566" max="2566" width="16" style="31" customWidth="1"/>
    <col min="2567" max="2567" width="17.7109375" style="31" customWidth="1"/>
    <col min="2568" max="2816" width="9.140625" style="31"/>
    <col min="2817" max="2817" width="0" style="31" hidden="1" customWidth="1"/>
    <col min="2818" max="2818" width="24.7109375" style="31" customWidth="1"/>
    <col min="2819" max="2819" width="21.28515625" style="31" customWidth="1"/>
    <col min="2820" max="2820" width="19.5703125" style="31" customWidth="1"/>
    <col min="2821" max="2821" width="17.7109375" style="31" customWidth="1"/>
    <col min="2822" max="2822" width="16" style="31" customWidth="1"/>
    <col min="2823" max="2823" width="17.7109375" style="31" customWidth="1"/>
    <col min="2824" max="3072" width="9.140625" style="31"/>
    <col min="3073" max="3073" width="0" style="31" hidden="1" customWidth="1"/>
    <col min="3074" max="3074" width="24.7109375" style="31" customWidth="1"/>
    <col min="3075" max="3075" width="21.28515625" style="31" customWidth="1"/>
    <col min="3076" max="3076" width="19.5703125" style="31" customWidth="1"/>
    <col min="3077" max="3077" width="17.7109375" style="31" customWidth="1"/>
    <col min="3078" max="3078" width="16" style="31" customWidth="1"/>
    <col min="3079" max="3079" width="17.7109375" style="31" customWidth="1"/>
    <col min="3080" max="3328" width="9.140625" style="31"/>
    <col min="3329" max="3329" width="0" style="31" hidden="1" customWidth="1"/>
    <col min="3330" max="3330" width="24.7109375" style="31" customWidth="1"/>
    <col min="3331" max="3331" width="21.28515625" style="31" customWidth="1"/>
    <col min="3332" max="3332" width="19.5703125" style="31" customWidth="1"/>
    <col min="3333" max="3333" width="17.7109375" style="31" customWidth="1"/>
    <col min="3334" max="3334" width="16" style="31" customWidth="1"/>
    <col min="3335" max="3335" width="17.7109375" style="31" customWidth="1"/>
    <col min="3336" max="3584" width="9.140625" style="31"/>
    <col min="3585" max="3585" width="0" style="31" hidden="1" customWidth="1"/>
    <col min="3586" max="3586" width="24.7109375" style="31" customWidth="1"/>
    <col min="3587" max="3587" width="21.28515625" style="31" customWidth="1"/>
    <col min="3588" max="3588" width="19.5703125" style="31" customWidth="1"/>
    <col min="3589" max="3589" width="17.7109375" style="31" customWidth="1"/>
    <col min="3590" max="3590" width="16" style="31" customWidth="1"/>
    <col min="3591" max="3591" width="17.7109375" style="31" customWidth="1"/>
    <col min="3592" max="3840" width="9.140625" style="31"/>
    <col min="3841" max="3841" width="0" style="31" hidden="1" customWidth="1"/>
    <col min="3842" max="3842" width="24.7109375" style="31" customWidth="1"/>
    <col min="3843" max="3843" width="21.28515625" style="31" customWidth="1"/>
    <col min="3844" max="3844" width="19.5703125" style="31" customWidth="1"/>
    <col min="3845" max="3845" width="17.7109375" style="31" customWidth="1"/>
    <col min="3846" max="3846" width="16" style="31" customWidth="1"/>
    <col min="3847" max="3847" width="17.7109375" style="31" customWidth="1"/>
    <col min="3848" max="4096" width="9.140625" style="31"/>
    <col min="4097" max="4097" width="0" style="31" hidden="1" customWidth="1"/>
    <col min="4098" max="4098" width="24.7109375" style="31" customWidth="1"/>
    <col min="4099" max="4099" width="21.28515625" style="31" customWidth="1"/>
    <col min="4100" max="4100" width="19.5703125" style="31" customWidth="1"/>
    <col min="4101" max="4101" width="17.7109375" style="31" customWidth="1"/>
    <col min="4102" max="4102" width="16" style="31" customWidth="1"/>
    <col min="4103" max="4103" width="17.7109375" style="31" customWidth="1"/>
    <col min="4104" max="4352" width="9.140625" style="31"/>
    <col min="4353" max="4353" width="0" style="31" hidden="1" customWidth="1"/>
    <col min="4354" max="4354" width="24.7109375" style="31" customWidth="1"/>
    <col min="4355" max="4355" width="21.28515625" style="31" customWidth="1"/>
    <col min="4356" max="4356" width="19.5703125" style="31" customWidth="1"/>
    <col min="4357" max="4357" width="17.7109375" style="31" customWidth="1"/>
    <col min="4358" max="4358" width="16" style="31" customWidth="1"/>
    <col min="4359" max="4359" width="17.7109375" style="31" customWidth="1"/>
    <col min="4360" max="4608" width="9.140625" style="31"/>
    <col min="4609" max="4609" width="0" style="31" hidden="1" customWidth="1"/>
    <col min="4610" max="4610" width="24.7109375" style="31" customWidth="1"/>
    <col min="4611" max="4611" width="21.28515625" style="31" customWidth="1"/>
    <col min="4612" max="4612" width="19.5703125" style="31" customWidth="1"/>
    <col min="4613" max="4613" width="17.7109375" style="31" customWidth="1"/>
    <col min="4614" max="4614" width="16" style="31" customWidth="1"/>
    <col min="4615" max="4615" width="17.7109375" style="31" customWidth="1"/>
    <col min="4616" max="4864" width="9.140625" style="31"/>
    <col min="4865" max="4865" width="0" style="31" hidden="1" customWidth="1"/>
    <col min="4866" max="4866" width="24.7109375" style="31" customWidth="1"/>
    <col min="4867" max="4867" width="21.28515625" style="31" customWidth="1"/>
    <col min="4868" max="4868" width="19.5703125" style="31" customWidth="1"/>
    <col min="4869" max="4869" width="17.7109375" style="31" customWidth="1"/>
    <col min="4870" max="4870" width="16" style="31" customWidth="1"/>
    <col min="4871" max="4871" width="17.7109375" style="31" customWidth="1"/>
    <col min="4872" max="5120" width="9.140625" style="31"/>
    <col min="5121" max="5121" width="0" style="31" hidden="1" customWidth="1"/>
    <col min="5122" max="5122" width="24.7109375" style="31" customWidth="1"/>
    <col min="5123" max="5123" width="21.28515625" style="31" customWidth="1"/>
    <col min="5124" max="5124" width="19.5703125" style="31" customWidth="1"/>
    <col min="5125" max="5125" width="17.7109375" style="31" customWidth="1"/>
    <col min="5126" max="5126" width="16" style="31" customWidth="1"/>
    <col min="5127" max="5127" width="17.7109375" style="31" customWidth="1"/>
    <col min="5128" max="5376" width="9.140625" style="31"/>
    <col min="5377" max="5377" width="0" style="31" hidden="1" customWidth="1"/>
    <col min="5378" max="5378" width="24.7109375" style="31" customWidth="1"/>
    <col min="5379" max="5379" width="21.28515625" style="31" customWidth="1"/>
    <col min="5380" max="5380" width="19.5703125" style="31" customWidth="1"/>
    <col min="5381" max="5381" width="17.7109375" style="31" customWidth="1"/>
    <col min="5382" max="5382" width="16" style="31" customWidth="1"/>
    <col min="5383" max="5383" width="17.7109375" style="31" customWidth="1"/>
    <col min="5384" max="5632" width="9.140625" style="31"/>
    <col min="5633" max="5633" width="0" style="31" hidden="1" customWidth="1"/>
    <col min="5634" max="5634" width="24.7109375" style="31" customWidth="1"/>
    <col min="5635" max="5635" width="21.28515625" style="31" customWidth="1"/>
    <col min="5636" max="5636" width="19.5703125" style="31" customWidth="1"/>
    <col min="5637" max="5637" width="17.7109375" style="31" customWidth="1"/>
    <col min="5638" max="5638" width="16" style="31" customWidth="1"/>
    <col min="5639" max="5639" width="17.7109375" style="31" customWidth="1"/>
    <col min="5640" max="5888" width="9.140625" style="31"/>
    <col min="5889" max="5889" width="0" style="31" hidden="1" customWidth="1"/>
    <col min="5890" max="5890" width="24.7109375" style="31" customWidth="1"/>
    <col min="5891" max="5891" width="21.28515625" style="31" customWidth="1"/>
    <col min="5892" max="5892" width="19.5703125" style="31" customWidth="1"/>
    <col min="5893" max="5893" width="17.7109375" style="31" customWidth="1"/>
    <col min="5894" max="5894" width="16" style="31" customWidth="1"/>
    <col min="5895" max="5895" width="17.7109375" style="31" customWidth="1"/>
    <col min="5896" max="6144" width="9.140625" style="31"/>
    <col min="6145" max="6145" width="0" style="31" hidden="1" customWidth="1"/>
    <col min="6146" max="6146" width="24.7109375" style="31" customWidth="1"/>
    <col min="6147" max="6147" width="21.28515625" style="31" customWidth="1"/>
    <col min="6148" max="6148" width="19.5703125" style="31" customWidth="1"/>
    <col min="6149" max="6149" width="17.7109375" style="31" customWidth="1"/>
    <col min="6150" max="6150" width="16" style="31" customWidth="1"/>
    <col min="6151" max="6151" width="17.7109375" style="31" customWidth="1"/>
    <col min="6152" max="6400" width="9.140625" style="31"/>
    <col min="6401" max="6401" width="0" style="31" hidden="1" customWidth="1"/>
    <col min="6402" max="6402" width="24.7109375" style="31" customWidth="1"/>
    <col min="6403" max="6403" width="21.28515625" style="31" customWidth="1"/>
    <col min="6404" max="6404" width="19.5703125" style="31" customWidth="1"/>
    <col min="6405" max="6405" width="17.7109375" style="31" customWidth="1"/>
    <col min="6406" max="6406" width="16" style="31" customWidth="1"/>
    <col min="6407" max="6407" width="17.7109375" style="31" customWidth="1"/>
    <col min="6408" max="6656" width="9.140625" style="31"/>
    <col min="6657" max="6657" width="0" style="31" hidden="1" customWidth="1"/>
    <col min="6658" max="6658" width="24.7109375" style="31" customWidth="1"/>
    <col min="6659" max="6659" width="21.28515625" style="31" customWidth="1"/>
    <col min="6660" max="6660" width="19.5703125" style="31" customWidth="1"/>
    <col min="6661" max="6661" width="17.7109375" style="31" customWidth="1"/>
    <col min="6662" max="6662" width="16" style="31" customWidth="1"/>
    <col min="6663" max="6663" width="17.7109375" style="31" customWidth="1"/>
    <col min="6664" max="6912" width="9.140625" style="31"/>
    <col min="6913" max="6913" width="0" style="31" hidden="1" customWidth="1"/>
    <col min="6914" max="6914" width="24.7109375" style="31" customWidth="1"/>
    <col min="6915" max="6915" width="21.28515625" style="31" customWidth="1"/>
    <col min="6916" max="6916" width="19.5703125" style="31" customWidth="1"/>
    <col min="6917" max="6917" width="17.7109375" style="31" customWidth="1"/>
    <col min="6918" max="6918" width="16" style="31" customWidth="1"/>
    <col min="6919" max="6919" width="17.7109375" style="31" customWidth="1"/>
    <col min="6920" max="7168" width="9.140625" style="31"/>
    <col min="7169" max="7169" width="0" style="31" hidden="1" customWidth="1"/>
    <col min="7170" max="7170" width="24.7109375" style="31" customWidth="1"/>
    <col min="7171" max="7171" width="21.28515625" style="31" customWidth="1"/>
    <col min="7172" max="7172" width="19.5703125" style="31" customWidth="1"/>
    <col min="7173" max="7173" width="17.7109375" style="31" customWidth="1"/>
    <col min="7174" max="7174" width="16" style="31" customWidth="1"/>
    <col min="7175" max="7175" width="17.7109375" style="31" customWidth="1"/>
    <col min="7176" max="7424" width="9.140625" style="31"/>
    <col min="7425" max="7425" width="0" style="31" hidden="1" customWidth="1"/>
    <col min="7426" max="7426" width="24.7109375" style="31" customWidth="1"/>
    <col min="7427" max="7427" width="21.28515625" style="31" customWidth="1"/>
    <col min="7428" max="7428" width="19.5703125" style="31" customWidth="1"/>
    <col min="7429" max="7429" width="17.7109375" style="31" customWidth="1"/>
    <col min="7430" max="7430" width="16" style="31" customWidth="1"/>
    <col min="7431" max="7431" width="17.7109375" style="31" customWidth="1"/>
    <col min="7432" max="7680" width="9.140625" style="31"/>
    <col min="7681" max="7681" width="0" style="31" hidden="1" customWidth="1"/>
    <col min="7682" max="7682" width="24.7109375" style="31" customWidth="1"/>
    <col min="7683" max="7683" width="21.28515625" style="31" customWidth="1"/>
    <col min="7684" max="7684" width="19.5703125" style="31" customWidth="1"/>
    <col min="7685" max="7685" width="17.7109375" style="31" customWidth="1"/>
    <col min="7686" max="7686" width="16" style="31" customWidth="1"/>
    <col min="7687" max="7687" width="17.7109375" style="31" customWidth="1"/>
    <col min="7688" max="7936" width="9.140625" style="31"/>
    <col min="7937" max="7937" width="0" style="31" hidden="1" customWidth="1"/>
    <col min="7938" max="7938" width="24.7109375" style="31" customWidth="1"/>
    <col min="7939" max="7939" width="21.28515625" style="31" customWidth="1"/>
    <col min="7940" max="7940" width="19.5703125" style="31" customWidth="1"/>
    <col min="7941" max="7941" width="17.7109375" style="31" customWidth="1"/>
    <col min="7942" max="7942" width="16" style="31" customWidth="1"/>
    <col min="7943" max="7943" width="17.7109375" style="31" customWidth="1"/>
    <col min="7944" max="8192" width="9.140625" style="31"/>
    <col min="8193" max="8193" width="0" style="31" hidden="1" customWidth="1"/>
    <col min="8194" max="8194" width="24.7109375" style="31" customWidth="1"/>
    <col min="8195" max="8195" width="21.28515625" style="31" customWidth="1"/>
    <col min="8196" max="8196" width="19.5703125" style="31" customWidth="1"/>
    <col min="8197" max="8197" width="17.7109375" style="31" customWidth="1"/>
    <col min="8198" max="8198" width="16" style="31" customWidth="1"/>
    <col min="8199" max="8199" width="17.7109375" style="31" customWidth="1"/>
    <col min="8200" max="8448" width="9.140625" style="31"/>
    <col min="8449" max="8449" width="0" style="31" hidden="1" customWidth="1"/>
    <col min="8450" max="8450" width="24.7109375" style="31" customWidth="1"/>
    <col min="8451" max="8451" width="21.28515625" style="31" customWidth="1"/>
    <col min="8452" max="8452" width="19.5703125" style="31" customWidth="1"/>
    <col min="8453" max="8453" width="17.7109375" style="31" customWidth="1"/>
    <col min="8454" max="8454" width="16" style="31" customWidth="1"/>
    <col min="8455" max="8455" width="17.7109375" style="31" customWidth="1"/>
    <col min="8456" max="8704" width="9.140625" style="31"/>
    <col min="8705" max="8705" width="0" style="31" hidden="1" customWidth="1"/>
    <col min="8706" max="8706" width="24.7109375" style="31" customWidth="1"/>
    <col min="8707" max="8707" width="21.28515625" style="31" customWidth="1"/>
    <col min="8708" max="8708" width="19.5703125" style="31" customWidth="1"/>
    <col min="8709" max="8709" width="17.7109375" style="31" customWidth="1"/>
    <col min="8710" max="8710" width="16" style="31" customWidth="1"/>
    <col min="8711" max="8711" width="17.7109375" style="31" customWidth="1"/>
    <col min="8712" max="8960" width="9.140625" style="31"/>
    <col min="8961" max="8961" width="0" style="31" hidden="1" customWidth="1"/>
    <col min="8962" max="8962" width="24.7109375" style="31" customWidth="1"/>
    <col min="8963" max="8963" width="21.28515625" style="31" customWidth="1"/>
    <col min="8964" max="8964" width="19.5703125" style="31" customWidth="1"/>
    <col min="8965" max="8965" width="17.7109375" style="31" customWidth="1"/>
    <col min="8966" max="8966" width="16" style="31" customWidth="1"/>
    <col min="8967" max="8967" width="17.7109375" style="31" customWidth="1"/>
    <col min="8968" max="9216" width="9.140625" style="31"/>
    <col min="9217" max="9217" width="0" style="31" hidden="1" customWidth="1"/>
    <col min="9218" max="9218" width="24.7109375" style="31" customWidth="1"/>
    <col min="9219" max="9219" width="21.28515625" style="31" customWidth="1"/>
    <col min="9220" max="9220" width="19.5703125" style="31" customWidth="1"/>
    <col min="9221" max="9221" width="17.7109375" style="31" customWidth="1"/>
    <col min="9222" max="9222" width="16" style="31" customWidth="1"/>
    <col min="9223" max="9223" width="17.7109375" style="31" customWidth="1"/>
    <col min="9224" max="9472" width="9.140625" style="31"/>
    <col min="9473" max="9473" width="0" style="31" hidden="1" customWidth="1"/>
    <col min="9474" max="9474" width="24.7109375" style="31" customWidth="1"/>
    <col min="9475" max="9475" width="21.28515625" style="31" customWidth="1"/>
    <col min="9476" max="9476" width="19.5703125" style="31" customWidth="1"/>
    <col min="9477" max="9477" width="17.7109375" style="31" customWidth="1"/>
    <col min="9478" max="9478" width="16" style="31" customWidth="1"/>
    <col min="9479" max="9479" width="17.7109375" style="31" customWidth="1"/>
    <col min="9480" max="9728" width="9.140625" style="31"/>
    <col min="9729" max="9729" width="0" style="31" hidden="1" customWidth="1"/>
    <col min="9730" max="9730" width="24.7109375" style="31" customWidth="1"/>
    <col min="9731" max="9731" width="21.28515625" style="31" customWidth="1"/>
    <col min="9732" max="9732" width="19.5703125" style="31" customWidth="1"/>
    <col min="9733" max="9733" width="17.7109375" style="31" customWidth="1"/>
    <col min="9734" max="9734" width="16" style="31" customWidth="1"/>
    <col min="9735" max="9735" width="17.7109375" style="31" customWidth="1"/>
    <col min="9736" max="9984" width="9.140625" style="31"/>
    <col min="9985" max="9985" width="0" style="31" hidden="1" customWidth="1"/>
    <col min="9986" max="9986" width="24.7109375" style="31" customWidth="1"/>
    <col min="9987" max="9987" width="21.28515625" style="31" customWidth="1"/>
    <col min="9988" max="9988" width="19.5703125" style="31" customWidth="1"/>
    <col min="9989" max="9989" width="17.7109375" style="31" customWidth="1"/>
    <col min="9990" max="9990" width="16" style="31" customWidth="1"/>
    <col min="9991" max="9991" width="17.7109375" style="31" customWidth="1"/>
    <col min="9992" max="10240" width="9.140625" style="31"/>
    <col min="10241" max="10241" width="0" style="31" hidden="1" customWidth="1"/>
    <col min="10242" max="10242" width="24.7109375" style="31" customWidth="1"/>
    <col min="10243" max="10243" width="21.28515625" style="31" customWidth="1"/>
    <col min="10244" max="10244" width="19.5703125" style="31" customWidth="1"/>
    <col min="10245" max="10245" width="17.7109375" style="31" customWidth="1"/>
    <col min="10246" max="10246" width="16" style="31" customWidth="1"/>
    <col min="10247" max="10247" width="17.7109375" style="31" customWidth="1"/>
    <col min="10248" max="10496" width="9.140625" style="31"/>
    <col min="10497" max="10497" width="0" style="31" hidden="1" customWidth="1"/>
    <col min="10498" max="10498" width="24.7109375" style="31" customWidth="1"/>
    <col min="10499" max="10499" width="21.28515625" style="31" customWidth="1"/>
    <col min="10500" max="10500" width="19.5703125" style="31" customWidth="1"/>
    <col min="10501" max="10501" width="17.7109375" style="31" customWidth="1"/>
    <col min="10502" max="10502" width="16" style="31" customWidth="1"/>
    <col min="10503" max="10503" width="17.7109375" style="31" customWidth="1"/>
    <col min="10504" max="10752" width="9.140625" style="31"/>
    <col min="10753" max="10753" width="0" style="31" hidden="1" customWidth="1"/>
    <col min="10754" max="10754" width="24.7109375" style="31" customWidth="1"/>
    <col min="10755" max="10755" width="21.28515625" style="31" customWidth="1"/>
    <col min="10756" max="10756" width="19.5703125" style="31" customWidth="1"/>
    <col min="10757" max="10757" width="17.7109375" style="31" customWidth="1"/>
    <col min="10758" max="10758" width="16" style="31" customWidth="1"/>
    <col min="10759" max="10759" width="17.7109375" style="31" customWidth="1"/>
    <col min="10760" max="11008" width="9.140625" style="31"/>
    <col min="11009" max="11009" width="0" style="31" hidden="1" customWidth="1"/>
    <col min="11010" max="11010" width="24.7109375" style="31" customWidth="1"/>
    <col min="11011" max="11011" width="21.28515625" style="31" customWidth="1"/>
    <col min="11012" max="11012" width="19.5703125" style="31" customWidth="1"/>
    <col min="11013" max="11013" width="17.7109375" style="31" customWidth="1"/>
    <col min="11014" max="11014" width="16" style="31" customWidth="1"/>
    <col min="11015" max="11015" width="17.7109375" style="31" customWidth="1"/>
    <col min="11016" max="11264" width="9.140625" style="31"/>
    <col min="11265" max="11265" width="0" style="31" hidden="1" customWidth="1"/>
    <col min="11266" max="11266" width="24.7109375" style="31" customWidth="1"/>
    <col min="11267" max="11267" width="21.28515625" style="31" customWidth="1"/>
    <col min="11268" max="11268" width="19.5703125" style="31" customWidth="1"/>
    <col min="11269" max="11269" width="17.7109375" style="31" customWidth="1"/>
    <col min="11270" max="11270" width="16" style="31" customWidth="1"/>
    <col min="11271" max="11271" width="17.7109375" style="31" customWidth="1"/>
    <col min="11272" max="11520" width="9.140625" style="31"/>
    <col min="11521" max="11521" width="0" style="31" hidden="1" customWidth="1"/>
    <col min="11522" max="11522" width="24.7109375" style="31" customWidth="1"/>
    <col min="11523" max="11523" width="21.28515625" style="31" customWidth="1"/>
    <col min="11524" max="11524" width="19.5703125" style="31" customWidth="1"/>
    <col min="11525" max="11525" width="17.7109375" style="31" customWidth="1"/>
    <col min="11526" max="11526" width="16" style="31" customWidth="1"/>
    <col min="11527" max="11527" width="17.7109375" style="31" customWidth="1"/>
    <col min="11528" max="11776" width="9.140625" style="31"/>
    <col min="11777" max="11777" width="0" style="31" hidden="1" customWidth="1"/>
    <col min="11778" max="11778" width="24.7109375" style="31" customWidth="1"/>
    <col min="11779" max="11779" width="21.28515625" style="31" customWidth="1"/>
    <col min="11780" max="11780" width="19.5703125" style="31" customWidth="1"/>
    <col min="11781" max="11781" width="17.7109375" style="31" customWidth="1"/>
    <col min="11782" max="11782" width="16" style="31" customWidth="1"/>
    <col min="11783" max="11783" width="17.7109375" style="31" customWidth="1"/>
    <col min="11784" max="12032" width="9.140625" style="31"/>
    <col min="12033" max="12033" width="0" style="31" hidden="1" customWidth="1"/>
    <col min="12034" max="12034" width="24.7109375" style="31" customWidth="1"/>
    <col min="12035" max="12035" width="21.28515625" style="31" customWidth="1"/>
    <col min="12036" max="12036" width="19.5703125" style="31" customWidth="1"/>
    <col min="12037" max="12037" width="17.7109375" style="31" customWidth="1"/>
    <col min="12038" max="12038" width="16" style="31" customWidth="1"/>
    <col min="12039" max="12039" width="17.7109375" style="31" customWidth="1"/>
    <col min="12040" max="12288" width="9.140625" style="31"/>
    <col min="12289" max="12289" width="0" style="31" hidden="1" customWidth="1"/>
    <col min="12290" max="12290" width="24.7109375" style="31" customWidth="1"/>
    <col min="12291" max="12291" width="21.28515625" style="31" customWidth="1"/>
    <col min="12292" max="12292" width="19.5703125" style="31" customWidth="1"/>
    <col min="12293" max="12293" width="17.7109375" style="31" customWidth="1"/>
    <col min="12294" max="12294" width="16" style="31" customWidth="1"/>
    <col min="12295" max="12295" width="17.7109375" style="31" customWidth="1"/>
    <col min="12296" max="12544" width="9.140625" style="31"/>
    <col min="12545" max="12545" width="0" style="31" hidden="1" customWidth="1"/>
    <col min="12546" max="12546" width="24.7109375" style="31" customWidth="1"/>
    <col min="12547" max="12547" width="21.28515625" style="31" customWidth="1"/>
    <col min="12548" max="12548" width="19.5703125" style="31" customWidth="1"/>
    <col min="12549" max="12549" width="17.7109375" style="31" customWidth="1"/>
    <col min="12550" max="12550" width="16" style="31" customWidth="1"/>
    <col min="12551" max="12551" width="17.7109375" style="31" customWidth="1"/>
    <col min="12552" max="12800" width="9.140625" style="31"/>
    <col min="12801" max="12801" width="0" style="31" hidden="1" customWidth="1"/>
    <col min="12802" max="12802" width="24.7109375" style="31" customWidth="1"/>
    <col min="12803" max="12803" width="21.28515625" style="31" customWidth="1"/>
    <col min="12804" max="12804" width="19.5703125" style="31" customWidth="1"/>
    <col min="12805" max="12805" width="17.7109375" style="31" customWidth="1"/>
    <col min="12806" max="12806" width="16" style="31" customWidth="1"/>
    <col min="12807" max="12807" width="17.7109375" style="31" customWidth="1"/>
    <col min="12808" max="13056" width="9.140625" style="31"/>
    <col min="13057" max="13057" width="0" style="31" hidden="1" customWidth="1"/>
    <col min="13058" max="13058" width="24.7109375" style="31" customWidth="1"/>
    <col min="13059" max="13059" width="21.28515625" style="31" customWidth="1"/>
    <col min="13060" max="13060" width="19.5703125" style="31" customWidth="1"/>
    <col min="13061" max="13061" width="17.7109375" style="31" customWidth="1"/>
    <col min="13062" max="13062" width="16" style="31" customWidth="1"/>
    <col min="13063" max="13063" width="17.7109375" style="31" customWidth="1"/>
    <col min="13064" max="13312" width="9.140625" style="31"/>
    <col min="13313" max="13313" width="0" style="31" hidden="1" customWidth="1"/>
    <col min="13314" max="13314" width="24.7109375" style="31" customWidth="1"/>
    <col min="13315" max="13315" width="21.28515625" style="31" customWidth="1"/>
    <col min="13316" max="13316" width="19.5703125" style="31" customWidth="1"/>
    <col min="13317" max="13317" width="17.7109375" style="31" customWidth="1"/>
    <col min="13318" max="13318" width="16" style="31" customWidth="1"/>
    <col min="13319" max="13319" width="17.7109375" style="31" customWidth="1"/>
    <col min="13320" max="13568" width="9.140625" style="31"/>
    <col min="13569" max="13569" width="0" style="31" hidden="1" customWidth="1"/>
    <col min="13570" max="13570" width="24.7109375" style="31" customWidth="1"/>
    <col min="13571" max="13571" width="21.28515625" style="31" customWidth="1"/>
    <col min="13572" max="13572" width="19.5703125" style="31" customWidth="1"/>
    <col min="13573" max="13573" width="17.7109375" style="31" customWidth="1"/>
    <col min="13574" max="13574" width="16" style="31" customWidth="1"/>
    <col min="13575" max="13575" width="17.7109375" style="31" customWidth="1"/>
    <col min="13576" max="13824" width="9.140625" style="31"/>
    <col min="13825" max="13825" width="0" style="31" hidden="1" customWidth="1"/>
    <col min="13826" max="13826" width="24.7109375" style="31" customWidth="1"/>
    <col min="13827" max="13827" width="21.28515625" style="31" customWidth="1"/>
    <col min="13828" max="13828" width="19.5703125" style="31" customWidth="1"/>
    <col min="13829" max="13829" width="17.7109375" style="31" customWidth="1"/>
    <col min="13830" max="13830" width="16" style="31" customWidth="1"/>
    <col min="13831" max="13831" width="17.7109375" style="31" customWidth="1"/>
    <col min="13832" max="14080" width="9.140625" style="31"/>
    <col min="14081" max="14081" width="0" style="31" hidden="1" customWidth="1"/>
    <col min="14082" max="14082" width="24.7109375" style="31" customWidth="1"/>
    <col min="14083" max="14083" width="21.28515625" style="31" customWidth="1"/>
    <col min="14084" max="14084" width="19.5703125" style="31" customWidth="1"/>
    <col min="14085" max="14085" width="17.7109375" style="31" customWidth="1"/>
    <col min="14086" max="14086" width="16" style="31" customWidth="1"/>
    <col min="14087" max="14087" width="17.7109375" style="31" customWidth="1"/>
    <col min="14088" max="14336" width="9.140625" style="31"/>
    <col min="14337" max="14337" width="0" style="31" hidden="1" customWidth="1"/>
    <col min="14338" max="14338" width="24.7109375" style="31" customWidth="1"/>
    <col min="14339" max="14339" width="21.28515625" style="31" customWidth="1"/>
    <col min="14340" max="14340" width="19.5703125" style="31" customWidth="1"/>
    <col min="14341" max="14341" width="17.7109375" style="31" customWidth="1"/>
    <col min="14342" max="14342" width="16" style="31" customWidth="1"/>
    <col min="14343" max="14343" width="17.7109375" style="31" customWidth="1"/>
    <col min="14344" max="14592" width="9.140625" style="31"/>
    <col min="14593" max="14593" width="0" style="31" hidden="1" customWidth="1"/>
    <col min="14594" max="14594" width="24.7109375" style="31" customWidth="1"/>
    <col min="14595" max="14595" width="21.28515625" style="31" customWidth="1"/>
    <col min="14596" max="14596" width="19.5703125" style="31" customWidth="1"/>
    <col min="14597" max="14597" width="17.7109375" style="31" customWidth="1"/>
    <col min="14598" max="14598" width="16" style="31" customWidth="1"/>
    <col min="14599" max="14599" width="17.7109375" style="31" customWidth="1"/>
    <col min="14600" max="14848" width="9.140625" style="31"/>
    <col min="14849" max="14849" width="0" style="31" hidden="1" customWidth="1"/>
    <col min="14850" max="14850" width="24.7109375" style="31" customWidth="1"/>
    <col min="14851" max="14851" width="21.28515625" style="31" customWidth="1"/>
    <col min="14852" max="14852" width="19.5703125" style="31" customWidth="1"/>
    <col min="14853" max="14853" width="17.7109375" style="31" customWidth="1"/>
    <col min="14854" max="14854" width="16" style="31" customWidth="1"/>
    <col min="14855" max="14855" width="17.7109375" style="31" customWidth="1"/>
    <col min="14856" max="15104" width="9.140625" style="31"/>
    <col min="15105" max="15105" width="0" style="31" hidden="1" customWidth="1"/>
    <col min="15106" max="15106" width="24.7109375" style="31" customWidth="1"/>
    <col min="15107" max="15107" width="21.28515625" style="31" customWidth="1"/>
    <col min="15108" max="15108" width="19.5703125" style="31" customWidth="1"/>
    <col min="15109" max="15109" width="17.7109375" style="31" customWidth="1"/>
    <col min="15110" max="15110" width="16" style="31" customWidth="1"/>
    <col min="15111" max="15111" width="17.7109375" style="31" customWidth="1"/>
    <col min="15112" max="15360" width="9.140625" style="31"/>
    <col min="15361" max="15361" width="0" style="31" hidden="1" customWidth="1"/>
    <col min="15362" max="15362" width="24.7109375" style="31" customWidth="1"/>
    <col min="15363" max="15363" width="21.28515625" style="31" customWidth="1"/>
    <col min="15364" max="15364" width="19.5703125" style="31" customWidth="1"/>
    <col min="15365" max="15365" width="17.7109375" style="31" customWidth="1"/>
    <col min="15366" max="15366" width="16" style="31" customWidth="1"/>
    <col min="15367" max="15367" width="17.7109375" style="31" customWidth="1"/>
    <col min="15368" max="15616" width="9.140625" style="31"/>
    <col min="15617" max="15617" width="0" style="31" hidden="1" customWidth="1"/>
    <col min="15618" max="15618" width="24.7109375" style="31" customWidth="1"/>
    <col min="15619" max="15619" width="21.28515625" style="31" customWidth="1"/>
    <col min="15620" max="15620" width="19.5703125" style="31" customWidth="1"/>
    <col min="15621" max="15621" width="17.7109375" style="31" customWidth="1"/>
    <col min="15622" max="15622" width="16" style="31" customWidth="1"/>
    <col min="15623" max="15623" width="17.7109375" style="31" customWidth="1"/>
    <col min="15624" max="15872" width="9.140625" style="31"/>
    <col min="15873" max="15873" width="0" style="31" hidden="1" customWidth="1"/>
    <col min="15874" max="15874" width="24.7109375" style="31" customWidth="1"/>
    <col min="15875" max="15875" width="21.28515625" style="31" customWidth="1"/>
    <col min="15876" max="15876" width="19.5703125" style="31" customWidth="1"/>
    <col min="15877" max="15877" width="17.7109375" style="31" customWidth="1"/>
    <col min="15878" max="15878" width="16" style="31" customWidth="1"/>
    <col min="15879" max="15879" width="17.7109375" style="31" customWidth="1"/>
    <col min="15880" max="16128" width="9.140625" style="31"/>
    <col min="16129" max="16129" width="0" style="31" hidden="1" customWidth="1"/>
    <col min="16130" max="16130" width="24.7109375" style="31" customWidth="1"/>
    <col min="16131" max="16131" width="21.28515625" style="31" customWidth="1"/>
    <col min="16132" max="16132" width="19.5703125" style="31" customWidth="1"/>
    <col min="16133" max="16133" width="17.7109375" style="31" customWidth="1"/>
    <col min="16134" max="16134" width="16" style="31" customWidth="1"/>
    <col min="16135" max="16135" width="17.7109375" style="31" customWidth="1"/>
    <col min="16136" max="16384" width="9.140625" style="31"/>
  </cols>
  <sheetData>
    <row r="1" spans="1:15" ht="33.75" customHeight="1">
      <c r="B1" s="72" t="s">
        <v>71</v>
      </c>
      <c r="C1" s="73"/>
      <c r="D1" s="73"/>
      <c r="E1" s="73"/>
      <c r="F1" s="73"/>
      <c r="G1" s="74"/>
    </row>
    <row r="2" spans="1:15" s="40" customFormat="1" ht="33.75" customHeight="1">
      <c r="B2" s="58"/>
      <c r="C2" s="68" t="s">
        <v>72</v>
      </c>
      <c r="D2" s="68"/>
      <c r="E2" s="68" t="s">
        <v>73</v>
      </c>
      <c r="F2" s="68"/>
      <c r="G2" s="69" t="s">
        <v>74</v>
      </c>
    </row>
    <row r="3" spans="1:15" ht="42.75" customHeight="1">
      <c r="B3" s="53"/>
      <c r="C3" s="32" t="s">
        <v>75</v>
      </c>
      <c r="D3" s="32" t="s">
        <v>76</v>
      </c>
      <c r="E3" s="32" t="s">
        <v>75</v>
      </c>
      <c r="F3" s="32" t="s">
        <v>76</v>
      </c>
      <c r="G3" s="70"/>
    </row>
    <row r="4" spans="1:15" ht="24" hidden="1" customHeight="1">
      <c r="C4" s="33" t="s">
        <v>77</v>
      </c>
      <c r="D4" s="33" t="s">
        <v>77</v>
      </c>
      <c r="E4" s="33" t="s">
        <v>78</v>
      </c>
      <c r="F4" s="33" t="s">
        <v>78</v>
      </c>
      <c r="G4" s="33" t="s">
        <v>79</v>
      </c>
    </row>
    <row r="5" spans="1:15" ht="21" hidden="1" customHeight="1">
      <c r="C5" s="33" t="s">
        <v>80</v>
      </c>
      <c r="D5" s="33" t="s">
        <v>81</v>
      </c>
      <c r="E5" s="33" t="s">
        <v>80</v>
      </c>
      <c r="F5" s="33" t="s">
        <v>81</v>
      </c>
      <c r="G5" s="33" t="s">
        <v>82</v>
      </c>
    </row>
    <row r="6" spans="1:15" ht="26.25" customHeight="1">
      <c r="B6" s="39" t="s">
        <v>83</v>
      </c>
      <c r="C6" s="59">
        <f>C7+C47</f>
        <v>808</v>
      </c>
      <c r="D6" s="59">
        <f t="shared" ref="D6:G6" si="0">D7+D47</f>
        <v>1121</v>
      </c>
      <c r="E6" s="59">
        <f t="shared" si="0"/>
        <v>50</v>
      </c>
      <c r="F6" s="59">
        <f t="shared" si="0"/>
        <v>685</v>
      </c>
      <c r="G6" s="59">
        <f t="shared" si="0"/>
        <v>100</v>
      </c>
      <c r="I6" s="35"/>
      <c r="J6" s="35"/>
      <c r="K6" s="35"/>
      <c r="L6" s="35"/>
      <c r="M6" s="35"/>
      <c r="N6" s="35"/>
      <c r="O6" s="35"/>
    </row>
    <row r="7" spans="1:15" s="34" customFormat="1" ht="26.25" customHeight="1">
      <c r="A7" s="27"/>
      <c r="B7" s="34" t="s">
        <v>56</v>
      </c>
      <c r="C7" s="60">
        <f>SUM(C8:C46)</f>
        <v>542</v>
      </c>
      <c r="D7" s="60">
        <f t="shared" ref="D7:G7" si="1">SUM(D8:D46)</f>
        <v>682</v>
      </c>
      <c r="E7" s="60">
        <f t="shared" si="1"/>
        <v>46</v>
      </c>
      <c r="F7" s="60">
        <f t="shared" si="1"/>
        <v>550</v>
      </c>
      <c r="G7" s="60">
        <f t="shared" si="1"/>
        <v>77</v>
      </c>
      <c r="I7" s="35"/>
      <c r="J7" s="35"/>
      <c r="K7" s="35"/>
      <c r="L7" s="35"/>
      <c r="M7" s="35"/>
    </row>
    <row r="8" spans="1:15">
      <c r="A8" s="28">
        <v>51</v>
      </c>
      <c r="B8" s="31" t="s">
        <v>9</v>
      </c>
      <c r="C8" s="36">
        <v>25</v>
      </c>
      <c r="D8" s="36">
        <v>39</v>
      </c>
      <c r="E8" s="36">
        <v>3</v>
      </c>
      <c r="F8" s="36">
        <v>25</v>
      </c>
      <c r="G8" s="36">
        <v>0</v>
      </c>
      <c r="H8" s="36"/>
      <c r="I8" s="35"/>
      <c r="J8" s="35"/>
      <c r="K8" s="35"/>
      <c r="L8" s="35"/>
      <c r="M8" s="35"/>
    </row>
    <row r="9" spans="1:15">
      <c r="A9" s="28">
        <v>52</v>
      </c>
      <c r="B9" s="31" t="s">
        <v>10</v>
      </c>
      <c r="C9" s="36">
        <v>8</v>
      </c>
      <c r="D9" s="36">
        <v>15</v>
      </c>
      <c r="E9" s="36">
        <v>0</v>
      </c>
      <c r="F9" s="36">
        <v>5</v>
      </c>
      <c r="G9" s="36">
        <v>0</v>
      </c>
      <c r="I9" s="35"/>
      <c r="J9" s="35"/>
      <c r="K9" s="35"/>
      <c r="L9" s="35"/>
      <c r="M9" s="35"/>
    </row>
    <row r="10" spans="1:15">
      <c r="A10" s="28">
        <v>86</v>
      </c>
      <c r="B10" s="31" t="s">
        <v>11</v>
      </c>
      <c r="C10" s="36">
        <v>15</v>
      </c>
      <c r="D10" s="36">
        <v>20</v>
      </c>
      <c r="E10" s="36">
        <v>0</v>
      </c>
      <c r="F10" s="36">
        <v>6</v>
      </c>
      <c r="G10" s="36">
        <v>1</v>
      </c>
      <c r="I10" s="35"/>
      <c r="J10" s="35"/>
      <c r="K10" s="35"/>
      <c r="L10" s="35"/>
      <c r="M10" s="35"/>
    </row>
    <row r="11" spans="1:15">
      <c r="A11" s="28">
        <v>53</v>
      </c>
      <c r="B11" s="31" t="s">
        <v>12</v>
      </c>
      <c r="C11" s="36">
        <v>10</v>
      </c>
      <c r="D11" s="36">
        <v>19</v>
      </c>
      <c r="E11" s="36">
        <v>1</v>
      </c>
      <c r="F11" s="36">
        <v>7</v>
      </c>
      <c r="G11" s="36">
        <v>0</v>
      </c>
      <c r="I11" s="35"/>
      <c r="J11" s="35"/>
      <c r="K11" s="35"/>
      <c r="L11" s="35"/>
      <c r="M11" s="35"/>
    </row>
    <row r="12" spans="1:15">
      <c r="A12" s="28">
        <v>54</v>
      </c>
      <c r="B12" s="31" t="s">
        <v>13</v>
      </c>
      <c r="C12" s="36">
        <v>3</v>
      </c>
      <c r="D12" s="36">
        <v>13</v>
      </c>
      <c r="E12" s="36">
        <v>1</v>
      </c>
      <c r="F12" s="36">
        <v>16</v>
      </c>
      <c r="G12" s="36">
        <v>0</v>
      </c>
      <c r="I12" s="35"/>
      <c r="J12" s="35"/>
      <c r="K12" s="35"/>
      <c r="L12" s="35"/>
      <c r="M12" s="35"/>
    </row>
    <row r="13" spans="1:15">
      <c r="A13" s="28">
        <v>55</v>
      </c>
      <c r="B13" s="31" t="s">
        <v>14</v>
      </c>
      <c r="C13" s="36">
        <v>15</v>
      </c>
      <c r="D13" s="36">
        <v>21</v>
      </c>
      <c r="E13" s="36">
        <v>0</v>
      </c>
      <c r="F13" s="36">
        <v>17</v>
      </c>
      <c r="G13" s="36">
        <v>0</v>
      </c>
      <c r="I13" s="35"/>
      <c r="J13" s="35"/>
      <c r="K13" s="35"/>
      <c r="L13" s="35"/>
      <c r="M13" s="35"/>
    </row>
    <row r="14" spans="1:15">
      <c r="A14" s="28">
        <v>56</v>
      </c>
      <c r="B14" s="31" t="s">
        <v>15</v>
      </c>
      <c r="C14" s="36">
        <v>11</v>
      </c>
      <c r="D14" s="36">
        <v>20</v>
      </c>
      <c r="E14" s="36">
        <v>0</v>
      </c>
      <c r="F14" s="36">
        <v>3</v>
      </c>
      <c r="G14" s="36">
        <v>1</v>
      </c>
      <c r="I14" s="35"/>
      <c r="J14" s="35"/>
      <c r="K14" s="35"/>
      <c r="L14" s="35"/>
      <c r="M14" s="35"/>
    </row>
    <row r="15" spans="1:15">
      <c r="A15" s="28">
        <v>57</v>
      </c>
      <c r="B15" s="31" t="s">
        <v>16</v>
      </c>
      <c r="C15" s="36">
        <v>2</v>
      </c>
      <c r="D15" s="36">
        <v>6</v>
      </c>
      <c r="E15" s="36">
        <v>0</v>
      </c>
      <c r="F15" s="36">
        <v>6</v>
      </c>
      <c r="G15" s="36">
        <v>1</v>
      </c>
      <c r="I15" s="35"/>
      <c r="J15" s="35"/>
      <c r="K15" s="35"/>
      <c r="L15" s="35"/>
      <c r="M15" s="35"/>
    </row>
    <row r="16" spans="1:15">
      <c r="A16" s="28">
        <v>59</v>
      </c>
      <c r="B16" s="31" t="s">
        <v>17</v>
      </c>
      <c r="C16" s="36">
        <v>9</v>
      </c>
      <c r="D16" s="36">
        <v>9</v>
      </c>
      <c r="E16" s="36">
        <v>0</v>
      </c>
      <c r="F16" s="36">
        <v>2</v>
      </c>
      <c r="G16" s="36">
        <v>0</v>
      </c>
      <c r="I16" s="35"/>
      <c r="J16" s="35"/>
      <c r="K16" s="35"/>
      <c r="L16" s="35"/>
      <c r="M16" s="35"/>
    </row>
    <row r="17" spans="1:13">
      <c r="A17" s="28">
        <v>60</v>
      </c>
      <c r="B17" s="31" t="s">
        <v>18</v>
      </c>
      <c r="C17" s="36">
        <v>13</v>
      </c>
      <c r="D17" s="36">
        <v>18</v>
      </c>
      <c r="E17" s="36">
        <v>0</v>
      </c>
      <c r="F17" s="36">
        <v>24</v>
      </c>
      <c r="G17" s="36">
        <v>4</v>
      </c>
      <c r="I17" s="35"/>
      <c r="J17" s="35"/>
      <c r="K17" s="35"/>
      <c r="L17" s="35"/>
      <c r="M17" s="35"/>
    </row>
    <row r="18" spans="1:13">
      <c r="A18" s="28">
        <v>61</v>
      </c>
      <c r="B18" s="37" t="s">
        <v>57</v>
      </c>
      <c r="C18" s="36">
        <v>42</v>
      </c>
      <c r="D18" s="36">
        <v>51</v>
      </c>
      <c r="E18" s="36">
        <v>4</v>
      </c>
      <c r="F18" s="36">
        <v>54</v>
      </c>
      <c r="G18" s="36">
        <v>10</v>
      </c>
      <c r="I18" s="35"/>
      <c r="J18" s="35"/>
      <c r="K18" s="35"/>
      <c r="L18" s="35"/>
      <c r="M18" s="35"/>
    </row>
    <row r="19" spans="1:13">
      <c r="A19" s="28">
        <v>62</v>
      </c>
      <c r="B19" s="31" t="s">
        <v>20</v>
      </c>
      <c r="C19" s="36">
        <v>10</v>
      </c>
      <c r="D19" s="36">
        <v>21</v>
      </c>
      <c r="E19" s="36">
        <v>1</v>
      </c>
      <c r="F19" s="36">
        <v>12</v>
      </c>
      <c r="G19" s="36">
        <v>5</v>
      </c>
      <c r="I19" s="35"/>
      <c r="J19" s="35"/>
      <c r="K19" s="35"/>
      <c r="L19" s="35"/>
      <c r="M19" s="35"/>
    </row>
    <row r="20" spans="1:13">
      <c r="A20" s="28">
        <v>58</v>
      </c>
      <c r="B20" s="31" t="s">
        <v>21</v>
      </c>
      <c r="C20" s="36">
        <v>3</v>
      </c>
      <c r="D20" s="36">
        <v>15</v>
      </c>
      <c r="E20" s="36">
        <v>1</v>
      </c>
      <c r="F20" s="36">
        <v>4</v>
      </c>
      <c r="G20" s="36">
        <v>0</v>
      </c>
      <c r="I20" s="35"/>
      <c r="J20" s="35"/>
      <c r="K20" s="35"/>
      <c r="L20" s="35"/>
      <c r="M20" s="35"/>
    </row>
    <row r="21" spans="1:13">
      <c r="A21" s="28">
        <v>63</v>
      </c>
      <c r="B21" s="31" t="s">
        <v>22</v>
      </c>
      <c r="C21" s="36">
        <v>21</v>
      </c>
      <c r="D21" s="36">
        <v>23</v>
      </c>
      <c r="E21" s="36">
        <v>2</v>
      </c>
      <c r="F21" s="36">
        <v>20</v>
      </c>
      <c r="G21" s="36">
        <v>2</v>
      </c>
      <c r="I21" s="35"/>
      <c r="J21" s="35"/>
      <c r="K21" s="35"/>
      <c r="L21" s="35"/>
      <c r="M21" s="35"/>
    </row>
    <row r="22" spans="1:13">
      <c r="A22" s="28">
        <v>64</v>
      </c>
      <c r="B22" s="31" t="s">
        <v>23</v>
      </c>
      <c r="C22" s="36">
        <v>48</v>
      </c>
      <c r="D22" s="36">
        <v>26</v>
      </c>
      <c r="E22" s="36">
        <v>3</v>
      </c>
      <c r="F22" s="36">
        <v>59</v>
      </c>
      <c r="G22" s="36">
        <v>2</v>
      </c>
      <c r="I22" s="35"/>
      <c r="J22" s="35"/>
      <c r="K22" s="35"/>
      <c r="L22" s="35"/>
      <c r="M22" s="35"/>
    </row>
    <row r="23" spans="1:13">
      <c r="A23" s="28">
        <v>65</v>
      </c>
      <c r="B23" s="31" t="s">
        <v>24</v>
      </c>
      <c r="C23" s="36">
        <v>6</v>
      </c>
      <c r="D23" s="36">
        <v>13</v>
      </c>
      <c r="E23" s="36">
        <v>0</v>
      </c>
      <c r="F23" s="36">
        <v>3</v>
      </c>
      <c r="G23" s="36">
        <v>0</v>
      </c>
      <c r="I23" s="35"/>
      <c r="J23" s="35"/>
      <c r="K23" s="35"/>
      <c r="L23" s="35"/>
      <c r="M23" s="35"/>
    </row>
    <row r="24" spans="1:13">
      <c r="A24" s="28">
        <v>67</v>
      </c>
      <c r="B24" s="31" t="s">
        <v>27</v>
      </c>
      <c r="C24" s="36">
        <v>19</v>
      </c>
      <c r="D24" s="36">
        <v>33</v>
      </c>
      <c r="E24" s="36">
        <v>12</v>
      </c>
      <c r="F24" s="36">
        <v>19</v>
      </c>
      <c r="G24" s="36">
        <v>0</v>
      </c>
      <c r="I24" s="35"/>
      <c r="J24" s="35"/>
      <c r="K24" s="35"/>
      <c r="L24" s="35"/>
      <c r="M24" s="35"/>
    </row>
    <row r="25" spans="1:13">
      <c r="A25" s="28">
        <v>68</v>
      </c>
      <c r="B25" s="31" t="s">
        <v>58</v>
      </c>
      <c r="C25" s="36">
        <v>20</v>
      </c>
      <c r="D25" s="36">
        <v>15</v>
      </c>
      <c r="E25" s="36">
        <v>0</v>
      </c>
      <c r="F25" s="36">
        <v>17</v>
      </c>
      <c r="G25" s="36">
        <v>0</v>
      </c>
      <c r="I25" s="35"/>
      <c r="J25" s="35"/>
      <c r="K25" s="35"/>
      <c r="L25" s="35"/>
      <c r="M25" s="35"/>
    </row>
    <row r="26" spans="1:13">
      <c r="A26" s="28">
        <v>69</v>
      </c>
      <c r="B26" s="31" t="s">
        <v>29</v>
      </c>
      <c r="C26" s="36">
        <v>19</v>
      </c>
      <c r="D26" s="36">
        <v>17</v>
      </c>
      <c r="E26" s="36">
        <v>2</v>
      </c>
      <c r="F26" s="36">
        <v>11</v>
      </c>
      <c r="G26" s="36">
        <v>13</v>
      </c>
      <c r="I26" s="35"/>
      <c r="J26" s="35"/>
      <c r="K26" s="35"/>
      <c r="L26" s="35"/>
      <c r="M26" s="35"/>
    </row>
    <row r="27" spans="1:13">
      <c r="A27" s="28">
        <v>70</v>
      </c>
      <c r="B27" s="31" t="s">
        <v>30</v>
      </c>
      <c r="C27" s="36">
        <v>13</v>
      </c>
      <c r="D27" s="36">
        <v>14</v>
      </c>
      <c r="E27" s="36">
        <v>3</v>
      </c>
      <c r="F27" s="36">
        <v>24</v>
      </c>
      <c r="G27" s="36">
        <v>3</v>
      </c>
      <c r="I27" s="35"/>
      <c r="J27" s="35"/>
      <c r="K27" s="35"/>
      <c r="L27" s="35"/>
      <c r="M27" s="35"/>
    </row>
    <row r="28" spans="1:13">
      <c r="A28" s="28">
        <v>71</v>
      </c>
      <c r="B28" s="31" t="s">
        <v>59</v>
      </c>
      <c r="C28" s="36">
        <v>0</v>
      </c>
      <c r="D28" s="36">
        <v>3</v>
      </c>
      <c r="E28" s="36">
        <v>0</v>
      </c>
      <c r="F28" s="36">
        <v>2</v>
      </c>
      <c r="G28" s="36">
        <v>0</v>
      </c>
      <c r="I28" s="35"/>
      <c r="J28" s="35"/>
      <c r="K28" s="35"/>
      <c r="L28" s="35"/>
      <c r="M28" s="35"/>
    </row>
    <row r="29" spans="1:13">
      <c r="A29" s="28">
        <v>73</v>
      </c>
      <c r="B29" s="31" t="s">
        <v>33</v>
      </c>
      <c r="C29" s="36">
        <v>27</v>
      </c>
      <c r="D29" s="36">
        <v>22</v>
      </c>
      <c r="E29" s="36">
        <v>1</v>
      </c>
      <c r="F29" s="36">
        <v>21</v>
      </c>
      <c r="G29" s="36">
        <v>0</v>
      </c>
      <c r="I29" s="35"/>
      <c r="J29" s="35"/>
      <c r="K29" s="35"/>
      <c r="L29" s="35"/>
      <c r="M29" s="35"/>
    </row>
    <row r="30" spans="1:13">
      <c r="A30" s="28">
        <v>74</v>
      </c>
      <c r="B30" s="31" t="s">
        <v>34</v>
      </c>
      <c r="C30" s="36">
        <v>10</v>
      </c>
      <c r="D30" s="36">
        <v>18</v>
      </c>
      <c r="E30" s="36">
        <v>0</v>
      </c>
      <c r="F30" s="36">
        <v>13</v>
      </c>
      <c r="G30" s="36">
        <v>4</v>
      </c>
      <c r="I30" s="35"/>
      <c r="J30" s="35"/>
      <c r="K30" s="35"/>
      <c r="L30" s="35"/>
      <c r="M30" s="35"/>
    </row>
    <row r="31" spans="1:13">
      <c r="A31" s="28">
        <v>75</v>
      </c>
      <c r="B31" s="31" t="s">
        <v>35</v>
      </c>
      <c r="C31" s="36">
        <v>16</v>
      </c>
      <c r="D31" s="36">
        <v>13</v>
      </c>
      <c r="E31" s="36">
        <v>1</v>
      </c>
      <c r="F31" s="36">
        <v>11</v>
      </c>
      <c r="G31" s="36">
        <v>1</v>
      </c>
      <c r="I31" s="35"/>
      <c r="J31" s="35"/>
      <c r="K31" s="35"/>
      <c r="L31" s="35"/>
      <c r="M31" s="35"/>
    </row>
    <row r="32" spans="1:13">
      <c r="A32" s="28">
        <v>76</v>
      </c>
      <c r="B32" s="31" t="s">
        <v>36</v>
      </c>
      <c r="C32" s="36">
        <v>11</v>
      </c>
      <c r="D32" s="36">
        <v>20</v>
      </c>
      <c r="E32" s="36">
        <v>2</v>
      </c>
      <c r="F32" s="36">
        <v>19</v>
      </c>
      <c r="G32" s="36">
        <v>4</v>
      </c>
      <c r="I32" s="35"/>
      <c r="J32" s="35"/>
      <c r="K32" s="35"/>
      <c r="L32" s="35"/>
      <c r="M32" s="35"/>
    </row>
    <row r="33" spans="1:13">
      <c r="A33" s="28">
        <v>79</v>
      </c>
      <c r="B33" s="31" t="s">
        <v>38</v>
      </c>
      <c r="C33" s="36">
        <v>14</v>
      </c>
      <c r="D33" s="36">
        <v>18</v>
      </c>
      <c r="E33" s="36">
        <v>2</v>
      </c>
      <c r="F33" s="36">
        <v>19</v>
      </c>
      <c r="G33" s="36">
        <v>17</v>
      </c>
      <c r="I33" s="35"/>
      <c r="J33" s="35"/>
      <c r="K33" s="35"/>
      <c r="L33" s="35"/>
      <c r="M33" s="35"/>
    </row>
    <row r="34" spans="1:13">
      <c r="A34" s="28">
        <v>80</v>
      </c>
      <c r="B34" s="31" t="s">
        <v>39</v>
      </c>
      <c r="C34" s="36">
        <v>10</v>
      </c>
      <c r="D34" s="36">
        <v>30</v>
      </c>
      <c r="E34" s="36">
        <v>0</v>
      </c>
      <c r="F34" s="36">
        <v>11</v>
      </c>
      <c r="G34" s="36">
        <v>0</v>
      </c>
      <c r="I34" s="35"/>
      <c r="J34" s="35"/>
      <c r="K34" s="35"/>
      <c r="L34" s="35"/>
      <c r="M34" s="35"/>
    </row>
    <row r="35" spans="1:13">
      <c r="A35" s="28">
        <v>81</v>
      </c>
      <c r="B35" s="31" t="s">
        <v>40</v>
      </c>
      <c r="C35" s="36">
        <v>18</v>
      </c>
      <c r="D35" s="36">
        <v>10</v>
      </c>
      <c r="E35" s="36">
        <v>5</v>
      </c>
      <c r="F35" s="36">
        <v>32</v>
      </c>
      <c r="G35" s="36">
        <v>0</v>
      </c>
      <c r="I35" s="35"/>
      <c r="J35" s="35"/>
      <c r="K35" s="35"/>
      <c r="L35" s="35"/>
      <c r="M35" s="35"/>
    </row>
    <row r="36" spans="1:13">
      <c r="A36" s="28">
        <v>83</v>
      </c>
      <c r="B36" s="31" t="s">
        <v>41</v>
      </c>
      <c r="C36" s="36">
        <v>13</v>
      </c>
      <c r="D36" s="36">
        <v>4</v>
      </c>
      <c r="E36" s="36">
        <v>1</v>
      </c>
      <c r="F36" s="36">
        <v>4</v>
      </c>
      <c r="G36" s="36">
        <v>0</v>
      </c>
      <c r="I36" s="35"/>
      <c r="J36" s="35"/>
      <c r="K36" s="35"/>
      <c r="L36" s="35"/>
      <c r="M36" s="35"/>
    </row>
    <row r="37" spans="1:13">
      <c r="A37" s="28">
        <v>84</v>
      </c>
      <c r="B37" s="31" t="s">
        <v>42</v>
      </c>
      <c r="C37" s="36">
        <v>25</v>
      </c>
      <c r="D37" s="36">
        <v>26</v>
      </c>
      <c r="E37" s="36">
        <v>0</v>
      </c>
      <c r="F37" s="36">
        <v>5</v>
      </c>
      <c r="G37" s="36">
        <v>1</v>
      </c>
      <c r="I37" s="35"/>
      <c r="J37" s="35"/>
      <c r="K37" s="35"/>
      <c r="L37" s="35"/>
      <c r="M37" s="35"/>
    </row>
    <row r="38" spans="1:13">
      <c r="A38" s="28">
        <v>85</v>
      </c>
      <c r="B38" s="31" t="s">
        <v>43</v>
      </c>
      <c r="C38" s="36">
        <v>9</v>
      </c>
      <c r="D38" s="36">
        <v>17</v>
      </c>
      <c r="E38" s="36">
        <v>0</v>
      </c>
      <c r="F38" s="36">
        <v>8</v>
      </c>
      <c r="G38" s="36">
        <v>0</v>
      </c>
      <c r="I38" s="35"/>
      <c r="J38" s="35"/>
      <c r="K38" s="35"/>
      <c r="L38" s="35"/>
      <c r="M38" s="35"/>
    </row>
    <row r="39" spans="1:13">
      <c r="A39" s="28">
        <v>87</v>
      </c>
      <c r="B39" s="31" t="s">
        <v>44</v>
      </c>
      <c r="C39" s="36">
        <v>16</v>
      </c>
      <c r="D39" s="36">
        <v>5</v>
      </c>
      <c r="E39" s="36">
        <v>0</v>
      </c>
      <c r="F39" s="36">
        <v>13</v>
      </c>
      <c r="G39" s="36">
        <v>2</v>
      </c>
      <c r="I39" s="35"/>
      <c r="J39" s="35"/>
      <c r="K39" s="35"/>
      <c r="L39" s="35"/>
      <c r="M39" s="35"/>
    </row>
    <row r="40" spans="1:13">
      <c r="A40" s="28">
        <v>90</v>
      </c>
      <c r="B40" s="31" t="s">
        <v>46</v>
      </c>
      <c r="C40" s="36">
        <v>12</v>
      </c>
      <c r="D40" s="36">
        <v>25</v>
      </c>
      <c r="E40" s="36">
        <v>0</v>
      </c>
      <c r="F40" s="36">
        <v>9</v>
      </c>
      <c r="G40" s="36">
        <v>0</v>
      </c>
      <c r="I40" s="35"/>
      <c r="J40" s="35"/>
      <c r="K40" s="35"/>
      <c r="L40" s="35"/>
      <c r="M40" s="35"/>
    </row>
    <row r="41" spans="1:13">
      <c r="A41" s="28">
        <v>91</v>
      </c>
      <c r="B41" s="31" t="s">
        <v>47</v>
      </c>
      <c r="C41" s="36">
        <v>4</v>
      </c>
      <c r="D41" s="36">
        <v>7</v>
      </c>
      <c r="E41" s="36">
        <v>0</v>
      </c>
      <c r="F41" s="36">
        <v>7</v>
      </c>
      <c r="G41" s="36">
        <v>0</v>
      </c>
      <c r="I41" s="35"/>
      <c r="J41" s="35"/>
      <c r="K41" s="35"/>
      <c r="L41" s="35"/>
      <c r="M41" s="35"/>
    </row>
    <row r="42" spans="1:13">
      <c r="A42" s="28">
        <v>92</v>
      </c>
      <c r="B42" s="31" t="s">
        <v>48</v>
      </c>
      <c r="C42" s="36">
        <v>19</v>
      </c>
      <c r="D42" s="36">
        <v>21</v>
      </c>
      <c r="E42" s="36">
        <v>0</v>
      </c>
      <c r="F42" s="36">
        <v>8</v>
      </c>
      <c r="G42" s="36">
        <v>0</v>
      </c>
      <c r="I42" s="35"/>
      <c r="J42" s="35"/>
      <c r="K42" s="35"/>
      <c r="L42" s="35"/>
      <c r="M42" s="35"/>
    </row>
    <row r="43" spans="1:13">
      <c r="A43" s="28">
        <v>94</v>
      </c>
      <c r="B43" s="31" t="s">
        <v>50</v>
      </c>
      <c r="C43" s="36">
        <v>9</v>
      </c>
      <c r="D43" s="36">
        <v>14</v>
      </c>
      <c r="E43" s="36">
        <v>1</v>
      </c>
      <c r="F43" s="36">
        <v>4</v>
      </c>
      <c r="G43" s="36">
        <v>3</v>
      </c>
      <c r="I43" s="35"/>
      <c r="J43" s="35"/>
      <c r="K43" s="35"/>
      <c r="L43" s="35"/>
      <c r="M43" s="35"/>
    </row>
    <row r="44" spans="1:13">
      <c r="A44" s="28">
        <v>96</v>
      </c>
      <c r="B44" s="31" t="s">
        <v>52</v>
      </c>
      <c r="C44" s="36">
        <v>5</v>
      </c>
      <c r="D44" s="36">
        <v>6</v>
      </c>
      <c r="E44" s="36">
        <v>0</v>
      </c>
      <c r="F44" s="36">
        <v>12</v>
      </c>
      <c r="G44" s="36">
        <v>0</v>
      </c>
      <c r="I44" s="35"/>
      <c r="J44" s="35"/>
      <c r="K44" s="35"/>
      <c r="L44" s="35"/>
      <c r="M44" s="35"/>
    </row>
    <row r="45" spans="1:13">
      <c r="A45" s="28">
        <v>98</v>
      </c>
      <c r="B45" s="31" t="s">
        <v>54</v>
      </c>
      <c r="C45" s="36">
        <v>12</v>
      </c>
      <c r="D45" s="36">
        <v>15</v>
      </c>
      <c r="E45" s="36">
        <v>0</v>
      </c>
      <c r="F45" s="36">
        <v>18</v>
      </c>
      <c r="G45" s="36">
        <v>3</v>
      </c>
      <c r="I45" s="35"/>
      <c r="J45" s="35"/>
      <c r="K45" s="35"/>
      <c r="L45" s="35"/>
      <c r="M45" s="35"/>
    </row>
    <row r="46" spans="1:13">
      <c r="A46" s="28">
        <v>72</v>
      </c>
      <c r="B46" s="31" t="s">
        <v>32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I46" s="35"/>
      <c r="J46" s="35"/>
      <c r="K46" s="35"/>
      <c r="L46" s="35"/>
      <c r="M46" s="35"/>
    </row>
    <row r="47" spans="1:13" s="34" customFormat="1" ht="26.25" customHeight="1">
      <c r="B47" s="34" t="s">
        <v>60</v>
      </c>
      <c r="C47" s="61">
        <f>SUM(C48:C54)</f>
        <v>266</v>
      </c>
      <c r="D47" s="61">
        <f t="shared" ref="D47:G47" si="2">SUM(D48:D54)</f>
        <v>439</v>
      </c>
      <c r="E47" s="61">
        <f t="shared" si="2"/>
        <v>4</v>
      </c>
      <c r="F47" s="61">
        <f t="shared" si="2"/>
        <v>135</v>
      </c>
      <c r="G47" s="61">
        <f t="shared" si="2"/>
        <v>23</v>
      </c>
      <c r="I47" s="35"/>
      <c r="J47" s="35"/>
      <c r="K47" s="35"/>
      <c r="L47" s="35"/>
      <c r="M47" s="35"/>
    </row>
    <row r="48" spans="1:13">
      <c r="A48" s="28">
        <v>66</v>
      </c>
      <c r="B48" s="31" t="s">
        <v>26</v>
      </c>
      <c r="C48" s="36">
        <v>4</v>
      </c>
      <c r="D48" s="36">
        <v>0</v>
      </c>
      <c r="E48" s="36">
        <v>0</v>
      </c>
      <c r="F48" s="36">
        <v>0</v>
      </c>
      <c r="G48" s="36">
        <v>1</v>
      </c>
      <c r="I48" s="35"/>
      <c r="J48" s="35"/>
      <c r="K48" s="35"/>
      <c r="L48" s="35"/>
      <c r="M48" s="35"/>
    </row>
    <row r="49" spans="1:13">
      <c r="A49" s="28">
        <v>78</v>
      </c>
      <c r="B49" s="31" t="s">
        <v>37</v>
      </c>
      <c r="C49" s="36">
        <v>20</v>
      </c>
      <c r="D49" s="36">
        <v>55</v>
      </c>
      <c r="E49" s="36">
        <v>0</v>
      </c>
      <c r="F49" s="36">
        <v>39</v>
      </c>
      <c r="G49" s="36">
        <v>2</v>
      </c>
      <c r="I49" s="35"/>
      <c r="J49" s="35"/>
      <c r="K49" s="35"/>
      <c r="L49" s="35"/>
      <c r="M49" s="35"/>
    </row>
    <row r="50" spans="1:13">
      <c r="A50" s="28">
        <v>89</v>
      </c>
      <c r="B50" s="31" t="s">
        <v>45</v>
      </c>
      <c r="C50" s="36">
        <v>4</v>
      </c>
      <c r="D50" s="36">
        <v>18</v>
      </c>
      <c r="E50" s="36">
        <v>0</v>
      </c>
      <c r="F50" s="36">
        <v>11</v>
      </c>
      <c r="G50" s="36">
        <v>2</v>
      </c>
      <c r="I50" s="35"/>
      <c r="J50" s="35"/>
      <c r="K50" s="35"/>
      <c r="L50" s="35"/>
      <c r="M50" s="35"/>
    </row>
    <row r="51" spans="1:13">
      <c r="A51" s="28">
        <v>93</v>
      </c>
      <c r="B51" s="31" t="s">
        <v>61</v>
      </c>
      <c r="C51" s="36">
        <v>17</v>
      </c>
      <c r="D51" s="36">
        <v>14</v>
      </c>
      <c r="E51" s="36">
        <v>0</v>
      </c>
      <c r="F51" s="36">
        <v>10</v>
      </c>
      <c r="G51" s="36">
        <v>0</v>
      </c>
      <c r="I51" s="35"/>
      <c r="J51" s="35"/>
      <c r="K51" s="35"/>
      <c r="L51" s="35"/>
      <c r="M51" s="35"/>
    </row>
    <row r="52" spans="1:13">
      <c r="A52" s="28">
        <v>95</v>
      </c>
      <c r="B52" s="31" t="s">
        <v>51</v>
      </c>
      <c r="C52" s="36">
        <v>22</v>
      </c>
      <c r="D52" s="36">
        <v>45</v>
      </c>
      <c r="E52" s="36">
        <v>0</v>
      </c>
      <c r="F52" s="36">
        <v>26</v>
      </c>
      <c r="G52" s="36">
        <v>10</v>
      </c>
      <c r="I52" s="35"/>
      <c r="J52" s="35"/>
      <c r="K52" s="35"/>
      <c r="L52" s="35"/>
      <c r="M52" s="35"/>
    </row>
    <row r="53" spans="1:13">
      <c r="A53" s="28">
        <v>97</v>
      </c>
      <c r="B53" s="31" t="s">
        <v>53</v>
      </c>
      <c r="C53" s="36">
        <v>24</v>
      </c>
      <c r="D53" s="36">
        <v>38</v>
      </c>
      <c r="E53" s="36">
        <v>0</v>
      </c>
      <c r="F53" s="36">
        <v>24</v>
      </c>
      <c r="G53" s="36">
        <v>0</v>
      </c>
      <c r="I53" s="35"/>
      <c r="J53" s="35"/>
      <c r="K53" s="35"/>
      <c r="L53" s="35"/>
      <c r="M53" s="35"/>
    </row>
    <row r="54" spans="1:13">
      <c r="A54" s="38">
        <v>77</v>
      </c>
      <c r="B54" s="53" t="s">
        <v>25</v>
      </c>
      <c r="C54" s="36">
        <v>175</v>
      </c>
      <c r="D54" s="36">
        <v>269</v>
      </c>
      <c r="E54" s="36">
        <v>4</v>
      </c>
      <c r="F54" s="36">
        <v>25</v>
      </c>
      <c r="G54" s="36">
        <v>8</v>
      </c>
      <c r="I54" s="35"/>
      <c r="J54" s="35"/>
      <c r="K54" s="35"/>
      <c r="L54" s="35"/>
      <c r="M54" s="35"/>
    </row>
    <row r="55" spans="1:13">
      <c r="B55" s="39"/>
    </row>
    <row r="56" spans="1:13">
      <c r="B56" s="31" t="s">
        <v>84</v>
      </c>
    </row>
    <row r="57" spans="1:13" ht="12" customHeight="1">
      <c r="B57" s="71"/>
      <c r="C57" s="71"/>
      <c r="D57" s="71"/>
      <c r="E57" s="62"/>
      <c r="F57" s="62"/>
      <c r="G57" s="62"/>
    </row>
    <row r="58" spans="1:13">
      <c r="B58" s="41" t="s">
        <v>70</v>
      </c>
    </row>
  </sheetData>
  <mergeCells count="5">
    <mergeCell ref="B57:D57"/>
    <mergeCell ref="C2:D2"/>
    <mergeCell ref="E2:F2"/>
    <mergeCell ref="B1:G1"/>
    <mergeCell ref="G2:G3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9"/>
  <sheetViews>
    <sheetView zoomScaleNormal="100" workbookViewId="0">
      <selection sqref="A1:H1"/>
    </sheetView>
  </sheetViews>
  <sheetFormatPr defaultRowHeight="15"/>
  <cols>
    <col min="1" max="1" width="50.7109375" style="4" customWidth="1"/>
    <col min="2" max="8" width="14.7109375" style="4" customWidth="1"/>
    <col min="9" max="9" width="10" style="4" bestFit="1" customWidth="1"/>
    <col min="10" max="10" width="11.85546875" style="4" customWidth="1"/>
    <col min="11" max="15" width="9.140625" style="4"/>
    <col min="16" max="16" width="11" style="4" customWidth="1"/>
    <col min="17" max="16384" width="9.140625" style="4"/>
  </cols>
  <sheetData>
    <row r="1" spans="1:29" s="3" customFormat="1" ht="23.25" customHeight="1">
      <c r="A1" s="78"/>
      <c r="B1" s="78"/>
      <c r="C1" s="78"/>
      <c r="D1" s="78"/>
      <c r="E1" s="78"/>
      <c r="F1" s="78"/>
      <c r="G1" s="78"/>
      <c r="H1" s="78"/>
    </row>
    <row r="2" spans="1:29" s="5" customFormat="1" ht="15" customHeight="1">
      <c r="A2" s="4"/>
      <c r="B2" s="4"/>
      <c r="C2" s="4"/>
      <c r="D2" s="4"/>
      <c r="E2" s="4"/>
      <c r="F2" s="4"/>
      <c r="G2" s="4"/>
      <c r="H2" s="4"/>
    </row>
    <row r="3" spans="1:29" s="5" customFormat="1" ht="15" customHeight="1">
      <c r="A3" s="22"/>
      <c r="B3" s="23"/>
      <c r="C3" s="23"/>
      <c r="D3" s="23"/>
      <c r="E3" s="23"/>
      <c r="F3" s="23"/>
      <c r="G3" s="23"/>
      <c r="H3" s="4"/>
    </row>
    <row r="4" spans="1:29" s="5" customFormat="1" ht="15" customHeight="1">
      <c r="A4" s="76" t="str">
        <f>FIRE1402!A4</f>
        <v>2015-16</v>
      </c>
      <c r="B4" s="76"/>
      <c r="C4" s="76"/>
      <c r="D4" s="76"/>
      <c r="E4" s="76"/>
      <c r="F4" s="76"/>
      <c r="G4" s="55"/>
      <c r="H4" s="4"/>
      <c r="I4" s="4"/>
    </row>
    <row r="5" spans="1:29" s="5" customFormat="1" ht="15.75" thickBot="1">
      <c r="A5" s="4"/>
      <c r="B5" s="77"/>
      <c r="C5" s="77"/>
      <c r="D5" s="77"/>
      <c r="E5" s="77"/>
      <c r="F5" s="77"/>
      <c r="G5" s="56"/>
      <c r="H5" s="30"/>
      <c r="J5" s="6"/>
      <c r="K5" s="6"/>
      <c r="M5" s="6"/>
      <c r="N5" s="6"/>
      <c r="O5" s="6"/>
      <c r="P5" s="6"/>
      <c r="Q5" s="6"/>
      <c r="T5" s="7"/>
    </row>
    <row r="6" spans="1:29" s="3" customFormat="1" ht="31.5" customHeight="1" thickBot="1">
      <c r="A6" s="2"/>
      <c r="B6" s="79" t="s">
        <v>85</v>
      </c>
      <c r="C6" s="79"/>
      <c r="D6" s="57"/>
      <c r="E6" s="79" t="s">
        <v>88</v>
      </c>
      <c r="F6" s="79"/>
      <c r="G6" s="57"/>
      <c r="H6" s="57" t="s">
        <v>89</v>
      </c>
      <c r="J6" s="42"/>
      <c r="K6" s="42"/>
      <c r="M6" s="42"/>
      <c r="N6" s="42"/>
      <c r="O6" s="42"/>
      <c r="P6" s="42"/>
      <c r="Q6" s="42"/>
    </row>
    <row r="7" spans="1:29" s="10" customFormat="1" ht="15.75" thickBot="1">
      <c r="A7" s="8" t="s">
        <v>62</v>
      </c>
      <c r="B7" s="9" t="s">
        <v>86</v>
      </c>
      <c r="C7" s="9" t="s">
        <v>87</v>
      </c>
      <c r="D7" s="9"/>
      <c r="E7" s="9" t="s">
        <v>86</v>
      </c>
      <c r="F7" s="9" t="s">
        <v>87</v>
      </c>
      <c r="G7" s="9"/>
      <c r="H7" s="9"/>
      <c r="I7" s="4"/>
    </row>
    <row r="8" spans="1:29" s="5" customFormat="1" ht="15" customHeight="1">
      <c r="A8" s="25" t="s">
        <v>0</v>
      </c>
      <c r="B8" s="15">
        <f ca="1">INDIRECT("'("&amp;$A$4&amp;")'!C6")</f>
        <v>808</v>
      </c>
      <c r="C8" s="15">
        <f ca="1">INDIRECT("'("&amp;$A$4&amp;")'!d6")</f>
        <v>1121</v>
      </c>
      <c r="D8" s="15"/>
      <c r="E8" s="15">
        <f ca="1">INDIRECT("'("&amp;$A$4&amp;")'!e6")</f>
        <v>50</v>
      </c>
      <c r="F8" s="15">
        <f ca="1">INDIRECT("'("&amp;$A$4&amp;")'!f6")</f>
        <v>685</v>
      </c>
      <c r="G8" s="15"/>
      <c r="H8" s="15">
        <f ca="1">INDIRECT("'("&amp;$A$4&amp;")'!g6")</f>
        <v>100</v>
      </c>
      <c r="J8" s="11"/>
      <c r="K8" s="11"/>
      <c r="M8" s="13"/>
      <c r="N8" s="13"/>
      <c r="O8" s="13"/>
      <c r="P8" s="13"/>
      <c r="Q8" s="1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5" customFormat="1" ht="15" customHeight="1">
      <c r="A9" s="26" t="s">
        <v>8</v>
      </c>
      <c r="B9" s="15">
        <f ca="1">INDIRECT("'("&amp;$A$4&amp;")'!C7")</f>
        <v>542</v>
      </c>
      <c r="C9" s="15">
        <f ca="1">INDIRECT("'("&amp;$A$4&amp;")'!d7")</f>
        <v>682</v>
      </c>
      <c r="D9" s="15"/>
      <c r="E9" s="15">
        <f ca="1">INDIRECT("'("&amp;$A$4&amp;")'!e7")</f>
        <v>46</v>
      </c>
      <c r="F9" s="15">
        <f ca="1">INDIRECT("'("&amp;$A$4&amp;")'!f7")</f>
        <v>550</v>
      </c>
      <c r="G9" s="15"/>
      <c r="H9" s="15">
        <f ca="1">INDIRECT("'("&amp;$A$4&amp;")'!g7")</f>
        <v>77</v>
      </c>
      <c r="J9" s="11"/>
      <c r="K9" s="11"/>
      <c r="M9" s="13"/>
      <c r="N9" s="13"/>
      <c r="O9" s="13"/>
      <c r="P9" s="13"/>
      <c r="Q9" s="1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5" customFormat="1" ht="15" customHeight="1">
      <c r="A10" s="4" t="s">
        <v>9</v>
      </c>
      <c r="B10" s="14">
        <f ca="1">INDIRECT("'("&amp;$A$4&amp;")'!C8")</f>
        <v>25</v>
      </c>
      <c r="C10" s="14">
        <f ca="1">INDIRECT("'("&amp;$A$4&amp;")'!d8")</f>
        <v>39</v>
      </c>
      <c r="D10" s="14"/>
      <c r="E10" s="14">
        <f ca="1">INDIRECT("'("&amp;$A$4&amp;")'!e8")</f>
        <v>3</v>
      </c>
      <c r="F10" s="14">
        <f ca="1">INDIRECT("'("&amp;$A$4&amp;")'!f8")</f>
        <v>25</v>
      </c>
      <c r="G10" s="14"/>
      <c r="H10" s="14">
        <f ca="1">INDIRECT("'("&amp;$A$4&amp;")'!g8")</f>
        <v>0</v>
      </c>
      <c r="J10" s="11"/>
      <c r="K10" s="11"/>
      <c r="M10" s="13"/>
      <c r="N10" s="13"/>
      <c r="O10" s="13"/>
      <c r="P10" s="13"/>
      <c r="Q10" s="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5" customFormat="1" ht="15" customHeight="1">
      <c r="A11" s="4" t="s">
        <v>10</v>
      </c>
      <c r="B11" s="14">
        <f ca="1">INDIRECT("'("&amp;$A$4&amp;")'!C9")</f>
        <v>8</v>
      </c>
      <c r="C11" s="14">
        <f ca="1">INDIRECT("'("&amp;$A$4&amp;")'!d9")</f>
        <v>15</v>
      </c>
      <c r="D11" s="14"/>
      <c r="E11" s="14">
        <f ca="1">INDIRECT("'("&amp;$A$4&amp;")'!e9")</f>
        <v>0</v>
      </c>
      <c r="F11" s="14">
        <f ca="1">INDIRECT("'("&amp;$A$4&amp;")'!f9")</f>
        <v>5</v>
      </c>
      <c r="G11" s="14"/>
      <c r="H11" s="14">
        <f ca="1">INDIRECT("'("&amp;$A$4&amp;")'!g9")</f>
        <v>0</v>
      </c>
      <c r="J11" s="11"/>
      <c r="K11" s="11"/>
      <c r="M11" s="13"/>
      <c r="N11" s="13"/>
      <c r="O11" s="13"/>
      <c r="P11" s="13"/>
      <c r="Q11" s="1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5" customFormat="1" ht="15" customHeight="1">
      <c r="A12" s="4" t="s">
        <v>11</v>
      </c>
      <c r="B12" s="14">
        <f ca="1">INDIRECT("'("&amp;$A$4&amp;")'!C10")</f>
        <v>15</v>
      </c>
      <c r="C12" s="14">
        <f ca="1">INDIRECT("'("&amp;$A$4&amp;")'!d10")</f>
        <v>20</v>
      </c>
      <c r="D12" s="14"/>
      <c r="E12" s="14">
        <f ca="1">INDIRECT("'("&amp;$A$4&amp;")'!e10")</f>
        <v>0</v>
      </c>
      <c r="F12" s="14">
        <f ca="1">INDIRECT("'("&amp;$A$4&amp;")'!f10")</f>
        <v>6</v>
      </c>
      <c r="G12" s="14"/>
      <c r="H12" s="14">
        <f ca="1">INDIRECT("'("&amp;$A$4&amp;")'!g10")</f>
        <v>1</v>
      </c>
      <c r="J12" s="11"/>
      <c r="K12" s="11"/>
      <c r="M12" s="13"/>
      <c r="N12" s="13"/>
      <c r="O12" s="13"/>
      <c r="P12" s="13"/>
      <c r="Q12" s="1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5" customFormat="1" ht="15" customHeight="1">
      <c r="A13" s="4" t="s">
        <v>12</v>
      </c>
      <c r="B13" s="14">
        <f ca="1">INDIRECT("'("&amp;$A$4&amp;")'!C11")</f>
        <v>10</v>
      </c>
      <c r="C13" s="14">
        <f ca="1">INDIRECT("'("&amp;$A$4&amp;")'!d11")</f>
        <v>19</v>
      </c>
      <c r="D13" s="14"/>
      <c r="E13" s="14">
        <f ca="1">INDIRECT("'("&amp;$A$4&amp;")'!e11")</f>
        <v>1</v>
      </c>
      <c r="F13" s="14">
        <f ca="1">INDIRECT("'("&amp;$A$4&amp;")'!f11")</f>
        <v>7</v>
      </c>
      <c r="G13" s="14"/>
      <c r="H13" s="14">
        <f ca="1">INDIRECT("'("&amp;$A$4&amp;")'!g11")</f>
        <v>0</v>
      </c>
      <c r="J13" s="11"/>
      <c r="K13" s="11"/>
      <c r="M13" s="13"/>
      <c r="N13" s="13"/>
      <c r="O13" s="13"/>
      <c r="P13" s="13"/>
      <c r="Q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5" customFormat="1" ht="15" customHeight="1">
      <c r="A14" s="4" t="s">
        <v>13</v>
      </c>
      <c r="B14" s="14">
        <f ca="1">INDIRECT("'("&amp;$A$4&amp;")'!C12")</f>
        <v>3</v>
      </c>
      <c r="C14" s="14">
        <f ca="1">INDIRECT("'("&amp;$A$4&amp;")'!d12")</f>
        <v>13</v>
      </c>
      <c r="D14" s="14"/>
      <c r="E14" s="14">
        <f ca="1">INDIRECT("'("&amp;$A$4&amp;")'!e12")</f>
        <v>1</v>
      </c>
      <c r="F14" s="14">
        <f ca="1">INDIRECT("'("&amp;$A$4&amp;")'!f12")</f>
        <v>16</v>
      </c>
      <c r="G14" s="14"/>
      <c r="H14" s="14">
        <f ca="1">INDIRECT("'("&amp;$A$4&amp;")'!g12")</f>
        <v>0</v>
      </c>
      <c r="J14" s="11"/>
      <c r="K14" s="11"/>
      <c r="M14" s="13"/>
      <c r="N14" s="13"/>
      <c r="O14" s="13"/>
      <c r="P14" s="13"/>
      <c r="Q14" s="1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5" customFormat="1" ht="15" customHeight="1">
      <c r="A15" s="4" t="s">
        <v>14</v>
      </c>
      <c r="B15" s="14">
        <f ca="1">INDIRECT("'("&amp;$A$4&amp;")'!C13")</f>
        <v>15</v>
      </c>
      <c r="C15" s="14">
        <f ca="1">INDIRECT("'("&amp;$A$4&amp;")'!d13")</f>
        <v>21</v>
      </c>
      <c r="D15" s="14"/>
      <c r="E15" s="14">
        <f ca="1">INDIRECT("'("&amp;$A$4&amp;")'!e13")</f>
        <v>0</v>
      </c>
      <c r="F15" s="14">
        <f ca="1">INDIRECT("'("&amp;$A$4&amp;")'!f13")</f>
        <v>17</v>
      </c>
      <c r="G15" s="14"/>
      <c r="H15" s="14">
        <f ca="1">INDIRECT("'("&amp;$A$4&amp;")'!g13")</f>
        <v>0</v>
      </c>
      <c r="J15" s="11"/>
      <c r="K15" s="11"/>
      <c r="M15" s="13"/>
      <c r="N15" s="13"/>
      <c r="O15" s="13"/>
      <c r="P15" s="13"/>
      <c r="Q15" s="1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5" customFormat="1" ht="15" customHeight="1">
      <c r="A16" s="4" t="s">
        <v>15</v>
      </c>
      <c r="B16" s="14">
        <f ca="1">INDIRECT("'("&amp;$A$4&amp;")'!C14")</f>
        <v>11</v>
      </c>
      <c r="C16" s="14">
        <f ca="1">INDIRECT("'("&amp;$A$4&amp;")'!d14")</f>
        <v>20</v>
      </c>
      <c r="D16" s="14"/>
      <c r="E16" s="14">
        <f ca="1">INDIRECT("'("&amp;$A$4&amp;")'!e14")</f>
        <v>0</v>
      </c>
      <c r="F16" s="14">
        <f ca="1">INDIRECT("'("&amp;$A$4&amp;")'!f14")</f>
        <v>3</v>
      </c>
      <c r="G16" s="14"/>
      <c r="H16" s="14">
        <f ca="1">INDIRECT("'("&amp;$A$4&amp;")'!g14")</f>
        <v>1</v>
      </c>
      <c r="J16" s="11"/>
      <c r="K16" s="11"/>
      <c r="M16" s="13"/>
      <c r="N16" s="13"/>
      <c r="O16" s="13"/>
      <c r="P16" s="13"/>
      <c r="Q16" s="1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5" customFormat="1" ht="15" customHeight="1">
      <c r="A17" s="4" t="s">
        <v>16</v>
      </c>
      <c r="B17" s="14">
        <f ca="1">INDIRECT("'("&amp;$A$4&amp;")'!C15")</f>
        <v>2</v>
      </c>
      <c r="C17" s="14">
        <f ca="1">INDIRECT("'("&amp;$A$4&amp;")'!d15")</f>
        <v>6</v>
      </c>
      <c r="D17" s="14"/>
      <c r="E17" s="14">
        <f ca="1">INDIRECT("'("&amp;$A$4&amp;")'!e15")</f>
        <v>0</v>
      </c>
      <c r="F17" s="14">
        <f ca="1">INDIRECT("'("&amp;$A$4&amp;")'!f15")</f>
        <v>6</v>
      </c>
      <c r="G17" s="14"/>
      <c r="H17" s="14">
        <f ca="1">INDIRECT("'("&amp;$A$4&amp;")'!g15")</f>
        <v>1</v>
      </c>
      <c r="J17" s="11"/>
      <c r="K17" s="11"/>
      <c r="M17" s="13"/>
      <c r="N17" s="13"/>
      <c r="O17" s="13"/>
      <c r="P17" s="13"/>
      <c r="Q17" s="1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5" customFormat="1" ht="15" customHeight="1">
      <c r="A18" s="4" t="s">
        <v>17</v>
      </c>
      <c r="B18" s="14">
        <f ca="1">INDIRECT("'("&amp;$A$4&amp;")'!C16")</f>
        <v>9</v>
      </c>
      <c r="C18" s="14">
        <f ca="1">INDIRECT("'("&amp;$A$4&amp;")'!d16")</f>
        <v>9</v>
      </c>
      <c r="D18" s="14"/>
      <c r="E18" s="14">
        <f ca="1">INDIRECT("'("&amp;$A$4&amp;")'!e16")</f>
        <v>0</v>
      </c>
      <c r="F18" s="14">
        <f ca="1">INDIRECT("'("&amp;$A$4&amp;")'!f16")</f>
        <v>2</v>
      </c>
      <c r="G18" s="14"/>
      <c r="H18" s="14">
        <f ca="1">INDIRECT("'("&amp;$A$4&amp;")'!g16")</f>
        <v>0</v>
      </c>
      <c r="J18" s="11"/>
      <c r="K18" s="11"/>
      <c r="M18" s="13"/>
      <c r="N18" s="13"/>
      <c r="O18" s="13"/>
      <c r="P18" s="13"/>
      <c r="Q18" s="1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5" customFormat="1" ht="15" customHeight="1">
      <c r="A19" s="21" t="s">
        <v>18</v>
      </c>
      <c r="B19" s="14">
        <f ca="1">INDIRECT("'("&amp;$A$4&amp;")'!C17")</f>
        <v>13</v>
      </c>
      <c r="C19" s="14">
        <f ca="1">INDIRECT("'("&amp;$A$4&amp;")'!d17")</f>
        <v>18</v>
      </c>
      <c r="D19" s="14"/>
      <c r="E19" s="14">
        <f ca="1">INDIRECT("'("&amp;$A$4&amp;")'!e17")</f>
        <v>0</v>
      </c>
      <c r="F19" s="14">
        <f ca="1">INDIRECT("'("&amp;$A$4&amp;")'!f17")</f>
        <v>24</v>
      </c>
      <c r="G19" s="14"/>
      <c r="H19" s="14">
        <f ca="1">INDIRECT("'("&amp;$A$4&amp;")'!g17")</f>
        <v>4</v>
      </c>
      <c r="J19" s="11"/>
      <c r="K19" s="11"/>
      <c r="M19" s="13"/>
      <c r="N19" s="13"/>
      <c r="O19" s="13"/>
      <c r="P19" s="13"/>
      <c r="Q19" s="1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5" customFormat="1" ht="15" customHeight="1">
      <c r="A20" s="21" t="s">
        <v>19</v>
      </c>
      <c r="B20" s="14">
        <f ca="1">INDIRECT("'("&amp;$A$4&amp;")'!C18")</f>
        <v>42</v>
      </c>
      <c r="C20" s="14">
        <f ca="1">INDIRECT("'("&amp;$A$4&amp;")'!d18")</f>
        <v>51</v>
      </c>
      <c r="D20" s="14"/>
      <c r="E20" s="14">
        <f ca="1">INDIRECT("'("&amp;$A$4&amp;")'!e18")</f>
        <v>4</v>
      </c>
      <c r="F20" s="14">
        <f ca="1">INDIRECT("'("&amp;$A$4&amp;")'!f18")</f>
        <v>54</v>
      </c>
      <c r="G20" s="14"/>
      <c r="H20" s="14">
        <f ca="1">INDIRECT("'("&amp;$A$4&amp;")'!g18")</f>
        <v>10</v>
      </c>
      <c r="J20" s="11"/>
      <c r="K20" s="11"/>
      <c r="M20" s="13"/>
      <c r="N20" s="13"/>
      <c r="O20" s="13"/>
      <c r="P20" s="13"/>
      <c r="Q20" s="1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5" customFormat="1" ht="15" customHeight="1">
      <c r="A21" s="4" t="s">
        <v>20</v>
      </c>
      <c r="B21" s="14">
        <f ca="1">INDIRECT("'("&amp;$A$4&amp;")'!C19")</f>
        <v>10</v>
      </c>
      <c r="C21" s="14">
        <f ca="1">INDIRECT("'("&amp;$A$4&amp;")'!d19")</f>
        <v>21</v>
      </c>
      <c r="D21" s="14"/>
      <c r="E21" s="14">
        <f ca="1">INDIRECT("'("&amp;$A$4&amp;")'!e19")</f>
        <v>1</v>
      </c>
      <c r="F21" s="14">
        <f ca="1">INDIRECT("'("&amp;$A$4&amp;")'!f19")</f>
        <v>12</v>
      </c>
      <c r="G21" s="14"/>
      <c r="H21" s="14">
        <f ca="1">INDIRECT("'("&amp;$A$4&amp;")'!g19")</f>
        <v>5</v>
      </c>
      <c r="J21" s="11"/>
      <c r="K21" s="11"/>
      <c r="M21" s="13"/>
      <c r="N21" s="13"/>
      <c r="O21" s="13"/>
      <c r="P21" s="13"/>
      <c r="Q21" s="1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5" customFormat="1" ht="15" customHeight="1">
      <c r="A22" s="4" t="s">
        <v>21</v>
      </c>
      <c r="B22" s="14">
        <f ca="1">INDIRECT("'("&amp;$A$4&amp;")'!C20")</f>
        <v>3</v>
      </c>
      <c r="C22" s="14">
        <f ca="1">INDIRECT("'("&amp;$A$4&amp;")'!d20")</f>
        <v>15</v>
      </c>
      <c r="D22" s="14"/>
      <c r="E22" s="14">
        <f ca="1">INDIRECT("'("&amp;$A$4&amp;")'!e20")</f>
        <v>1</v>
      </c>
      <c r="F22" s="14">
        <f ca="1">INDIRECT("'("&amp;$A$4&amp;")'!f20")</f>
        <v>4</v>
      </c>
      <c r="G22" s="14"/>
      <c r="H22" s="14">
        <f ca="1">INDIRECT("'("&amp;$A$4&amp;")'!g20")</f>
        <v>0</v>
      </c>
      <c r="J22" s="11"/>
      <c r="K22" s="11"/>
      <c r="M22" s="13"/>
      <c r="N22" s="13"/>
      <c r="O22" s="13"/>
      <c r="P22" s="13"/>
      <c r="Q22" s="1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5" customFormat="1" ht="15" customHeight="1">
      <c r="A23" s="4" t="s">
        <v>22</v>
      </c>
      <c r="B23" s="14">
        <f ca="1">INDIRECT("'("&amp;$A$4&amp;")'!C21")</f>
        <v>21</v>
      </c>
      <c r="C23" s="14">
        <f ca="1">INDIRECT("'("&amp;$A$4&amp;")'!d21")</f>
        <v>23</v>
      </c>
      <c r="D23" s="14"/>
      <c r="E23" s="14">
        <f ca="1">INDIRECT("'("&amp;$A$4&amp;")'!e21")</f>
        <v>2</v>
      </c>
      <c r="F23" s="14">
        <f ca="1">INDIRECT("'("&amp;$A$4&amp;")'!f21")</f>
        <v>20</v>
      </c>
      <c r="G23" s="14"/>
      <c r="H23" s="14">
        <f ca="1">INDIRECT("'("&amp;$A$4&amp;")'!g21")</f>
        <v>2</v>
      </c>
      <c r="J23" s="11"/>
      <c r="K23" s="11"/>
      <c r="M23" s="13"/>
      <c r="N23" s="13"/>
      <c r="O23" s="13"/>
      <c r="P23" s="13"/>
      <c r="Q23" s="1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5" customFormat="1" ht="15" customHeight="1">
      <c r="A24" s="4" t="s">
        <v>23</v>
      </c>
      <c r="B24" s="14">
        <f ca="1">INDIRECT("'("&amp;$A$4&amp;")'!C22")</f>
        <v>48</v>
      </c>
      <c r="C24" s="14">
        <f ca="1">INDIRECT("'("&amp;$A$4&amp;")'!d22")</f>
        <v>26</v>
      </c>
      <c r="D24" s="14"/>
      <c r="E24" s="14">
        <f ca="1">INDIRECT("'("&amp;$A$4&amp;")'!e22")</f>
        <v>3</v>
      </c>
      <c r="F24" s="14">
        <f ca="1">INDIRECT("'("&amp;$A$4&amp;")'!f22")</f>
        <v>59</v>
      </c>
      <c r="G24" s="14"/>
      <c r="H24" s="14">
        <f ca="1">INDIRECT("'("&amp;$A$4&amp;")'!g22")</f>
        <v>2</v>
      </c>
      <c r="J24" s="11"/>
      <c r="K24" s="11"/>
      <c r="M24" s="13"/>
      <c r="N24" s="13"/>
      <c r="O24" s="13"/>
      <c r="P24" s="13"/>
      <c r="Q24" s="1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5" customFormat="1" ht="15" customHeight="1">
      <c r="A25" s="4" t="s">
        <v>24</v>
      </c>
      <c r="B25" s="14">
        <f ca="1">INDIRECT("'("&amp;$A$4&amp;")'!C23")</f>
        <v>6</v>
      </c>
      <c r="C25" s="14">
        <f ca="1">INDIRECT("'("&amp;$A$4&amp;")'!d23")</f>
        <v>13</v>
      </c>
      <c r="D25" s="14"/>
      <c r="E25" s="14">
        <f ca="1">INDIRECT("'("&amp;$A$4&amp;")'!e23")</f>
        <v>0</v>
      </c>
      <c r="F25" s="14">
        <f ca="1">INDIRECT("'("&amp;$A$4&amp;")'!f23")</f>
        <v>3</v>
      </c>
      <c r="G25" s="14"/>
      <c r="H25" s="14">
        <f ca="1">INDIRECT("'("&amp;$A$4&amp;")'!g23")</f>
        <v>0</v>
      </c>
      <c r="J25" s="11"/>
      <c r="K25" s="11"/>
      <c r="M25" s="13"/>
      <c r="N25" s="13"/>
      <c r="O25" s="13"/>
      <c r="P25" s="13"/>
      <c r="Q25" s="1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5" customFormat="1" ht="15" customHeight="1">
      <c r="A26" s="4" t="s">
        <v>27</v>
      </c>
      <c r="B26" s="14">
        <f ca="1">INDIRECT("'("&amp;$A$4&amp;")'!C24")</f>
        <v>19</v>
      </c>
      <c r="C26" s="14">
        <f ca="1">INDIRECT("'("&amp;$A$4&amp;")'!d24")</f>
        <v>33</v>
      </c>
      <c r="D26" s="14"/>
      <c r="E26" s="14">
        <f ca="1">INDIRECT("'("&amp;$A$4&amp;")'!e24")</f>
        <v>12</v>
      </c>
      <c r="F26" s="14">
        <f ca="1">INDIRECT("'("&amp;$A$4&amp;")'!f24")</f>
        <v>19</v>
      </c>
      <c r="G26" s="14"/>
      <c r="H26" s="14">
        <f ca="1">INDIRECT("'("&amp;$A$4&amp;")'!g24")</f>
        <v>0</v>
      </c>
      <c r="J26" s="11"/>
      <c r="K26" s="11"/>
      <c r="M26" s="13"/>
      <c r="N26" s="13"/>
      <c r="O26" s="13"/>
      <c r="P26" s="13"/>
      <c r="Q26" s="1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5" customFormat="1" ht="15" customHeight="1">
      <c r="A27" s="4" t="s">
        <v>28</v>
      </c>
      <c r="B27" s="14">
        <f ca="1">INDIRECT("'("&amp;$A$4&amp;")'!C25")</f>
        <v>20</v>
      </c>
      <c r="C27" s="14">
        <f ca="1">INDIRECT("'("&amp;$A$4&amp;")'!d25")</f>
        <v>15</v>
      </c>
      <c r="D27" s="14"/>
      <c r="E27" s="14">
        <f ca="1">INDIRECT("'("&amp;$A$4&amp;")'!e25")</f>
        <v>0</v>
      </c>
      <c r="F27" s="14">
        <f ca="1">INDIRECT("'("&amp;$A$4&amp;")'!f25")</f>
        <v>17</v>
      </c>
      <c r="G27" s="14"/>
      <c r="H27" s="14">
        <f ca="1">INDIRECT("'("&amp;$A$4&amp;")'!g25")</f>
        <v>0</v>
      </c>
      <c r="J27" s="11"/>
      <c r="K27" s="11"/>
      <c r="M27" s="13"/>
      <c r="N27" s="13"/>
      <c r="O27" s="13"/>
      <c r="P27" s="13"/>
      <c r="Q27" s="1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5" customFormat="1" ht="15" customHeight="1">
      <c r="A28" s="4" t="s">
        <v>29</v>
      </c>
      <c r="B28" s="14">
        <f ca="1">INDIRECT("'("&amp;$A$4&amp;")'!C26")</f>
        <v>19</v>
      </c>
      <c r="C28" s="14">
        <f ca="1">INDIRECT("'("&amp;$A$4&amp;")'!d26")</f>
        <v>17</v>
      </c>
      <c r="D28" s="14"/>
      <c r="E28" s="14">
        <f ca="1">INDIRECT("'("&amp;$A$4&amp;")'!e26")</f>
        <v>2</v>
      </c>
      <c r="F28" s="14">
        <f ca="1">INDIRECT("'("&amp;$A$4&amp;")'!f26")</f>
        <v>11</v>
      </c>
      <c r="G28" s="14"/>
      <c r="H28" s="14">
        <f ca="1">INDIRECT("'("&amp;$A$4&amp;")'!g26")</f>
        <v>13</v>
      </c>
      <c r="J28" s="11"/>
      <c r="K28" s="11"/>
      <c r="M28" s="13"/>
      <c r="N28" s="13"/>
      <c r="O28" s="13"/>
      <c r="P28" s="13"/>
      <c r="Q28" s="1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5" customFormat="1" ht="15" customHeight="1">
      <c r="A29" s="4" t="s">
        <v>30</v>
      </c>
      <c r="B29" s="14">
        <f ca="1">INDIRECT("'("&amp;$A$4&amp;")'!C27")</f>
        <v>13</v>
      </c>
      <c r="C29" s="14">
        <f ca="1">INDIRECT("'("&amp;$A$4&amp;")'!d27")</f>
        <v>14</v>
      </c>
      <c r="D29" s="14"/>
      <c r="E29" s="14">
        <f ca="1">INDIRECT("'("&amp;$A$4&amp;")'!e27")</f>
        <v>3</v>
      </c>
      <c r="F29" s="14">
        <f ca="1">INDIRECT("'("&amp;$A$4&amp;")'!f27")</f>
        <v>24</v>
      </c>
      <c r="G29" s="14"/>
      <c r="H29" s="14">
        <f ca="1">INDIRECT("'("&amp;$A$4&amp;")'!g27")</f>
        <v>3</v>
      </c>
      <c r="J29" s="11"/>
      <c r="K29" s="11"/>
      <c r="M29" s="13"/>
      <c r="N29" s="13"/>
      <c r="O29" s="13"/>
      <c r="P29" s="13"/>
      <c r="Q29" s="1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5" customFormat="1" ht="15" customHeight="1">
      <c r="A30" s="4" t="s">
        <v>31</v>
      </c>
      <c r="B30" s="14">
        <f ca="1">INDIRECT("'("&amp;$A$4&amp;")'!C28")</f>
        <v>0</v>
      </c>
      <c r="C30" s="14">
        <f ca="1">INDIRECT("'("&amp;$A$4&amp;")'!d28")</f>
        <v>3</v>
      </c>
      <c r="D30" s="14"/>
      <c r="E30" s="14">
        <f ca="1">INDIRECT("'("&amp;$A$4&amp;")'!e28")</f>
        <v>0</v>
      </c>
      <c r="F30" s="14">
        <f ca="1">INDIRECT("'("&amp;$A$4&amp;")'!f28")</f>
        <v>2</v>
      </c>
      <c r="G30" s="14"/>
      <c r="H30" s="14">
        <f ca="1">INDIRECT("'("&amp;$A$4&amp;")'!g28")</f>
        <v>0</v>
      </c>
      <c r="J30" s="11"/>
      <c r="K30" s="11"/>
      <c r="M30" s="13"/>
      <c r="N30" s="13"/>
      <c r="O30" s="13"/>
      <c r="P30" s="13"/>
      <c r="Q30" s="1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5" customFormat="1" ht="15" customHeight="1">
      <c r="A31" s="5" t="s">
        <v>33</v>
      </c>
      <c r="B31" s="14">
        <f ca="1">INDIRECT("'("&amp;$A$4&amp;")'!C29")</f>
        <v>27</v>
      </c>
      <c r="C31" s="14">
        <f ca="1">INDIRECT("'("&amp;$A$4&amp;")'!d29")</f>
        <v>22</v>
      </c>
      <c r="D31" s="14"/>
      <c r="E31" s="14">
        <f ca="1">INDIRECT("'("&amp;$A$4&amp;")'!e29")</f>
        <v>1</v>
      </c>
      <c r="F31" s="14">
        <f ca="1">INDIRECT("'("&amp;$A$4&amp;")'!f29")</f>
        <v>21</v>
      </c>
      <c r="G31" s="14"/>
      <c r="H31" s="14">
        <f ca="1">INDIRECT("'("&amp;$A$4&amp;")'!g29")</f>
        <v>0</v>
      </c>
      <c r="J31" s="11"/>
      <c r="K31" s="11"/>
      <c r="M31" s="13"/>
      <c r="N31" s="13"/>
      <c r="O31" s="13"/>
      <c r="P31" s="13"/>
      <c r="Q31" s="1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5" customFormat="1" ht="15" customHeight="1">
      <c r="A32" s="5" t="s">
        <v>34</v>
      </c>
      <c r="B32" s="14">
        <f ca="1">INDIRECT("'("&amp;$A$4&amp;")'!C30")</f>
        <v>10</v>
      </c>
      <c r="C32" s="14">
        <f ca="1">INDIRECT("'("&amp;$A$4&amp;")'!d30")</f>
        <v>18</v>
      </c>
      <c r="D32" s="14"/>
      <c r="E32" s="14">
        <f ca="1">INDIRECT("'("&amp;$A$4&amp;")'!e30")</f>
        <v>0</v>
      </c>
      <c r="F32" s="14">
        <f ca="1">INDIRECT("'("&amp;$A$4&amp;")'!f30")</f>
        <v>13</v>
      </c>
      <c r="G32" s="14"/>
      <c r="H32" s="14">
        <f ca="1">INDIRECT("'("&amp;$A$4&amp;")'!g30")</f>
        <v>4</v>
      </c>
      <c r="J32" s="11"/>
      <c r="K32" s="11"/>
      <c r="M32" s="13"/>
      <c r="N32" s="13"/>
      <c r="O32" s="13"/>
      <c r="P32" s="13"/>
      <c r="Q32" s="1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5" customFormat="1" ht="15" customHeight="1">
      <c r="A33" s="4" t="s">
        <v>35</v>
      </c>
      <c r="B33" s="14">
        <f ca="1">INDIRECT("'("&amp;$A$4&amp;")'!C31")</f>
        <v>16</v>
      </c>
      <c r="C33" s="14">
        <f ca="1">INDIRECT("'("&amp;$A$4&amp;")'!d31")</f>
        <v>13</v>
      </c>
      <c r="D33" s="14"/>
      <c r="E33" s="14">
        <f ca="1">INDIRECT("'("&amp;$A$4&amp;")'!e31")</f>
        <v>1</v>
      </c>
      <c r="F33" s="14">
        <f ca="1">INDIRECT("'("&amp;$A$4&amp;")'!f31")</f>
        <v>11</v>
      </c>
      <c r="G33" s="14"/>
      <c r="H33" s="14">
        <f ca="1">INDIRECT("'("&amp;$A$4&amp;")'!g31")</f>
        <v>1</v>
      </c>
      <c r="J33" s="11"/>
      <c r="K33" s="11"/>
      <c r="M33" s="13"/>
      <c r="N33" s="13"/>
      <c r="O33" s="13"/>
      <c r="P33" s="13"/>
      <c r="Q33" s="1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5" customFormat="1" ht="15" customHeight="1">
      <c r="A34" s="5" t="s">
        <v>36</v>
      </c>
      <c r="B34" s="14">
        <f ca="1">INDIRECT("'("&amp;$A$4&amp;")'!C32")</f>
        <v>11</v>
      </c>
      <c r="C34" s="14">
        <f ca="1">INDIRECT("'("&amp;$A$4&amp;")'!d32")</f>
        <v>20</v>
      </c>
      <c r="D34" s="14"/>
      <c r="E34" s="14">
        <f ca="1">INDIRECT("'("&amp;$A$4&amp;")'!e32")</f>
        <v>2</v>
      </c>
      <c r="F34" s="14">
        <f ca="1">INDIRECT("'("&amp;$A$4&amp;")'!f32")</f>
        <v>19</v>
      </c>
      <c r="G34" s="14"/>
      <c r="H34" s="14">
        <f ca="1">INDIRECT("'("&amp;$A$4&amp;")'!g32")</f>
        <v>4</v>
      </c>
      <c r="J34" s="11"/>
      <c r="K34" s="11"/>
      <c r="M34" s="13"/>
      <c r="N34" s="13"/>
      <c r="O34" s="13"/>
      <c r="P34" s="13"/>
      <c r="Q34" s="1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5" customFormat="1" ht="15" customHeight="1">
      <c r="A35" s="5" t="s">
        <v>38</v>
      </c>
      <c r="B35" s="14">
        <f ca="1">INDIRECT("'("&amp;$A$4&amp;")'!C33")</f>
        <v>14</v>
      </c>
      <c r="C35" s="14">
        <f ca="1">INDIRECT("'("&amp;$A$4&amp;")'!d33")</f>
        <v>18</v>
      </c>
      <c r="D35" s="14"/>
      <c r="E35" s="14">
        <f ca="1">INDIRECT("'("&amp;$A$4&amp;")'!e33")</f>
        <v>2</v>
      </c>
      <c r="F35" s="14">
        <f ca="1">INDIRECT("'("&amp;$A$4&amp;")'!f33")</f>
        <v>19</v>
      </c>
      <c r="G35" s="14"/>
      <c r="H35" s="14">
        <f ca="1">INDIRECT("'("&amp;$A$4&amp;")'!g33")</f>
        <v>17</v>
      </c>
      <c r="J35" s="11"/>
      <c r="K35" s="11"/>
      <c r="M35" s="13"/>
      <c r="N35" s="13"/>
      <c r="O35" s="13"/>
      <c r="P35" s="13"/>
      <c r="Q35" s="1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5" customFormat="1" ht="15" customHeight="1">
      <c r="A36" s="5" t="s">
        <v>39</v>
      </c>
      <c r="B36" s="14">
        <f ca="1">INDIRECT("'("&amp;$A$4&amp;")'!C34")</f>
        <v>10</v>
      </c>
      <c r="C36" s="14">
        <f ca="1">INDIRECT("'("&amp;$A$4&amp;")'!d34")</f>
        <v>30</v>
      </c>
      <c r="D36" s="14"/>
      <c r="E36" s="14">
        <f ca="1">INDIRECT("'("&amp;$A$4&amp;")'!e34")</f>
        <v>0</v>
      </c>
      <c r="F36" s="14">
        <f ca="1">INDIRECT("'("&amp;$A$4&amp;")'!f34")</f>
        <v>11</v>
      </c>
      <c r="G36" s="14"/>
      <c r="H36" s="14">
        <f ca="1">INDIRECT("'("&amp;$A$4&amp;")'!g34")</f>
        <v>0</v>
      </c>
      <c r="J36" s="11"/>
      <c r="K36" s="11"/>
      <c r="M36" s="13"/>
      <c r="N36" s="13"/>
      <c r="O36" s="13"/>
      <c r="P36" s="13"/>
      <c r="Q36" s="1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5" customFormat="1" ht="15" customHeight="1">
      <c r="A37" s="5" t="s">
        <v>40</v>
      </c>
      <c r="B37" s="14">
        <f ca="1">INDIRECT("'("&amp;$A$4&amp;")'!C35")</f>
        <v>18</v>
      </c>
      <c r="C37" s="14">
        <f ca="1">INDIRECT("'("&amp;$A$4&amp;")'!d35")</f>
        <v>10</v>
      </c>
      <c r="D37" s="14"/>
      <c r="E37" s="14">
        <f ca="1">INDIRECT("'("&amp;$A$4&amp;")'!e35")</f>
        <v>5</v>
      </c>
      <c r="F37" s="14">
        <f ca="1">INDIRECT("'("&amp;$A$4&amp;")'!f35")</f>
        <v>32</v>
      </c>
      <c r="G37" s="14"/>
      <c r="H37" s="14">
        <f ca="1">INDIRECT("'("&amp;$A$4&amp;")'!g35")</f>
        <v>0</v>
      </c>
      <c r="J37" s="11"/>
      <c r="K37" s="11"/>
      <c r="M37" s="13"/>
      <c r="N37" s="13"/>
      <c r="O37" s="13"/>
      <c r="P37" s="13"/>
      <c r="Q37" s="1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5" customFormat="1" ht="15" customHeight="1">
      <c r="A38" s="5" t="s">
        <v>41</v>
      </c>
      <c r="B38" s="14">
        <f ca="1">INDIRECT("'("&amp;$A$4&amp;")'!C36")</f>
        <v>13</v>
      </c>
      <c r="C38" s="14">
        <f ca="1">INDIRECT("'("&amp;$A$4&amp;")'!d36")</f>
        <v>4</v>
      </c>
      <c r="D38" s="14"/>
      <c r="E38" s="14">
        <f ca="1">INDIRECT("'("&amp;$A$4&amp;")'!e36")</f>
        <v>1</v>
      </c>
      <c r="F38" s="14">
        <f ca="1">INDIRECT("'("&amp;$A$4&amp;")'!f36")</f>
        <v>4</v>
      </c>
      <c r="G38" s="14"/>
      <c r="H38" s="14">
        <f ca="1">INDIRECT("'("&amp;$A$4&amp;")'!g36")</f>
        <v>0</v>
      </c>
      <c r="J38" s="11"/>
      <c r="K38" s="11"/>
      <c r="M38" s="13"/>
      <c r="N38" s="13"/>
      <c r="O38" s="13"/>
      <c r="P38" s="13"/>
      <c r="Q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5" customFormat="1" ht="15" customHeight="1">
      <c r="A39" s="4" t="s">
        <v>42</v>
      </c>
      <c r="B39" s="14">
        <f ca="1">INDIRECT("'("&amp;$A$4&amp;")'!C37")</f>
        <v>25</v>
      </c>
      <c r="C39" s="14">
        <f ca="1">INDIRECT("'("&amp;$A$4&amp;")'!d37")</f>
        <v>26</v>
      </c>
      <c r="D39" s="14"/>
      <c r="E39" s="14">
        <f ca="1">INDIRECT("'("&amp;$A$4&amp;")'!e37")</f>
        <v>0</v>
      </c>
      <c r="F39" s="14">
        <f ca="1">INDIRECT("'("&amp;$A$4&amp;")'!f37")</f>
        <v>5</v>
      </c>
      <c r="G39" s="14"/>
      <c r="H39" s="14">
        <f ca="1">INDIRECT("'("&amp;$A$4&amp;")'!g37")</f>
        <v>1</v>
      </c>
      <c r="J39" s="11"/>
      <c r="K39" s="11"/>
      <c r="M39" s="13"/>
      <c r="N39" s="13"/>
      <c r="O39" s="13"/>
      <c r="P39" s="13"/>
      <c r="Q39" s="1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5" customFormat="1" ht="15" customHeight="1">
      <c r="A40" s="4" t="s">
        <v>43</v>
      </c>
      <c r="B40" s="14">
        <f ca="1">INDIRECT("'("&amp;$A$4&amp;")'!C38")</f>
        <v>9</v>
      </c>
      <c r="C40" s="14">
        <f ca="1">INDIRECT("'("&amp;$A$4&amp;")'!d38")</f>
        <v>17</v>
      </c>
      <c r="D40" s="14"/>
      <c r="E40" s="14">
        <f ca="1">INDIRECT("'("&amp;$A$4&amp;")'!e38")</f>
        <v>0</v>
      </c>
      <c r="F40" s="14">
        <f ca="1">INDIRECT("'("&amp;$A$4&amp;")'!f38")</f>
        <v>8</v>
      </c>
      <c r="G40" s="14"/>
      <c r="H40" s="14">
        <f ca="1">INDIRECT("'("&amp;$A$4&amp;")'!g38")</f>
        <v>0</v>
      </c>
      <c r="J40" s="11"/>
      <c r="K40" s="11"/>
      <c r="M40" s="13"/>
      <c r="N40" s="13"/>
      <c r="O40" s="13"/>
      <c r="P40" s="13"/>
      <c r="Q40" s="1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5" customFormat="1" ht="15" customHeight="1">
      <c r="A41" s="4" t="s">
        <v>44</v>
      </c>
      <c r="B41" s="14">
        <f ca="1">INDIRECT("'("&amp;$A$4&amp;")'!C39")</f>
        <v>16</v>
      </c>
      <c r="C41" s="14">
        <f ca="1">INDIRECT("'("&amp;$A$4&amp;")'!d39")</f>
        <v>5</v>
      </c>
      <c r="D41" s="14"/>
      <c r="E41" s="14">
        <f ca="1">INDIRECT("'("&amp;$A$4&amp;")'!e39")</f>
        <v>0</v>
      </c>
      <c r="F41" s="14">
        <f ca="1">INDIRECT("'("&amp;$A$4&amp;")'!f39")</f>
        <v>13</v>
      </c>
      <c r="G41" s="14"/>
      <c r="H41" s="14">
        <f ca="1">INDIRECT("'("&amp;$A$4&amp;")'!g39")</f>
        <v>2</v>
      </c>
      <c r="J41" s="11"/>
      <c r="K41" s="11"/>
      <c r="M41" s="13"/>
      <c r="N41" s="13"/>
      <c r="O41" s="13"/>
      <c r="P41" s="13"/>
      <c r="Q41" s="1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5" customFormat="1" ht="15" customHeight="1">
      <c r="A42" s="4" t="s">
        <v>46</v>
      </c>
      <c r="B42" s="14">
        <f ca="1">INDIRECT("'("&amp;$A$4&amp;")'!C40")</f>
        <v>12</v>
      </c>
      <c r="C42" s="14">
        <f ca="1">INDIRECT("'("&amp;$A$4&amp;")'!d40")</f>
        <v>25</v>
      </c>
      <c r="D42" s="14"/>
      <c r="E42" s="14">
        <f ca="1">INDIRECT("'("&amp;$A$4&amp;")'!e40")</f>
        <v>0</v>
      </c>
      <c r="F42" s="14">
        <f ca="1">INDIRECT("'("&amp;$A$4&amp;")'!f40")</f>
        <v>9</v>
      </c>
      <c r="G42" s="14"/>
      <c r="H42" s="14">
        <f ca="1">INDIRECT("'("&amp;$A$4&amp;")'!g40")</f>
        <v>0</v>
      </c>
      <c r="J42" s="11"/>
      <c r="K42" s="11"/>
      <c r="M42" s="13"/>
      <c r="N42" s="13"/>
      <c r="O42" s="13"/>
      <c r="P42" s="13"/>
      <c r="Q42" s="1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5" customFormat="1" ht="15" customHeight="1">
      <c r="A43" s="4" t="s">
        <v>47</v>
      </c>
      <c r="B43" s="14">
        <f ca="1">INDIRECT("'("&amp;$A$4&amp;")'!C41")</f>
        <v>4</v>
      </c>
      <c r="C43" s="14">
        <f ca="1">INDIRECT("'("&amp;$A$4&amp;")'!d41")</f>
        <v>7</v>
      </c>
      <c r="D43" s="14"/>
      <c r="E43" s="14">
        <f ca="1">INDIRECT("'("&amp;$A$4&amp;")'!e41")</f>
        <v>0</v>
      </c>
      <c r="F43" s="14">
        <f ca="1">INDIRECT("'("&amp;$A$4&amp;")'!f41")</f>
        <v>7</v>
      </c>
      <c r="G43" s="14"/>
      <c r="H43" s="14">
        <f ca="1">INDIRECT("'("&amp;$A$4&amp;")'!g41")</f>
        <v>0</v>
      </c>
      <c r="J43" s="11"/>
      <c r="K43" s="11"/>
      <c r="M43" s="13"/>
      <c r="N43" s="13"/>
      <c r="O43" s="13"/>
      <c r="P43" s="13"/>
      <c r="Q43" s="1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5" customFormat="1" ht="15" customHeight="1">
      <c r="A44" s="4" t="s">
        <v>48</v>
      </c>
      <c r="B44" s="14">
        <f ca="1">INDIRECT("'("&amp;$A$4&amp;")'!C42")</f>
        <v>19</v>
      </c>
      <c r="C44" s="14">
        <f ca="1">INDIRECT("'("&amp;$A$4&amp;")'!d42")</f>
        <v>21</v>
      </c>
      <c r="D44" s="14"/>
      <c r="E44" s="14">
        <f ca="1">INDIRECT("'("&amp;$A$4&amp;")'!e42")</f>
        <v>0</v>
      </c>
      <c r="F44" s="14">
        <f ca="1">INDIRECT("'("&amp;$A$4&amp;")'!f42")</f>
        <v>8</v>
      </c>
      <c r="G44" s="14"/>
      <c r="H44" s="14">
        <f ca="1">INDIRECT("'("&amp;$A$4&amp;")'!g42")</f>
        <v>0</v>
      </c>
      <c r="J44" s="11"/>
      <c r="K44" s="11"/>
      <c r="M44" s="13"/>
      <c r="N44" s="13"/>
      <c r="O44" s="13"/>
      <c r="P44" s="13"/>
      <c r="Q44" s="1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5" customFormat="1" ht="15" customHeight="1">
      <c r="A45" s="4" t="s">
        <v>50</v>
      </c>
      <c r="B45" s="14">
        <f ca="1">INDIRECT("'("&amp;$A$4&amp;")'!C43")</f>
        <v>9</v>
      </c>
      <c r="C45" s="14">
        <f ca="1">INDIRECT("'("&amp;$A$4&amp;")'!d43")</f>
        <v>14</v>
      </c>
      <c r="D45" s="14"/>
      <c r="E45" s="14">
        <f ca="1">INDIRECT("'("&amp;$A$4&amp;")'!e43")</f>
        <v>1</v>
      </c>
      <c r="F45" s="14">
        <f ca="1">INDIRECT("'("&amp;$A$4&amp;")'!f43")</f>
        <v>4</v>
      </c>
      <c r="G45" s="14"/>
      <c r="H45" s="14">
        <f ca="1">INDIRECT("'("&amp;$A$4&amp;")'!g43")</f>
        <v>3</v>
      </c>
      <c r="J45" s="11"/>
      <c r="K45" s="11"/>
      <c r="M45" s="13"/>
      <c r="N45" s="13"/>
      <c r="O45" s="13"/>
      <c r="P45" s="13"/>
      <c r="Q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5" customFormat="1" ht="15" customHeight="1">
      <c r="A46" s="4" t="s">
        <v>52</v>
      </c>
      <c r="B46" s="14">
        <f ca="1">INDIRECT("'("&amp;$A$4&amp;")'!C44")</f>
        <v>5</v>
      </c>
      <c r="C46" s="14">
        <f ca="1">INDIRECT("'("&amp;$A$4&amp;")'!d44")</f>
        <v>6</v>
      </c>
      <c r="D46" s="14"/>
      <c r="E46" s="14">
        <f ca="1">INDIRECT("'("&amp;$A$4&amp;")'!e44")</f>
        <v>0</v>
      </c>
      <c r="F46" s="14">
        <f ca="1">INDIRECT("'("&amp;$A$4&amp;")'!f44")</f>
        <v>12</v>
      </c>
      <c r="G46" s="14"/>
      <c r="H46" s="14">
        <f ca="1">INDIRECT("'("&amp;$A$4&amp;")'!g44")</f>
        <v>0</v>
      </c>
      <c r="J46" s="11"/>
      <c r="K46" s="11"/>
      <c r="M46" s="13"/>
      <c r="N46" s="13"/>
      <c r="O46" s="13"/>
      <c r="P46" s="13"/>
      <c r="Q46" s="1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5" customFormat="1" ht="15" customHeight="1">
      <c r="A47" s="4" t="s">
        <v>54</v>
      </c>
      <c r="B47" s="43">
        <f ca="1">INDIRECT("'("&amp;$A$4&amp;")'!C45")</f>
        <v>12</v>
      </c>
      <c r="C47" s="43">
        <f ca="1">INDIRECT("'("&amp;$A$4&amp;")'!d45")</f>
        <v>15</v>
      </c>
      <c r="D47" s="43"/>
      <c r="E47" s="43">
        <f ca="1">INDIRECT("'("&amp;$A$4&amp;")'!e45")</f>
        <v>0</v>
      </c>
      <c r="F47" s="43">
        <f ca="1">INDIRECT("'("&amp;$A$4&amp;")'!f45")</f>
        <v>18</v>
      </c>
      <c r="G47" s="43"/>
      <c r="H47" s="43">
        <f ca="1">INDIRECT("'("&amp;$A$4&amp;")'!g45")</f>
        <v>3</v>
      </c>
      <c r="J47" s="11"/>
      <c r="K47" s="11"/>
      <c r="M47" s="13"/>
      <c r="N47" s="13"/>
      <c r="O47" s="13"/>
      <c r="P47" s="13"/>
      <c r="Q47" s="1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5" customFormat="1" ht="15" customHeight="1">
      <c r="A48" s="4" t="s">
        <v>32</v>
      </c>
      <c r="B48" s="14">
        <f ca="1">INDIRECT("'("&amp;$A$4&amp;")'!C46")</f>
        <v>0</v>
      </c>
      <c r="C48" s="14">
        <f ca="1">INDIRECT("'("&amp;$A$4&amp;")'!d46")</f>
        <v>0</v>
      </c>
      <c r="D48" s="14"/>
      <c r="E48" s="14">
        <f ca="1">INDIRECT("'("&amp;$A$4&amp;")'!e46")</f>
        <v>0</v>
      </c>
      <c r="F48" s="14">
        <f ca="1">INDIRECT("'("&amp;$A$4&amp;")'!f46")</f>
        <v>0</v>
      </c>
      <c r="G48" s="14"/>
      <c r="H48" s="14">
        <f ca="1">INDIRECT("'("&amp;$A$4&amp;")'!g46")</f>
        <v>0</v>
      </c>
      <c r="J48" s="11"/>
      <c r="K48" s="11"/>
      <c r="M48" s="13"/>
      <c r="N48" s="13"/>
      <c r="O48" s="13"/>
      <c r="P48" s="13"/>
      <c r="Q48" s="1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5" customFormat="1" ht="15" customHeight="1">
      <c r="A49" s="24" t="s">
        <v>7</v>
      </c>
      <c r="B49" s="14">
        <f ca="1">INDIRECT("'("&amp;$A$4&amp;")'!C47")</f>
        <v>266</v>
      </c>
      <c r="C49" s="14">
        <f ca="1">INDIRECT("'("&amp;$A$4&amp;")'!d47")</f>
        <v>439</v>
      </c>
      <c r="D49" s="14"/>
      <c r="E49" s="14">
        <f ca="1">INDIRECT("'("&amp;$A$4&amp;")'!e47")</f>
        <v>4</v>
      </c>
      <c r="F49" s="14">
        <f ca="1">INDIRECT("'("&amp;$A$4&amp;")'!f47")</f>
        <v>135</v>
      </c>
      <c r="G49" s="14"/>
      <c r="H49" s="14">
        <f ca="1">INDIRECT("'("&amp;$A$4&amp;")'!g47")</f>
        <v>23</v>
      </c>
      <c r="J49" s="11"/>
      <c r="K49" s="11"/>
      <c r="M49" s="13"/>
      <c r="N49" s="13"/>
      <c r="O49" s="13"/>
      <c r="P49" s="13"/>
      <c r="Q49" s="1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5" customFormat="1" ht="15" customHeight="1">
      <c r="A50" s="4" t="s">
        <v>26</v>
      </c>
      <c r="B50" s="15">
        <f ca="1">INDIRECT("'("&amp;$A$4&amp;")'!C48")</f>
        <v>4</v>
      </c>
      <c r="C50" s="15">
        <f ca="1">INDIRECT("'("&amp;$A$4&amp;")'!d48")</f>
        <v>0</v>
      </c>
      <c r="D50" s="15"/>
      <c r="E50" s="15">
        <f ca="1">INDIRECT("'("&amp;$A$4&amp;")'!e48")</f>
        <v>0</v>
      </c>
      <c r="F50" s="15">
        <f ca="1">INDIRECT("'("&amp;$A$4&amp;")'!f48")</f>
        <v>0</v>
      </c>
      <c r="G50" s="15"/>
      <c r="H50" s="15">
        <f ca="1">INDIRECT("'("&amp;$A$4&amp;")'!g48")</f>
        <v>1</v>
      </c>
      <c r="J50" s="11"/>
      <c r="K50" s="11"/>
      <c r="M50" s="13"/>
      <c r="N50" s="13"/>
      <c r="O50" s="13"/>
      <c r="P50" s="13"/>
      <c r="Q50" s="1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5" customFormat="1" ht="15" customHeight="1">
      <c r="A51" s="4" t="s">
        <v>37</v>
      </c>
      <c r="B51" s="14">
        <f ca="1">INDIRECT("'("&amp;$A$4&amp;")'!C49")</f>
        <v>20</v>
      </c>
      <c r="C51" s="14">
        <f ca="1">INDIRECT("'("&amp;$A$4&amp;")'!d49")</f>
        <v>55</v>
      </c>
      <c r="D51" s="14"/>
      <c r="E51" s="14">
        <f ca="1">INDIRECT("'("&amp;$A$4&amp;")'!e49")</f>
        <v>0</v>
      </c>
      <c r="F51" s="14">
        <f ca="1">INDIRECT("'("&amp;$A$4&amp;")'!f49")</f>
        <v>39</v>
      </c>
      <c r="G51" s="14"/>
      <c r="H51" s="14">
        <f ca="1">INDIRECT("'("&amp;$A$4&amp;")'!g49")</f>
        <v>2</v>
      </c>
      <c r="J51" s="11"/>
      <c r="K51" s="11"/>
      <c r="M51" s="13"/>
      <c r="N51" s="13"/>
      <c r="O51" s="13"/>
      <c r="P51" s="13"/>
      <c r="Q51" s="1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5" customFormat="1" ht="15" customHeight="1">
      <c r="A52" s="4" t="s">
        <v>45</v>
      </c>
      <c r="B52" s="14">
        <f ca="1">INDIRECT("'("&amp;$A$4&amp;")'!C50")</f>
        <v>4</v>
      </c>
      <c r="C52" s="14">
        <f ca="1">INDIRECT("'("&amp;$A$4&amp;")'!d50")</f>
        <v>18</v>
      </c>
      <c r="D52" s="14"/>
      <c r="E52" s="14">
        <f ca="1">INDIRECT("'("&amp;$A$4&amp;")'!e50")</f>
        <v>0</v>
      </c>
      <c r="F52" s="14">
        <f ca="1">INDIRECT("'("&amp;$A$4&amp;")'!f50")</f>
        <v>11</v>
      </c>
      <c r="G52" s="14"/>
      <c r="H52" s="14">
        <f ca="1">INDIRECT("'("&amp;$A$4&amp;")'!g50")</f>
        <v>2</v>
      </c>
      <c r="J52" s="11"/>
      <c r="K52" s="11"/>
      <c r="M52" s="13"/>
      <c r="N52" s="13"/>
      <c r="O52" s="13"/>
      <c r="P52" s="13"/>
      <c r="Q52" s="1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5" customFormat="1" ht="15" customHeight="1">
      <c r="A53" s="4" t="s">
        <v>49</v>
      </c>
      <c r="B53" s="14">
        <f ca="1">INDIRECT("'("&amp;$A$4&amp;")'!C51")</f>
        <v>17</v>
      </c>
      <c r="C53" s="14">
        <f ca="1">INDIRECT("'("&amp;$A$4&amp;")'!d51")</f>
        <v>14</v>
      </c>
      <c r="D53" s="14"/>
      <c r="E53" s="14">
        <f ca="1">INDIRECT("'("&amp;$A$4&amp;")'!e51")</f>
        <v>0</v>
      </c>
      <c r="F53" s="14">
        <f ca="1">INDIRECT("'("&amp;$A$4&amp;")'!f51")</f>
        <v>10</v>
      </c>
      <c r="G53" s="14"/>
      <c r="H53" s="14">
        <f ca="1">INDIRECT("'("&amp;$A$4&amp;")'!g51")</f>
        <v>0</v>
      </c>
      <c r="J53" s="11"/>
      <c r="K53" s="11"/>
      <c r="M53" s="13"/>
      <c r="N53" s="13"/>
      <c r="O53" s="13"/>
      <c r="P53" s="13"/>
      <c r="Q53" s="1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5" customFormat="1" ht="15" customHeight="1">
      <c r="A54" s="4" t="s">
        <v>51</v>
      </c>
      <c r="B54" s="14">
        <f ca="1">INDIRECT("'("&amp;$A$4&amp;")'!C52")</f>
        <v>22</v>
      </c>
      <c r="C54" s="14">
        <f ca="1">INDIRECT("'("&amp;$A$4&amp;")'!d52")</f>
        <v>45</v>
      </c>
      <c r="D54" s="14"/>
      <c r="E54" s="14">
        <f ca="1">INDIRECT("'("&amp;$A$4&amp;")'!e52")</f>
        <v>0</v>
      </c>
      <c r="F54" s="14">
        <f ca="1">INDIRECT("'("&amp;$A$4&amp;")'!f52")</f>
        <v>26</v>
      </c>
      <c r="G54" s="14"/>
      <c r="H54" s="14">
        <f ca="1">INDIRECT("'("&amp;$A$4&amp;")'!g52")</f>
        <v>10</v>
      </c>
      <c r="J54" s="11"/>
      <c r="K54" s="11"/>
      <c r="M54" s="13"/>
      <c r="N54" s="13"/>
      <c r="O54" s="13"/>
      <c r="P54" s="13"/>
      <c r="Q54" s="1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5" customFormat="1" ht="15" customHeight="1">
      <c r="A55" s="4" t="s">
        <v>53</v>
      </c>
      <c r="B55" s="14">
        <f ca="1">INDIRECT("'("&amp;$A$4&amp;")'!C53")</f>
        <v>24</v>
      </c>
      <c r="C55" s="14">
        <f ca="1">INDIRECT("'("&amp;$A$4&amp;")'!d53")</f>
        <v>38</v>
      </c>
      <c r="D55" s="14"/>
      <c r="E55" s="14">
        <f ca="1">INDIRECT("'("&amp;$A$4&amp;")'!e53")</f>
        <v>0</v>
      </c>
      <c r="F55" s="14">
        <f ca="1">INDIRECT("'("&amp;$A$4&amp;")'!f53")</f>
        <v>24</v>
      </c>
      <c r="G55" s="14"/>
      <c r="H55" s="14">
        <f ca="1">INDIRECT("'("&amp;$A$4&amp;")'!g53")</f>
        <v>0</v>
      </c>
      <c r="I55" s="4"/>
      <c r="J55" s="11"/>
      <c r="K55" s="11"/>
      <c r="M55" s="13"/>
      <c r="N55" s="13"/>
      <c r="O55" s="13"/>
      <c r="P55" s="13"/>
      <c r="Q55" s="1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5" customFormat="1" ht="15" customHeight="1" thickBot="1">
      <c r="A56" s="45" t="s">
        <v>25</v>
      </c>
      <c r="B56" s="14">
        <f ca="1">INDIRECT("'("&amp;$A$4&amp;")'!C54")</f>
        <v>175</v>
      </c>
      <c r="C56" s="14">
        <f ca="1">INDIRECT("'("&amp;$A$4&amp;")'!d54")</f>
        <v>269</v>
      </c>
      <c r="D56" s="14"/>
      <c r="E56" s="14">
        <f ca="1">INDIRECT("'("&amp;$A$4&amp;")'!e54")</f>
        <v>4</v>
      </c>
      <c r="F56" s="14">
        <f ca="1">INDIRECT("'("&amp;$A$4&amp;")'!f54")</f>
        <v>25</v>
      </c>
      <c r="G56" s="14"/>
      <c r="H56" s="14">
        <f ca="1">INDIRECT("'("&amp;$A$4&amp;")'!g54")</f>
        <v>8</v>
      </c>
      <c r="I56" s="4"/>
      <c r="J56" s="11"/>
      <c r="K56" s="11"/>
      <c r="M56" s="13"/>
      <c r="N56" s="13"/>
      <c r="O56" s="13"/>
      <c r="P56" s="13"/>
      <c r="Q56" s="1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>
      <c r="A57" s="52"/>
      <c r="B57" s="52"/>
      <c r="C57" s="52"/>
      <c r="D57" s="52"/>
      <c r="E57" s="52"/>
      <c r="F57" s="52"/>
      <c r="G57" s="52"/>
      <c r="H57" s="52"/>
      <c r="J57" s="11"/>
      <c r="K57" s="11"/>
      <c r="L57" s="11"/>
      <c r="M57" s="11"/>
      <c r="N57" s="11"/>
      <c r="O57" s="11"/>
      <c r="P57" s="11"/>
      <c r="Q57" s="11"/>
    </row>
    <row r="58" spans="1:29" s="5" customFormat="1" ht="15" customHeight="1">
      <c r="A58" s="80"/>
      <c r="B58" s="80"/>
      <c r="C58" s="80"/>
      <c r="D58" s="80"/>
      <c r="E58" s="80"/>
      <c r="F58" s="80"/>
      <c r="G58" s="80"/>
      <c r="H58" s="80"/>
      <c r="I58" s="4"/>
      <c r="J58" s="11"/>
      <c r="K58" s="11"/>
      <c r="L58" s="11"/>
      <c r="M58" s="11"/>
      <c r="N58" s="11"/>
      <c r="O58" s="11"/>
      <c r="P58" s="11"/>
      <c r="Q58" s="11"/>
    </row>
    <row r="59" spans="1:29" s="5" customFormat="1" ht="15" customHeight="1">
      <c r="A59" s="81"/>
      <c r="B59" s="81"/>
      <c r="C59" s="81"/>
      <c r="D59" s="81"/>
      <c r="E59" s="81"/>
      <c r="F59" s="81"/>
      <c r="G59" s="81"/>
      <c r="H59" s="81"/>
      <c r="I59" s="4"/>
      <c r="J59" s="11"/>
      <c r="K59" s="11"/>
      <c r="L59" s="11"/>
      <c r="M59" s="11"/>
      <c r="N59" s="11"/>
      <c r="O59" s="11"/>
      <c r="P59" s="11"/>
      <c r="Q59" s="11"/>
    </row>
    <row r="60" spans="1:29" s="5" customFormat="1" ht="15" customHeight="1">
      <c r="A60" s="17"/>
      <c r="B60" s="4"/>
      <c r="C60" s="4"/>
      <c r="D60" s="4"/>
      <c r="E60" s="4"/>
      <c r="F60" s="4"/>
      <c r="G60" s="4"/>
      <c r="H60" s="4"/>
      <c r="I60" s="4"/>
      <c r="J60" s="11"/>
      <c r="K60" s="11"/>
      <c r="L60" s="11"/>
      <c r="M60" s="11"/>
      <c r="N60" s="11"/>
      <c r="O60" s="11"/>
      <c r="P60" s="11"/>
      <c r="Q60" s="11"/>
    </row>
    <row r="61" spans="1:29" s="5" customFormat="1" ht="31.5" customHeight="1">
      <c r="A61" s="75"/>
      <c r="B61" s="75"/>
      <c r="C61" s="75"/>
      <c r="D61" s="75"/>
      <c r="E61" s="75"/>
      <c r="F61" s="75"/>
      <c r="G61" s="75"/>
      <c r="H61" s="75"/>
      <c r="I61" s="4"/>
      <c r="J61" s="11"/>
      <c r="K61" s="11"/>
      <c r="L61" s="11"/>
      <c r="M61" s="11"/>
      <c r="N61" s="11"/>
      <c r="O61" s="11"/>
      <c r="P61" s="11"/>
      <c r="Q61" s="11"/>
    </row>
    <row r="62" spans="1:29" s="5" customFormat="1" ht="15" customHeight="1">
      <c r="A62" s="29"/>
      <c r="B62" s="29"/>
      <c r="C62" s="29"/>
      <c r="D62" s="54"/>
      <c r="E62" s="29"/>
      <c r="F62" s="29"/>
      <c r="G62" s="54"/>
      <c r="H62" s="29"/>
      <c r="I62" s="4"/>
      <c r="J62" s="11"/>
      <c r="K62" s="11"/>
      <c r="L62" s="11"/>
      <c r="M62" s="11"/>
      <c r="N62" s="11"/>
      <c r="O62" s="11"/>
      <c r="P62" s="11"/>
      <c r="Q62" s="11"/>
    </row>
    <row r="63" spans="1:29" s="5" customFormat="1" ht="15" customHeight="1">
      <c r="A63" s="4"/>
      <c r="B63" s="2"/>
      <c r="C63" s="2"/>
      <c r="D63" s="2"/>
      <c r="E63" s="2"/>
      <c r="F63" s="2"/>
      <c r="G63" s="2"/>
      <c r="H63" s="2"/>
      <c r="I63" s="4"/>
    </row>
    <row r="64" spans="1:29" s="5" customFormat="1" ht="15" customHeight="1">
      <c r="A64" s="19"/>
      <c r="B64" s="2"/>
      <c r="C64" s="2"/>
      <c r="D64" s="2"/>
      <c r="E64" s="2"/>
      <c r="F64" s="2"/>
      <c r="G64" s="2"/>
      <c r="H64" s="2"/>
      <c r="I64" s="4"/>
    </row>
    <row r="65" spans="1:9" s="5" customFormat="1" ht="15" customHeight="1">
      <c r="A65" s="19"/>
      <c r="B65" s="2"/>
      <c r="C65" s="2"/>
      <c r="D65" s="2"/>
      <c r="E65" s="2"/>
      <c r="F65" s="2"/>
      <c r="G65" s="2"/>
      <c r="H65" s="2"/>
      <c r="I65" s="4"/>
    </row>
    <row r="66" spans="1:9" s="5" customFormat="1">
      <c r="A66" s="75"/>
      <c r="B66" s="75"/>
      <c r="C66" s="75"/>
      <c r="D66" s="75"/>
      <c r="E66" s="75"/>
      <c r="F66" s="75"/>
      <c r="G66" s="75"/>
      <c r="H66" s="75"/>
      <c r="I66" s="4"/>
    </row>
    <row r="68" spans="1:9" s="5" customFormat="1">
      <c r="A68" s="4"/>
      <c r="B68" s="4"/>
      <c r="C68" s="4"/>
      <c r="D68" s="4"/>
      <c r="E68" s="4"/>
      <c r="F68" s="4"/>
      <c r="G68" s="4"/>
      <c r="H68" s="20"/>
      <c r="I68" s="4"/>
    </row>
    <row r="69" spans="1:9" s="5" customFormat="1">
      <c r="A69" s="19"/>
      <c r="B69" s="4"/>
      <c r="C69" s="4"/>
      <c r="D69" s="4"/>
      <c r="E69" s="4"/>
      <c r="F69" s="4"/>
      <c r="G69" s="4"/>
      <c r="H69" s="20"/>
      <c r="I69" s="4"/>
    </row>
  </sheetData>
  <mergeCells count="9">
    <mergeCell ref="A66:H66"/>
    <mergeCell ref="A4:F4"/>
    <mergeCell ref="B5:F5"/>
    <mergeCell ref="A1:H1"/>
    <mergeCell ref="B6:C6"/>
    <mergeCell ref="E6:F6"/>
    <mergeCell ref="A58:H58"/>
    <mergeCell ref="A59:H59"/>
    <mergeCell ref="A61:H61"/>
  </mergeCells>
  <dataValidations count="1">
    <dataValidation type="list" allowBlank="1" showInputMessage="1" showErrorMessage="1" sqref="A4:G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8"/>
  <sheetViews>
    <sheetView tabSelected="1" zoomScaleNormal="100" workbookViewId="0">
      <pane ySplit="8" topLeftCell="A9" activePane="bottomLeft" state="frozen"/>
      <selection pane="bottomLeft" sqref="A1:H1"/>
    </sheetView>
  </sheetViews>
  <sheetFormatPr defaultRowHeight="15"/>
  <cols>
    <col min="1" max="1" width="50.7109375" style="4" customWidth="1"/>
    <col min="2" max="3" width="14.7109375" style="4" customWidth="1"/>
    <col min="4" max="4" width="3.7109375" style="4" customWidth="1"/>
    <col min="5" max="6" width="14.7109375" style="4" customWidth="1"/>
    <col min="7" max="7" width="3.7109375" style="4" customWidth="1"/>
    <col min="8" max="8" width="14.7109375" style="4" customWidth="1"/>
    <col min="9" max="10" width="9.140625" style="4" customWidth="1"/>
    <col min="11" max="11" width="9.140625" style="4" hidden="1" customWidth="1"/>
    <col min="12" max="12" width="9.140625" style="4" customWidth="1"/>
    <col min="13" max="13" width="10" style="4" bestFit="1" customWidth="1"/>
    <col min="14" max="14" width="11.85546875" style="4" customWidth="1"/>
    <col min="15" max="19" width="9.140625" style="4"/>
    <col min="20" max="20" width="11" style="4" customWidth="1"/>
    <col min="21" max="16384" width="9.140625" style="4"/>
  </cols>
  <sheetData>
    <row r="1" spans="1:33" s="3" customFormat="1" ht="45" customHeight="1">
      <c r="A1" s="82" t="s">
        <v>96</v>
      </c>
      <c r="B1" s="82"/>
      <c r="C1" s="82"/>
      <c r="D1" s="82"/>
      <c r="E1" s="82"/>
      <c r="F1" s="82"/>
      <c r="G1" s="82"/>
      <c r="H1" s="82"/>
      <c r="I1" s="1"/>
      <c r="J1" s="1"/>
      <c r="K1" s="2"/>
      <c r="L1" s="2"/>
    </row>
    <row r="2" spans="1:33" s="5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3" s="5" customFormat="1" ht="15" customHeight="1">
      <c r="A3" s="22" t="s">
        <v>63</v>
      </c>
      <c r="B3" s="23"/>
      <c r="C3" s="23"/>
      <c r="D3" s="23"/>
      <c r="E3" s="23"/>
      <c r="F3" s="23"/>
      <c r="G3" s="23"/>
      <c r="H3" s="4"/>
      <c r="I3" s="4"/>
      <c r="J3" s="4"/>
      <c r="K3" s="4"/>
      <c r="L3" s="4"/>
    </row>
    <row r="4" spans="1:33" s="5" customFormat="1" ht="15" customHeight="1">
      <c r="A4" s="76" t="s">
        <v>55</v>
      </c>
      <c r="B4" s="76"/>
      <c r="C4" s="76"/>
      <c r="D4" s="76"/>
      <c r="E4" s="76"/>
      <c r="F4" s="76"/>
      <c r="G4" s="4"/>
      <c r="H4" s="4"/>
      <c r="I4" s="4"/>
      <c r="J4" s="4"/>
      <c r="K4" s="4"/>
      <c r="L4" s="4"/>
      <c r="M4" s="4"/>
    </row>
    <row r="5" spans="1:33" s="5" customFormat="1" ht="15.75" thickBot="1">
      <c r="A5" s="4"/>
      <c r="B5" s="77"/>
      <c r="C5" s="77"/>
      <c r="D5" s="77"/>
      <c r="E5" s="77"/>
      <c r="F5" s="77"/>
      <c r="G5" s="47"/>
      <c r="H5" s="30"/>
      <c r="I5" s="4"/>
      <c r="J5" s="4"/>
      <c r="K5" s="6"/>
      <c r="L5" s="6"/>
      <c r="N5" s="6"/>
      <c r="O5" s="6"/>
      <c r="Q5" s="6"/>
      <c r="R5" s="6"/>
      <c r="S5" s="6"/>
      <c r="T5" s="6"/>
      <c r="U5" s="6"/>
      <c r="X5" s="7"/>
    </row>
    <row r="6" spans="1:33" s="3" customFormat="1" ht="31.5" customHeight="1" thickBot="1">
      <c r="A6" s="2"/>
      <c r="B6" s="79" t="s">
        <v>85</v>
      </c>
      <c r="C6" s="79"/>
      <c r="D6" s="48"/>
      <c r="E6" s="79" t="s">
        <v>88</v>
      </c>
      <c r="F6" s="79"/>
      <c r="G6" s="48"/>
      <c r="H6" s="83" t="s">
        <v>90</v>
      </c>
      <c r="I6" s="2"/>
      <c r="J6" s="2"/>
      <c r="K6" s="42"/>
      <c r="L6" s="42"/>
      <c r="N6" s="42"/>
      <c r="O6" s="42"/>
      <c r="Q6" s="42"/>
      <c r="R6" s="42"/>
      <c r="S6" s="42"/>
      <c r="T6" s="42"/>
      <c r="U6" s="42"/>
    </row>
    <row r="7" spans="1:33" s="10" customFormat="1" ht="15.75" thickBot="1">
      <c r="A7" s="8" t="s">
        <v>62</v>
      </c>
      <c r="B7" s="63" t="s">
        <v>86</v>
      </c>
      <c r="C7" s="63" t="s">
        <v>87</v>
      </c>
      <c r="D7" s="9"/>
      <c r="E7" s="63" t="s">
        <v>86</v>
      </c>
      <c r="F7" s="63" t="s">
        <v>87</v>
      </c>
      <c r="G7" s="9"/>
      <c r="H7" s="84"/>
      <c r="M7" s="4"/>
    </row>
    <row r="8" spans="1:33" s="5" customFormat="1" ht="15" customHeight="1">
      <c r="A8" s="25" t="s">
        <v>0</v>
      </c>
      <c r="B8" s="15">
        <f ca="1">IF('FIRE1112 raw'!B8="N/A","N/A",IF('FIRE1112 raw'!B8="..","..",ROUND('FIRE1112 raw'!B8,0)))</f>
        <v>808</v>
      </c>
      <c r="C8" s="15">
        <f ca="1">IF('FIRE1112 raw'!C8="N/A","N/A",IF('FIRE1112 raw'!C8="..","..",ROUND('FIRE1112 raw'!C8,0)))</f>
        <v>1121</v>
      </c>
      <c r="D8" s="15"/>
      <c r="E8" s="15">
        <f ca="1">IF('FIRE1112 raw'!E8="N/A","N/A",IF('FIRE1112 raw'!E8="..","..",ROUND('FIRE1112 raw'!E8,0)))</f>
        <v>50</v>
      </c>
      <c r="F8" s="15">
        <f ca="1">IF('FIRE1112 raw'!F8="N/A","N/A",IF('FIRE1112 raw'!F8="..","..",ROUND('FIRE1112 raw'!F8,0)))</f>
        <v>685</v>
      </c>
      <c r="G8" s="15"/>
      <c r="H8" s="15">
        <f ca="1">IF('FIRE1112 raw'!H8="N/A","N/A",IF('FIRE1112 raw'!H8="..","..",ROUND('FIRE1112 raw'!H8,0)))</f>
        <v>100</v>
      </c>
      <c r="I8" s="4"/>
      <c r="K8" s="11"/>
      <c r="L8" s="11"/>
      <c r="N8" s="11"/>
      <c r="O8" s="11"/>
      <c r="Q8" s="13"/>
      <c r="R8" s="13"/>
      <c r="S8" s="13"/>
      <c r="T8" s="13"/>
      <c r="U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5" customFormat="1" ht="15" customHeight="1">
      <c r="A9" s="26" t="s">
        <v>8</v>
      </c>
      <c r="B9" s="15">
        <f ca="1">IF('FIRE1112 raw'!B9="N/A","N/A",IF('FIRE1112 raw'!B9="..","..",ROUND('FIRE1112 raw'!B9,0)))</f>
        <v>542</v>
      </c>
      <c r="C9" s="15">
        <f ca="1">IF('FIRE1112 raw'!C9="N/A","N/A",IF('FIRE1112 raw'!C9="..","..",ROUND('FIRE1112 raw'!C9,0)))</f>
        <v>682</v>
      </c>
      <c r="D9" s="15"/>
      <c r="E9" s="15">
        <f ca="1">IF('FIRE1112 raw'!E9="N/A","N/A",IF('FIRE1112 raw'!E9="..","..",ROUND('FIRE1112 raw'!E9,0)))</f>
        <v>46</v>
      </c>
      <c r="F9" s="15">
        <f ca="1">IF('FIRE1112 raw'!F9="N/A","N/A",IF('FIRE1112 raw'!F9="..","..",ROUND('FIRE1112 raw'!F9,0)))</f>
        <v>550</v>
      </c>
      <c r="G9" s="15"/>
      <c r="H9" s="15">
        <f ca="1">IF('FIRE1112 raw'!H9="N/A","N/A",IF('FIRE1112 raw'!H9="..","..",ROUND('FIRE1112 raw'!H9,0)))</f>
        <v>77</v>
      </c>
      <c r="I9" s="4"/>
      <c r="K9" s="11"/>
      <c r="L9" s="11"/>
      <c r="N9" s="11"/>
      <c r="O9" s="11"/>
      <c r="Q9" s="13"/>
      <c r="R9" s="13"/>
      <c r="S9" s="13"/>
      <c r="T9" s="13"/>
      <c r="U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5" customFormat="1" ht="15" customHeight="1">
      <c r="A10" s="4" t="s">
        <v>9</v>
      </c>
      <c r="B10" s="43">
        <f ca="1">IF('FIRE1112 raw'!B10="N/A","N/A",IF('FIRE1112 raw'!B10="..","..",ROUND('FIRE1112 raw'!B10,0)))</f>
        <v>25</v>
      </c>
      <c r="C10" s="43">
        <f ca="1">IF('FIRE1112 raw'!C10="N/A","N/A",IF('FIRE1112 raw'!C10="..","..",ROUND('FIRE1112 raw'!C10,0)))</f>
        <v>39</v>
      </c>
      <c r="D10" s="43"/>
      <c r="E10" s="43">
        <f ca="1">IF('FIRE1112 raw'!E10="N/A","N/A",IF('FIRE1112 raw'!E10="..","..",ROUND('FIRE1112 raw'!E10,0)))</f>
        <v>3</v>
      </c>
      <c r="F10" s="43">
        <f ca="1">IF('FIRE1112 raw'!F10="N/A","N/A",IF('FIRE1112 raw'!F10="..","..",ROUND('FIRE1112 raw'!F10,0)))</f>
        <v>25</v>
      </c>
      <c r="G10" s="43"/>
      <c r="H10" s="43">
        <f ca="1">IF('FIRE1112 raw'!H10="N/A","N/A",IF('FIRE1112 raw'!H10="..","..",ROUND('FIRE1112 raw'!H10,0)))</f>
        <v>0</v>
      </c>
      <c r="I10" s="4"/>
      <c r="K10" s="11"/>
      <c r="L10" s="11"/>
      <c r="N10" s="11"/>
      <c r="O10" s="11"/>
      <c r="Q10" s="13"/>
      <c r="R10" s="13"/>
      <c r="S10" s="13"/>
      <c r="T10" s="13"/>
      <c r="U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5" customFormat="1" ht="15" customHeight="1">
      <c r="A11" s="4" t="s">
        <v>10</v>
      </c>
      <c r="B11" s="43">
        <f ca="1">IF('FIRE1112 raw'!B11="N/A","N/A",IF('FIRE1112 raw'!B11="..","..",ROUND('FIRE1112 raw'!B11,0)))</f>
        <v>8</v>
      </c>
      <c r="C11" s="43">
        <f ca="1">IF('FIRE1112 raw'!C11="N/A","N/A",IF('FIRE1112 raw'!C11="..","..",ROUND('FIRE1112 raw'!C11,0)))</f>
        <v>15</v>
      </c>
      <c r="D11" s="43"/>
      <c r="E11" s="43">
        <f ca="1">IF('FIRE1112 raw'!E11="N/A","N/A",IF('FIRE1112 raw'!E11="..","..",ROUND('FIRE1112 raw'!E11,0)))</f>
        <v>0</v>
      </c>
      <c r="F11" s="43">
        <f ca="1">IF('FIRE1112 raw'!F11="N/A","N/A",IF('FIRE1112 raw'!F11="..","..",ROUND('FIRE1112 raw'!F11,0)))</f>
        <v>5</v>
      </c>
      <c r="G11" s="43"/>
      <c r="H11" s="43">
        <f ca="1">IF('FIRE1112 raw'!H11="N/A","N/A",IF('FIRE1112 raw'!H11="..","..",ROUND('FIRE1112 raw'!H11,0)))</f>
        <v>0</v>
      </c>
      <c r="I11" s="4"/>
      <c r="K11" s="11"/>
      <c r="L11" s="11"/>
      <c r="N11" s="11"/>
      <c r="O11" s="11"/>
      <c r="Q11" s="13"/>
      <c r="R11" s="13"/>
      <c r="S11" s="13"/>
      <c r="T11" s="13"/>
      <c r="U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5" customFormat="1" ht="15" customHeight="1">
      <c r="A12" s="4" t="s">
        <v>11</v>
      </c>
      <c r="B12" s="43">
        <f ca="1">IF('FIRE1112 raw'!B12="N/A","N/A",IF('FIRE1112 raw'!B12="..","..",ROUND('FIRE1112 raw'!B12,0)))</f>
        <v>15</v>
      </c>
      <c r="C12" s="43">
        <f ca="1">IF('FIRE1112 raw'!C12="N/A","N/A",IF('FIRE1112 raw'!C12="..","..",ROUND('FIRE1112 raw'!C12,0)))</f>
        <v>20</v>
      </c>
      <c r="D12" s="43"/>
      <c r="E12" s="43">
        <f ca="1">IF('FIRE1112 raw'!E12="N/A","N/A",IF('FIRE1112 raw'!E12="..","..",ROUND('FIRE1112 raw'!E12,0)))</f>
        <v>0</v>
      </c>
      <c r="F12" s="43">
        <f ca="1">IF('FIRE1112 raw'!F12="N/A","N/A",IF('FIRE1112 raw'!F12="..","..",ROUND('FIRE1112 raw'!F12,0)))</f>
        <v>6</v>
      </c>
      <c r="G12" s="43"/>
      <c r="H12" s="43">
        <f ca="1">IF('FIRE1112 raw'!H12="N/A","N/A",IF('FIRE1112 raw'!H12="..","..",ROUND('FIRE1112 raw'!H12,0)))</f>
        <v>1</v>
      </c>
      <c r="I12" s="4"/>
      <c r="K12" s="11"/>
      <c r="L12" s="11"/>
      <c r="N12" s="11"/>
      <c r="O12" s="11"/>
      <c r="Q12" s="13"/>
      <c r="R12" s="13"/>
      <c r="S12" s="13"/>
      <c r="T12" s="13"/>
      <c r="U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5" customFormat="1" ht="15" customHeight="1">
      <c r="A13" s="4" t="s">
        <v>12</v>
      </c>
      <c r="B13" s="43">
        <f ca="1">IF('FIRE1112 raw'!B13="N/A","N/A",IF('FIRE1112 raw'!B13="..","..",ROUND('FIRE1112 raw'!B13,0)))</f>
        <v>10</v>
      </c>
      <c r="C13" s="43">
        <f ca="1">IF('FIRE1112 raw'!C13="N/A","N/A",IF('FIRE1112 raw'!C13="..","..",ROUND('FIRE1112 raw'!C13,0)))</f>
        <v>19</v>
      </c>
      <c r="D13" s="43"/>
      <c r="E13" s="43">
        <f ca="1">IF('FIRE1112 raw'!E13="N/A","N/A",IF('FIRE1112 raw'!E13="..","..",ROUND('FIRE1112 raw'!E13,0)))</f>
        <v>1</v>
      </c>
      <c r="F13" s="43">
        <f ca="1">IF('FIRE1112 raw'!F13="N/A","N/A",IF('FIRE1112 raw'!F13="..","..",ROUND('FIRE1112 raw'!F13,0)))</f>
        <v>7</v>
      </c>
      <c r="G13" s="43"/>
      <c r="H13" s="43">
        <f ca="1">IF('FIRE1112 raw'!H13="N/A","N/A",IF('FIRE1112 raw'!H13="..","..",ROUND('FIRE1112 raw'!H13,0)))</f>
        <v>0</v>
      </c>
      <c r="I13" s="4"/>
      <c r="K13" s="11"/>
      <c r="L13" s="11"/>
      <c r="N13" s="11"/>
      <c r="O13" s="11"/>
      <c r="Q13" s="13"/>
      <c r="R13" s="13"/>
      <c r="S13" s="13"/>
      <c r="T13" s="13"/>
      <c r="U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5" customFormat="1" ht="15" customHeight="1">
      <c r="A14" s="4" t="s">
        <v>13</v>
      </c>
      <c r="B14" s="43">
        <f ca="1">IF('FIRE1112 raw'!B14="N/A","N/A",IF('FIRE1112 raw'!B14="..","..",ROUND('FIRE1112 raw'!B14,0)))</f>
        <v>3</v>
      </c>
      <c r="C14" s="43">
        <f ca="1">IF('FIRE1112 raw'!C14="N/A","N/A",IF('FIRE1112 raw'!C14="..","..",ROUND('FIRE1112 raw'!C14,0)))</f>
        <v>13</v>
      </c>
      <c r="D14" s="43"/>
      <c r="E14" s="43">
        <f ca="1">IF('FIRE1112 raw'!E14="N/A","N/A",IF('FIRE1112 raw'!E14="..","..",ROUND('FIRE1112 raw'!E14,0)))</f>
        <v>1</v>
      </c>
      <c r="F14" s="43">
        <f ca="1">IF('FIRE1112 raw'!F14="N/A","N/A",IF('FIRE1112 raw'!F14="..","..",ROUND('FIRE1112 raw'!F14,0)))</f>
        <v>16</v>
      </c>
      <c r="G14" s="43"/>
      <c r="H14" s="43">
        <f ca="1">IF('FIRE1112 raw'!H14="N/A","N/A",IF('FIRE1112 raw'!H14="..","..",ROUND('FIRE1112 raw'!H14,0)))</f>
        <v>0</v>
      </c>
      <c r="I14" s="4"/>
      <c r="K14" s="11"/>
      <c r="L14" s="11"/>
      <c r="N14" s="11"/>
      <c r="O14" s="11"/>
      <c r="Q14" s="13"/>
      <c r="R14" s="13"/>
      <c r="S14" s="13"/>
      <c r="T14" s="13"/>
      <c r="U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5" customFormat="1" ht="15" customHeight="1">
      <c r="A15" s="4" t="s">
        <v>14</v>
      </c>
      <c r="B15" s="43">
        <f ca="1">IF('FIRE1112 raw'!B15="N/A","N/A",IF('FIRE1112 raw'!B15="..","..",ROUND('FIRE1112 raw'!B15,0)))</f>
        <v>15</v>
      </c>
      <c r="C15" s="43">
        <f ca="1">IF('FIRE1112 raw'!C15="N/A","N/A",IF('FIRE1112 raw'!C15="..","..",ROUND('FIRE1112 raw'!C15,0)))</f>
        <v>21</v>
      </c>
      <c r="D15" s="43"/>
      <c r="E15" s="43">
        <f ca="1">IF('FIRE1112 raw'!E15="N/A","N/A",IF('FIRE1112 raw'!E15="..","..",ROUND('FIRE1112 raw'!E15,0)))</f>
        <v>0</v>
      </c>
      <c r="F15" s="43">
        <f ca="1">IF('FIRE1112 raw'!F15="N/A","N/A",IF('FIRE1112 raw'!F15="..","..",ROUND('FIRE1112 raw'!F15,0)))</f>
        <v>17</v>
      </c>
      <c r="G15" s="43"/>
      <c r="H15" s="43">
        <f ca="1">IF('FIRE1112 raw'!H15="N/A","N/A",IF('FIRE1112 raw'!H15="..","..",ROUND('FIRE1112 raw'!H15,0)))</f>
        <v>0</v>
      </c>
      <c r="I15" s="4"/>
      <c r="K15" s="11"/>
      <c r="L15" s="11"/>
      <c r="N15" s="11"/>
      <c r="O15" s="11"/>
      <c r="Q15" s="13"/>
      <c r="R15" s="13"/>
      <c r="S15" s="13"/>
      <c r="T15" s="13"/>
      <c r="U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5" customFormat="1" ht="15" customHeight="1">
      <c r="A16" s="4" t="s">
        <v>15</v>
      </c>
      <c r="B16" s="43">
        <f ca="1">IF('FIRE1112 raw'!B16="N/A","N/A",IF('FIRE1112 raw'!B16="..","..",ROUND('FIRE1112 raw'!B16,0)))</f>
        <v>11</v>
      </c>
      <c r="C16" s="43">
        <f ca="1">IF('FIRE1112 raw'!C16="N/A","N/A",IF('FIRE1112 raw'!C16="..","..",ROUND('FIRE1112 raw'!C16,0)))</f>
        <v>20</v>
      </c>
      <c r="D16" s="43"/>
      <c r="E16" s="43">
        <f ca="1">IF('FIRE1112 raw'!E16="N/A","N/A",IF('FIRE1112 raw'!E16="..","..",ROUND('FIRE1112 raw'!E16,0)))</f>
        <v>0</v>
      </c>
      <c r="F16" s="43">
        <f ca="1">IF('FIRE1112 raw'!F16="N/A","N/A",IF('FIRE1112 raw'!F16="..","..",ROUND('FIRE1112 raw'!F16,0)))</f>
        <v>3</v>
      </c>
      <c r="G16" s="43"/>
      <c r="H16" s="43">
        <f ca="1">IF('FIRE1112 raw'!H16="N/A","N/A",IF('FIRE1112 raw'!H16="..","..",ROUND('FIRE1112 raw'!H16,0)))</f>
        <v>1</v>
      </c>
      <c r="I16" s="4"/>
      <c r="K16" s="11"/>
      <c r="L16" s="11"/>
      <c r="N16" s="11"/>
      <c r="O16" s="11"/>
      <c r="Q16" s="13"/>
      <c r="R16" s="13"/>
      <c r="S16" s="13"/>
      <c r="T16" s="13"/>
      <c r="U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5" customFormat="1" ht="15" customHeight="1">
      <c r="A17" s="4" t="s">
        <v>16</v>
      </c>
      <c r="B17" s="43">
        <f ca="1">IF('FIRE1112 raw'!B17="N/A","N/A",IF('FIRE1112 raw'!B17="..","..",ROUND('FIRE1112 raw'!B17,0)))</f>
        <v>2</v>
      </c>
      <c r="C17" s="43">
        <f ca="1">IF('FIRE1112 raw'!C17="N/A","N/A",IF('FIRE1112 raw'!C17="..","..",ROUND('FIRE1112 raw'!C17,0)))</f>
        <v>6</v>
      </c>
      <c r="D17" s="43"/>
      <c r="E17" s="43">
        <f ca="1">IF('FIRE1112 raw'!E17="N/A","N/A",IF('FIRE1112 raw'!E17="..","..",ROUND('FIRE1112 raw'!E17,0)))</f>
        <v>0</v>
      </c>
      <c r="F17" s="43">
        <f ca="1">IF('FIRE1112 raw'!F17="N/A","N/A",IF('FIRE1112 raw'!F17="..","..",ROUND('FIRE1112 raw'!F17,0)))</f>
        <v>6</v>
      </c>
      <c r="G17" s="43"/>
      <c r="H17" s="43">
        <f ca="1">IF('FIRE1112 raw'!H17="N/A","N/A",IF('FIRE1112 raw'!H17="..","..",ROUND('FIRE1112 raw'!H17,0)))</f>
        <v>1</v>
      </c>
      <c r="I17" s="4"/>
      <c r="K17" s="11"/>
      <c r="L17" s="11"/>
      <c r="N17" s="11"/>
      <c r="O17" s="11"/>
      <c r="Q17" s="13"/>
      <c r="R17" s="13"/>
      <c r="S17" s="13"/>
      <c r="T17" s="13"/>
      <c r="U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5" customFormat="1" ht="15" customHeight="1">
      <c r="A18" s="4" t="s">
        <v>17</v>
      </c>
      <c r="B18" s="43">
        <f ca="1">IF('FIRE1112 raw'!B18="N/A","N/A",IF('FIRE1112 raw'!B18="..","..",ROUND('FIRE1112 raw'!B18,0)))</f>
        <v>9</v>
      </c>
      <c r="C18" s="43">
        <f ca="1">IF('FIRE1112 raw'!C18="N/A","N/A",IF('FIRE1112 raw'!C18="..","..",ROUND('FIRE1112 raw'!C18,0)))</f>
        <v>9</v>
      </c>
      <c r="D18" s="43"/>
      <c r="E18" s="43">
        <f ca="1">IF('FIRE1112 raw'!E18="N/A","N/A",IF('FIRE1112 raw'!E18="..","..",ROUND('FIRE1112 raw'!E18,0)))</f>
        <v>0</v>
      </c>
      <c r="F18" s="43">
        <f ca="1">IF('FIRE1112 raw'!F18="N/A","N/A",IF('FIRE1112 raw'!F18="..","..",ROUND('FIRE1112 raw'!F18,0)))</f>
        <v>2</v>
      </c>
      <c r="G18" s="43"/>
      <c r="H18" s="43">
        <f ca="1">IF('FIRE1112 raw'!H18="N/A","N/A",IF('FIRE1112 raw'!H18="..","..",ROUND('FIRE1112 raw'!H18,0)))</f>
        <v>0</v>
      </c>
      <c r="I18" s="4"/>
      <c r="K18" s="11"/>
      <c r="L18" s="11"/>
      <c r="N18" s="11"/>
      <c r="O18" s="11"/>
      <c r="Q18" s="13"/>
      <c r="R18" s="13"/>
      <c r="S18" s="13"/>
      <c r="T18" s="13"/>
      <c r="U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5" customFormat="1" ht="15" customHeight="1">
      <c r="A19" s="21" t="s">
        <v>18</v>
      </c>
      <c r="B19" s="43">
        <f ca="1">IF('FIRE1112 raw'!B19="N/A","N/A",IF('FIRE1112 raw'!B19="..","..",ROUND('FIRE1112 raw'!B19,0)))</f>
        <v>13</v>
      </c>
      <c r="C19" s="43">
        <f ca="1">IF('FIRE1112 raw'!C19="N/A","N/A",IF('FIRE1112 raw'!C19="..","..",ROUND('FIRE1112 raw'!C19,0)))</f>
        <v>18</v>
      </c>
      <c r="D19" s="43"/>
      <c r="E19" s="43">
        <f ca="1">IF('FIRE1112 raw'!E19="N/A","N/A",IF('FIRE1112 raw'!E19="..","..",ROUND('FIRE1112 raw'!E19,0)))</f>
        <v>0</v>
      </c>
      <c r="F19" s="43">
        <f ca="1">IF('FIRE1112 raw'!F19="N/A","N/A",IF('FIRE1112 raw'!F19="..","..",ROUND('FIRE1112 raw'!F19,0)))</f>
        <v>24</v>
      </c>
      <c r="G19" s="43"/>
      <c r="H19" s="43">
        <f ca="1">IF('FIRE1112 raw'!H19="N/A","N/A",IF('FIRE1112 raw'!H19="..","..",ROUND('FIRE1112 raw'!H19,0)))</f>
        <v>4</v>
      </c>
      <c r="I19" s="4"/>
      <c r="K19" s="11"/>
      <c r="L19" s="11"/>
      <c r="N19" s="11"/>
      <c r="O19" s="11"/>
      <c r="Q19" s="13"/>
      <c r="R19" s="13"/>
      <c r="S19" s="13"/>
      <c r="T19" s="13"/>
      <c r="U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5" customFormat="1" ht="15" customHeight="1">
      <c r="A20" s="21" t="s">
        <v>19</v>
      </c>
      <c r="B20" s="43">
        <f ca="1">IF('FIRE1112 raw'!B20="N/A","N/A",IF('FIRE1112 raw'!B20="..","..",ROUND('FIRE1112 raw'!B20,0)))</f>
        <v>42</v>
      </c>
      <c r="C20" s="43">
        <f ca="1">IF('FIRE1112 raw'!C20="N/A","N/A",IF('FIRE1112 raw'!C20="..","..",ROUND('FIRE1112 raw'!C20,0)))</f>
        <v>51</v>
      </c>
      <c r="D20" s="43"/>
      <c r="E20" s="43">
        <f ca="1">IF('FIRE1112 raw'!E20="N/A","N/A",IF('FIRE1112 raw'!E20="..","..",ROUND('FIRE1112 raw'!E20,0)))</f>
        <v>4</v>
      </c>
      <c r="F20" s="43">
        <f ca="1">IF('FIRE1112 raw'!F20="N/A","N/A",IF('FIRE1112 raw'!F20="..","..",ROUND('FIRE1112 raw'!F20,0)))</f>
        <v>54</v>
      </c>
      <c r="G20" s="43"/>
      <c r="H20" s="43">
        <f ca="1">IF('FIRE1112 raw'!H20="N/A","N/A",IF('FIRE1112 raw'!H20="..","..",ROUND('FIRE1112 raw'!H20,0)))</f>
        <v>10</v>
      </c>
      <c r="I20" s="4"/>
      <c r="K20" s="11"/>
      <c r="L20" s="11"/>
      <c r="N20" s="11"/>
      <c r="O20" s="11"/>
      <c r="Q20" s="13"/>
      <c r="R20" s="13"/>
      <c r="S20" s="13"/>
      <c r="T20" s="13"/>
      <c r="U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5" customFormat="1" ht="15" customHeight="1">
      <c r="A21" s="4" t="s">
        <v>20</v>
      </c>
      <c r="B21" s="43">
        <f ca="1">IF('FIRE1112 raw'!B21="N/A","N/A",IF('FIRE1112 raw'!B21="..","..",ROUND('FIRE1112 raw'!B21,0)))</f>
        <v>10</v>
      </c>
      <c r="C21" s="43">
        <f ca="1">IF('FIRE1112 raw'!C21="N/A","N/A",IF('FIRE1112 raw'!C21="..","..",ROUND('FIRE1112 raw'!C21,0)))</f>
        <v>21</v>
      </c>
      <c r="D21" s="43"/>
      <c r="E21" s="43">
        <f ca="1">IF('FIRE1112 raw'!E21="N/A","N/A",IF('FIRE1112 raw'!E21="..","..",ROUND('FIRE1112 raw'!E21,0)))</f>
        <v>1</v>
      </c>
      <c r="F21" s="43">
        <f ca="1">IF('FIRE1112 raw'!F21="N/A","N/A",IF('FIRE1112 raw'!F21="..","..",ROUND('FIRE1112 raw'!F21,0)))</f>
        <v>12</v>
      </c>
      <c r="G21" s="43"/>
      <c r="H21" s="43">
        <f ca="1">IF('FIRE1112 raw'!H21="N/A","N/A",IF('FIRE1112 raw'!H21="..","..",ROUND('FIRE1112 raw'!H21,0)))</f>
        <v>5</v>
      </c>
      <c r="I21" s="4"/>
      <c r="K21" s="11"/>
      <c r="L21" s="11"/>
      <c r="N21" s="11"/>
      <c r="O21" s="11"/>
      <c r="Q21" s="13"/>
      <c r="R21" s="13"/>
      <c r="S21" s="13"/>
      <c r="T21" s="13"/>
      <c r="U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5" customFormat="1" ht="15" customHeight="1">
      <c r="A22" s="4" t="s">
        <v>21</v>
      </c>
      <c r="B22" s="43">
        <f ca="1">IF('FIRE1112 raw'!B22="N/A","N/A",IF('FIRE1112 raw'!B22="..","..",ROUND('FIRE1112 raw'!B22,0)))</f>
        <v>3</v>
      </c>
      <c r="C22" s="43">
        <f ca="1">IF('FIRE1112 raw'!C22="N/A","N/A",IF('FIRE1112 raw'!C22="..","..",ROUND('FIRE1112 raw'!C22,0)))</f>
        <v>15</v>
      </c>
      <c r="D22" s="43"/>
      <c r="E22" s="43">
        <f ca="1">IF('FIRE1112 raw'!E22="N/A","N/A",IF('FIRE1112 raw'!E22="..","..",ROUND('FIRE1112 raw'!E22,0)))</f>
        <v>1</v>
      </c>
      <c r="F22" s="43">
        <f ca="1">IF('FIRE1112 raw'!F22="N/A","N/A",IF('FIRE1112 raw'!F22="..","..",ROUND('FIRE1112 raw'!F22,0)))</f>
        <v>4</v>
      </c>
      <c r="G22" s="43"/>
      <c r="H22" s="43">
        <f ca="1">IF('FIRE1112 raw'!H22="N/A","N/A",IF('FIRE1112 raw'!H22="..","..",ROUND('FIRE1112 raw'!H22,0)))</f>
        <v>0</v>
      </c>
      <c r="I22" s="4"/>
      <c r="K22" s="11"/>
      <c r="L22" s="11"/>
      <c r="N22" s="11"/>
      <c r="O22" s="11"/>
      <c r="Q22" s="13"/>
      <c r="R22" s="13"/>
      <c r="S22" s="13"/>
      <c r="T22" s="13"/>
      <c r="U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5" customFormat="1" ht="15" customHeight="1">
      <c r="A23" s="4" t="s">
        <v>22</v>
      </c>
      <c r="B23" s="43">
        <f ca="1">IF('FIRE1112 raw'!B23="N/A","N/A",IF('FIRE1112 raw'!B23="..","..",ROUND('FIRE1112 raw'!B23,0)))</f>
        <v>21</v>
      </c>
      <c r="C23" s="43">
        <f ca="1">IF('FIRE1112 raw'!C23="N/A","N/A",IF('FIRE1112 raw'!C23="..","..",ROUND('FIRE1112 raw'!C23,0)))</f>
        <v>23</v>
      </c>
      <c r="D23" s="43"/>
      <c r="E23" s="43">
        <f ca="1">IF('FIRE1112 raw'!E23="N/A","N/A",IF('FIRE1112 raw'!E23="..","..",ROUND('FIRE1112 raw'!E23,0)))</f>
        <v>2</v>
      </c>
      <c r="F23" s="43">
        <f ca="1">IF('FIRE1112 raw'!F23="N/A","N/A",IF('FIRE1112 raw'!F23="..","..",ROUND('FIRE1112 raw'!F23,0)))</f>
        <v>20</v>
      </c>
      <c r="G23" s="43"/>
      <c r="H23" s="43">
        <f ca="1">IF('FIRE1112 raw'!H23="N/A","N/A",IF('FIRE1112 raw'!H23="..","..",ROUND('FIRE1112 raw'!H23,0)))</f>
        <v>2</v>
      </c>
      <c r="I23" s="4"/>
      <c r="K23" s="11"/>
      <c r="L23" s="11"/>
      <c r="N23" s="11"/>
      <c r="O23" s="11"/>
      <c r="Q23" s="13"/>
      <c r="R23" s="13"/>
      <c r="S23" s="13"/>
      <c r="T23" s="13"/>
      <c r="U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5" customFormat="1" ht="15" customHeight="1">
      <c r="A24" s="4" t="s">
        <v>23</v>
      </c>
      <c r="B24" s="43">
        <f ca="1">IF('FIRE1112 raw'!B24="N/A","N/A",IF('FIRE1112 raw'!B24="..","..",ROUND('FIRE1112 raw'!B24,0)))</f>
        <v>48</v>
      </c>
      <c r="C24" s="43">
        <f ca="1">IF('FIRE1112 raw'!C24="N/A","N/A",IF('FIRE1112 raw'!C24="..","..",ROUND('FIRE1112 raw'!C24,0)))</f>
        <v>26</v>
      </c>
      <c r="D24" s="43"/>
      <c r="E24" s="43">
        <f ca="1">IF('FIRE1112 raw'!E24="N/A","N/A",IF('FIRE1112 raw'!E24="..","..",ROUND('FIRE1112 raw'!E24,0)))</f>
        <v>3</v>
      </c>
      <c r="F24" s="43">
        <f ca="1">IF('FIRE1112 raw'!F24="N/A","N/A",IF('FIRE1112 raw'!F24="..","..",ROUND('FIRE1112 raw'!F24,0)))</f>
        <v>59</v>
      </c>
      <c r="G24" s="43"/>
      <c r="H24" s="43">
        <f ca="1">IF('FIRE1112 raw'!H24="N/A","N/A",IF('FIRE1112 raw'!H24="..","..",ROUND('FIRE1112 raw'!H24,0)))</f>
        <v>2</v>
      </c>
      <c r="I24" s="4"/>
      <c r="K24" s="11"/>
      <c r="L24" s="11"/>
      <c r="N24" s="11"/>
      <c r="O24" s="11"/>
      <c r="Q24" s="13"/>
      <c r="R24" s="13"/>
      <c r="S24" s="13"/>
      <c r="T24" s="13"/>
      <c r="U24" s="1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5" customFormat="1" ht="15" customHeight="1">
      <c r="A25" s="4" t="s">
        <v>24</v>
      </c>
      <c r="B25" s="43">
        <f ca="1">IF('FIRE1112 raw'!B25="N/A","N/A",IF('FIRE1112 raw'!B25="..","..",ROUND('FIRE1112 raw'!B25,0)))</f>
        <v>6</v>
      </c>
      <c r="C25" s="43">
        <f ca="1">IF('FIRE1112 raw'!C25="N/A","N/A",IF('FIRE1112 raw'!C25="..","..",ROUND('FIRE1112 raw'!C25,0)))</f>
        <v>13</v>
      </c>
      <c r="D25" s="43"/>
      <c r="E25" s="43">
        <f ca="1">IF('FIRE1112 raw'!E25="N/A","N/A",IF('FIRE1112 raw'!E25="..","..",ROUND('FIRE1112 raw'!E25,0)))</f>
        <v>0</v>
      </c>
      <c r="F25" s="43">
        <f ca="1">IF('FIRE1112 raw'!F25="N/A","N/A",IF('FIRE1112 raw'!F25="..","..",ROUND('FIRE1112 raw'!F25,0)))</f>
        <v>3</v>
      </c>
      <c r="G25" s="43"/>
      <c r="H25" s="43">
        <f ca="1">IF('FIRE1112 raw'!H25="N/A","N/A",IF('FIRE1112 raw'!H25="..","..",ROUND('FIRE1112 raw'!H25,0)))</f>
        <v>0</v>
      </c>
      <c r="I25" s="4"/>
      <c r="K25" s="11"/>
      <c r="L25" s="11"/>
      <c r="N25" s="11"/>
      <c r="O25" s="11"/>
      <c r="Q25" s="13"/>
      <c r="R25" s="13"/>
      <c r="S25" s="13"/>
      <c r="T25" s="13"/>
      <c r="U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5" customFormat="1" ht="15" customHeight="1">
      <c r="A26" s="4" t="s">
        <v>27</v>
      </c>
      <c r="B26" s="43">
        <f ca="1">IF('FIRE1112 raw'!B26="N/A","N/A",IF('FIRE1112 raw'!B26="..","..",ROUND('FIRE1112 raw'!B26,0)))</f>
        <v>19</v>
      </c>
      <c r="C26" s="43">
        <f ca="1">IF('FIRE1112 raw'!C26="N/A","N/A",IF('FIRE1112 raw'!C26="..","..",ROUND('FIRE1112 raw'!C26,0)))</f>
        <v>33</v>
      </c>
      <c r="D26" s="43"/>
      <c r="E26" s="43">
        <f ca="1">IF('FIRE1112 raw'!E26="N/A","N/A",IF('FIRE1112 raw'!E26="..","..",ROUND('FIRE1112 raw'!E26,0)))</f>
        <v>12</v>
      </c>
      <c r="F26" s="43">
        <f ca="1">IF('FIRE1112 raw'!F26="N/A","N/A",IF('FIRE1112 raw'!F26="..","..",ROUND('FIRE1112 raw'!F26,0)))</f>
        <v>19</v>
      </c>
      <c r="G26" s="43"/>
      <c r="H26" s="43">
        <f ca="1">IF('FIRE1112 raw'!H26="N/A","N/A",IF('FIRE1112 raw'!H26="..","..",ROUND('FIRE1112 raw'!H26,0)))</f>
        <v>0</v>
      </c>
      <c r="I26" s="4"/>
      <c r="K26" s="11"/>
      <c r="L26" s="11"/>
      <c r="N26" s="11"/>
      <c r="O26" s="11"/>
      <c r="Q26" s="13"/>
      <c r="R26" s="13"/>
      <c r="S26" s="13"/>
      <c r="T26" s="13"/>
      <c r="U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5" customFormat="1" ht="15" customHeight="1">
      <c r="A27" s="4" t="s">
        <v>28</v>
      </c>
      <c r="B27" s="43">
        <f ca="1">IF('FIRE1112 raw'!B27="N/A","N/A",IF('FIRE1112 raw'!B27="..","..",ROUND('FIRE1112 raw'!B27,0)))</f>
        <v>20</v>
      </c>
      <c r="C27" s="43">
        <f ca="1">IF('FIRE1112 raw'!C27="N/A","N/A",IF('FIRE1112 raw'!C27="..","..",ROUND('FIRE1112 raw'!C27,0)))</f>
        <v>15</v>
      </c>
      <c r="D27" s="43"/>
      <c r="E27" s="43">
        <f ca="1">IF('FIRE1112 raw'!E27="N/A","N/A",IF('FIRE1112 raw'!E27="..","..",ROUND('FIRE1112 raw'!E27,0)))</f>
        <v>0</v>
      </c>
      <c r="F27" s="43">
        <f ca="1">IF('FIRE1112 raw'!F27="N/A","N/A",IF('FIRE1112 raw'!F27="..","..",ROUND('FIRE1112 raw'!F27,0)))</f>
        <v>17</v>
      </c>
      <c r="G27" s="43"/>
      <c r="H27" s="43">
        <f ca="1">IF('FIRE1112 raw'!H27="N/A","N/A",IF('FIRE1112 raw'!H27="..","..",ROUND('FIRE1112 raw'!H27,0)))</f>
        <v>0</v>
      </c>
      <c r="I27" s="4"/>
      <c r="K27" s="11"/>
      <c r="L27" s="11"/>
      <c r="N27" s="11"/>
      <c r="O27" s="11"/>
      <c r="Q27" s="13"/>
      <c r="R27" s="13"/>
      <c r="S27" s="13"/>
      <c r="T27" s="13"/>
      <c r="U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5" customFormat="1" ht="15" customHeight="1">
      <c r="A28" s="4" t="s">
        <v>29</v>
      </c>
      <c r="B28" s="43">
        <f ca="1">IF('FIRE1112 raw'!B28="N/A","N/A",IF('FIRE1112 raw'!B28="..","..",ROUND('FIRE1112 raw'!B28,0)))</f>
        <v>19</v>
      </c>
      <c r="C28" s="43">
        <f ca="1">IF('FIRE1112 raw'!C28="N/A","N/A",IF('FIRE1112 raw'!C28="..","..",ROUND('FIRE1112 raw'!C28,0)))</f>
        <v>17</v>
      </c>
      <c r="D28" s="43"/>
      <c r="E28" s="43">
        <f ca="1">IF('FIRE1112 raw'!E28="N/A","N/A",IF('FIRE1112 raw'!E28="..","..",ROUND('FIRE1112 raw'!E28,0)))</f>
        <v>2</v>
      </c>
      <c r="F28" s="43">
        <f ca="1">IF('FIRE1112 raw'!F28="N/A","N/A",IF('FIRE1112 raw'!F28="..","..",ROUND('FIRE1112 raw'!F28,0)))</f>
        <v>11</v>
      </c>
      <c r="G28" s="43"/>
      <c r="H28" s="43">
        <f ca="1">IF('FIRE1112 raw'!H28="N/A","N/A",IF('FIRE1112 raw'!H28="..","..",ROUND('FIRE1112 raw'!H28,0)))</f>
        <v>13</v>
      </c>
      <c r="I28" s="4"/>
      <c r="K28" s="11"/>
      <c r="L28" s="11"/>
      <c r="N28" s="11"/>
      <c r="O28" s="11"/>
      <c r="Q28" s="13"/>
      <c r="R28" s="13"/>
      <c r="S28" s="13"/>
      <c r="T28" s="13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5" customFormat="1" ht="15" customHeight="1">
      <c r="A29" s="4" t="s">
        <v>30</v>
      </c>
      <c r="B29" s="43">
        <f ca="1">IF('FIRE1112 raw'!B29="N/A","N/A",IF('FIRE1112 raw'!B29="..","..",ROUND('FIRE1112 raw'!B29,0)))</f>
        <v>13</v>
      </c>
      <c r="C29" s="43">
        <f ca="1">IF('FIRE1112 raw'!C29="N/A","N/A",IF('FIRE1112 raw'!C29="..","..",ROUND('FIRE1112 raw'!C29,0)))</f>
        <v>14</v>
      </c>
      <c r="D29" s="43"/>
      <c r="E29" s="43">
        <f ca="1">IF('FIRE1112 raw'!E29="N/A","N/A",IF('FIRE1112 raw'!E29="..","..",ROUND('FIRE1112 raw'!E29,0)))</f>
        <v>3</v>
      </c>
      <c r="F29" s="43">
        <f ca="1">IF('FIRE1112 raw'!F29="N/A","N/A",IF('FIRE1112 raw'!F29="..","..",ROUND('FIRE1112 raw'!F29,0)))</f>
        <v>24</v>
      </c>
      <c r="G29" s="43"/>
      <c r="H29" s="43">
        <f ca="1">IF('FIRE1112 raw'!H29="N/A","N/A",IF('FIRE1112 raw'!H29="..","..",ROUND('FIRE1112 raw'!H29,0)))</f>
        <v>3</v>
      </c>
      <c r="I29" s="4"/>
      <c r="K29" s="11"/>
      <c r="L29" s="11"/>
      <c r="N29" s="11"/>
      <c r="O29" s="11"/>
      <c r="Q29" s="13"/>
      <c r="R29" s="13"/>
      <c r="S29" s="13"/>
      <c r="T29" s="13"/>
      <c r="U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5" customFormat="1" ht="15" customHeight="1">
      <c r="A30" s="4" t="s">
        <v>31</v>
      </c>
      <c r="B30" s="43">
        <f ca="1">IF('FIRE1112 raw'!B30="N/A","N/A",IF('FIRE1112 raw'!B30="..","..",ROUND('FIRE1112 raw'!B30,0)))</f>
        <v>0</v>
      </c>
      <c r="C30" s="43">
        <f ca="1">IF('FIRE1112 raw'!C30="N/A","N/A",IF('FIRE1112 raw'!C30="..","..",ROUND('FIRE1112 raw'!C30,0)))</f>
        <v>3</v>
      </c>
      <c r="D30" s="43"/>
      <c r="E30" s="43">
        <f ca="1">IF('FIRE1112 raw'!E30="N/A","N/A",IF('FIRE1112 raw'!E30="..","..",ROUND('FIRE1112 raw'!E30,0)))</f>
        <v>0</v>
      </c>
      <c r="F30" s="43">
        <f ca="1">IF('FIRE1112 raw'!F30="N/A","N/A",IF('FIRE1112 raw'!F30="..","..",ROUND('FIRE1112 raw'!F30,0)))</f>
        <v>2</v>
      </c>
      <c r="G30" s="43"/>
      <c r="H30" s="43">
        <f ca="1">IF('FIRE1112 raw'!H30="N/A","N/A",IF('FIRE1112 raw'!H30="..","..",ROUND('FIRE1112 raw'!H30,0)))</f>
        <v>0</v>
      </c>
      <c r="I30" s="4"/>
      <c r="K30" s="11"/>
      <c r="L30" s="11"/>
      <c r="N30" s="11"/>
      <c r="O30" s="11"/>
      <c r="Q30" s="13"/>
      <c r="R30" s="13"/>
      <c r="S30" s="13"/>
      <c r="T30" s="13"/>
      <c r="U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5" customFormat="1" ht="15" customHeight="1">
      <c r="A31" s="5" t="s">
        <v>33</v>
      </c>
      <c r="B31" s="43">
        <f ca="1">IF('FIRE1112 raw'!B31="N/A","N/A",IF('FIRE1112 raw'!B31="..","..",ROUND('FIRE1112 raw'!B31,0)))</f>
        <v>27</v>
      </c>
      <c r="C31" s="43">
        <f ca="1">IF('FIRE1112 raw'!C31="N/A","N/A",IF('FIRE1112 raw'!C31="..","..",ROUND('FIRE1112 raw'!C31,0)))</f>
        <v>22</v>
      </c>
      <c r="D31" s="43"/>
      <c r="E31" s="43">
        <f ca="1">IF('FIRE1112 raw'!E31="N/A","N/A",IF('FIRE1112 raw'!E31="..","..",ROUND('FIRE1112 raw'!E31,0)))</f>
        <v>1</v>
      </c>
      <c r="F31" s="43">
        <f ca="1">IF('FIRE1112 raw'!F31="N/A","N/A",IF('FIRE1112 raw'!F31="..","..",ROUND('FIRE1112 raw'!F31,0)))</f>
        <v>21</v>
      </c>
      <c r="G31" s="43"/>
      <c r="H31" s="43">
        <f ca="1">IF('FIRE1112 raw'!H31="N/A","N/A",IF('FIRE1112 raw'!H31="..","..",ROUND('FIRE1112 raw'!H31,0)))</f>
        <v>0</v>
      </c>
      <c r="I31" s="4"/>
      <c r="K31" s="11"/>
      <c r="L31" s="11"/>
      <c r="N31" s="11"/>
      <c r="O31" s="11"/>
      <c r="Q31" s="13"/>
      <c r="R31" s="13"/>
      <c r="S31" s="13"/>
      <c r="T31" s="13"/>
      <c r="U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5" customFormat="1" ht="15" customHeight="1">
      <c r="A32" s="5" t="s">
        <v>34</v>
      </c>
      <c r="B32" s="43">
        <f ca="1">IF('FIRE1112 raw'!B32="N/A","N/A",IF('FIRE1112 raw'!B32="..","..",ROUND('FIRE1112 raw'!B32,0)))</f>
        <v>10</v>
      </c>
      <c r="C32" s="43">
        <f ca="1">IF('FIRE1112 raw'!C32="N/A","N/A",IF('FIRE1112 raw'!C32="..","..",ROUND('FIRE1112 raw'!C32,0)))</f>
        <v>18</v>
      </c>
      <c r="D32" s="43"/>
      <c r="E32" s="43">
        <f ca="1">IF('FIRE1112 raw'!E32="N/A","N/A",IF('FIRE1112 raw'!E32="..","..",ROUND('FIRE1112 raw'!E32,0)))</f>
        <v>0</v>
      </c>
      <c r="F32" s="43">
        <f ca="1">IF('FIRE1112 raw'!F32="N/A","N/A",IF('FIRE1112 raw'!F32="..","..",ROUND('FIRE1112 raw'!F32,0)))</f>
        <v>13</v>
      </c>
      <c r="G32" s="43"/>
      <c r="H32" s="43">
        <f ca="1">IF('FIRE1112 raw'!H32="N/A","N/A",IF('FIRE1112 raw'!H32="..","..",ROUND('FIRE1112 raw'!H32,0)))</f>
        <v>4</v>
      </c>
      <c r="I32" s="4"/>
      <c r="K32" s="11"/>
      <c r="L32" s="11"/>
      <c r="N32" s="11"/>
      <c r="O32" s="11"/>
      <c r="Q32" s="13"/>
      <c r="R32" s="13"/>
      <c r="S32" s="13"/>
      <c r="T32" s="13"/>
      <c r="U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5" customFormat="1" ht="15" customHeight="1">
      <c r="A33" s="4" t="s">
        <v>35</v>
      </c>
      <c r="B33" s="43">
        <f ca="1">IF('FIRE1112 raw'!B33="N/A","N/A",IF('FIRE1112 raw'!B33="..","..",ROUND('FIRE1112 raw'!B33,0)))</f>
        <v>16</v>
      </c>
      <c r="C33" s="43">
        <f ca="1">IF('FIRE1112 raw'!C33="N/A","N/A",IF('FIRE1112 raw'!C33="..","..",ROUND('FIRE1112 raw'!C33,0)))</f>
        <v>13</v>
      </c>
      <c r="D33" s="43"/>
      <c r="E33" s="43">
        <f ca="1">IF('FIRE1112 raw'!E33="N/A","N/A",IF('FIRE1112 raw'!E33="..","..",ROUND('FIRE1112 raw'!E33,0)))</f>
        <v>1</v>
      </c>
      <c r="F33" s="43">
        <f ca="1">IF('FIRE1112 raw'!F33="N/A","N/A",IF('FIRE1112 raw'!F33="..","..",ROUND('FIRE1112 raw'!F33,0)))</f>
        <v>11</v>
      </c>
      <c r="G33" s="43"/>
      <c r="H33" s="43">
        <f ca="1">IF('FIRE1112 raw'!H33="N/A","N/A",IF('FIRE1112 raw'!H33="..","..",ROUND('FIRE1112 raw'!H33,0)))</f>
        <v>1</v>
      </c>
      <c r="I33" s="4"/>
      <c r="K33" s="11"/>
      <c r="L33" s="11"/>
      <c r="N33" s="11"/>
      <c r="O33" s="11"/>
      <c r="Q33" s="13"/>
      <c r="R33" s="13"/>
      <c r="S33" s="13"/>
      <c r="T33" s="13"/>
      <c r="U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>
      <c r="A34" s="5" t="s">
        <v>36</v>
      </c>
      <c r="B34" s="43">
        <f ca="1">IF('FIRE1112 raw'!B34="N/A","N/A",IF('FIRE1112 raw'!B34="..","..",ROUND('FIRE1112 raw'!B34,0)))</f>
        <v>11</v>
      </c>
      <c r="C34" s="43">
        <f ca="1">IF('FIRE1112 raw'!C34="N/A","N/A",IF('FIRE1112 raw'!C34="..","..",ROUND('FIRE1112 raw'!C34,0)))</f>
        <v>20</v>
      </c>
      <c r="D34" s="43"/>
      <c r="E34" s="43">
        <f ca="1">IF('FIRE1112 raw'!E34="N/A","N/A",IF('FIRE1112 raw'!E34="..","..",ROUND('FIRE1112 raw'!E34,0)))</f>
        <v>2</v>
      </c>
      <c r="F34" s="43">
        <f ca="1">IF('FIRE1112 raw'!F34="N/A","N/A",IF('FIRE1112 raw'!F34="..","..",ROUND('FIRE1112 raw'!F34,0)))</f>
        <v>19</v>
      </c>
      <c r="G34" s="43"/>
      <c r="H34" s="43">
        <f ca="1">IF('FIRE1112 raw'!H34="N/A","N/A",IF('FIRE1112 raw'!H34="..","..",ROUND('FIRE1112 raw'!H34,0)))</f>
        <v>4</v>
      </c>
      <c r="I34" s="4"/>
      <c r="K34" s="11"/>
      <c r="L34" s="11"/>
      <c r="N34" s="11"/>
      <c r="O34" s="11"/>
      <c r="Q34" s="13"/>
      <c r="R34" s="13"/>
      <c r="S34" s="13"/>
      <c r="T34" s="13"/>
      <c r="U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5" customFormat="1" ht="15" customHeight="1">
      <c r="A35" s="5" t="s">
        <v>38</v>
      </c>
      <c r="B35" s="43">
        <f ca="1">IF('FIRE1112 raw'!B35="N/A","N/A",IF('FIRE1112 raw'!B35="..","..",ROUND('FIRE1112 raw'!B35,0)))</f>
        <v>14</v>
      </c>
      <c r="C35" s="43">
        <f ca="1">IF('FIRE1112 raw'!C35="N/A","N/A",IF('FIRE1112 raw'!C35="..","..",ROUND('FIRE1112 raw'!C35,0)))</f>
        <v>18</v>
      </c>
      <c r="D35" s="43"/>
      <c r="E35" s="43">
        <f ca="1">IF('FIRE1112 raw'!E35="N/A","N/A",IF('FIRE1112 raw'!E35="..","..",ROUND('FIRE1112 raw'!E35,0)))</f>
        <v>2</v>
      </c>
      <c r="F35" s="43">
        <f ca="1">IF('FIRE1112 raw'!F35="N/A","N/A",IF('FIRE1112 raw'!F35="..","..",ROUND('FIRE1112 raw'!F35,0)))</f>
        <v>19</v>
      </c>
      <c r="G35" s="43"/>
      <c r="H35" s="43">
        <f ca="1">IF('FIRE1112 raw'!H35="N/A","N/A",IF('FIRE1112 raw'!H35="..","..",ROUND('FIRE1112 raw'!H35,0)))</f>
        <v>17</v>
      </c>
      <c r="I35" s="4"/>
      <c r="K35" s="11"/>
      <c r="L35" s="11"/>
      <c r="N35" s="11"/>
      <c r="O35" s="11"/>
      <c r="Q35" s="13"/>
      <c r="R35" s="13"/>
      <c r="S35" s="13"/>
      <c r="T35" s="13"/>
      <c r="U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5" customFormat="1" ht="15" customHeight="1">
      <c r="A36" s="5" t="s">
        <v>39</v>
      </c>
      <c r="B36" s="43">
        <f ca="1">IF('FIRE1112 raw'!B36="N/A","N/A",IF('FIRE1112 raw'!B36="..","..",ROUND('FIRE1112 raw'!B36,0)))</f>
        <v>10</v>
      </c>
      <c r="C36" s="43">
        <f ca="1">IF('FIRE1112 raw'!C36="N/A","N/A",IF('FIRE1112 raw'!C36="..","..",ROUND('FIRE1112 raw'!C36,0)))</f>
        <v>30</v>
      </c>
      <c r="D36" s="43"/>
      <c r="E36" s="43">
        <f ca="1">IF('FIRE1112 raw'!E36="N/A","N/A",IF('FIRE1112 raw'!E36="..","..",ROUND('FIRE1112 raw'!E36,0)))</f>
        <v>0</v>
      </c>
      <c r="F36" s="43">
        <f ca="1">IF('FIRE1112 raw'!F36="N/A","N/A",IF('FIRE1112 raw'!F36="..","..",ROUND('FIRE1112 raw'!F36,0)))</f>
        <v>11</v>
      </c>
      <c r="G36" s="43"/>
      <c r="H36" s="43">
        <f ca="1">IF('FIRE1112 raw'!H36="N/A","N/A",IF('FIRE1112 raw'!H36="..","..",ROUND('FIRE1112 raw'!H36,0)))</f>
        <v>0</v>
      </c>
      <c r="I36" s="4"/>
      <c r="K36" s="11"/>
      <c r="L36" s="11"/>
      <c r="N36" s="11"/>
      <c r="O36" s="11"/>
      <c r="Q36" s="13"/>
      <c r="R36" s="13"/>
      <c r="S36" s="13"/>
      <c r="T36" s="13"/>
      <c r="U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5" customFormat="1" ht="15" customHeight="1">
      <c r="A37" s="5" t="s">
        <v>40</v>
      </c>
      <c r="B37" s="43">
        <f ca="1">IF('FIRE1112 raw'!B37="N/A","N/A",IF('FIRE1112 raw'!B37="..","..",ROUND('FIRE1112 raw'!B37,0)))</f>
        <v>18</v>
      </c>
      <c r="C37" s="43">
        <f ca="1">IF('FIRE1112 raw'!C37="N/A","N/A",IF('FIRE1112 raw'!C37="..","..",ROUND('FIRE1112 raw'!C37,0)))</f>
        <v>10</v>
      </c>
      <c r="D37" s="43"/>
      <c r="E37" s="43">
        <f ca="1">IF('FIRE1112 raw'!E37="N/A","N/A",IF('FIRE1112 raw'!E37="..","..",ROUND('FIRE1112 raw'!E37,0)))</f>
        <v>5</v>
      </c>
      <c r="F37" s="43">
        <f ca="1">IF('FIRE1112 raw'!F37="N/A","N/A",IF('FIRE1112 raw'!F37="..","..",ROUND('FIRE1112 raw'!F37,0)))</f>
        <v>32</v>
      </c>
      <c r="G37" s="43"/>
      <c r="H37" s="43">
        <f ca="1">IF('FIRE1112 raw'!H37="N/A","N/A",IF('FIRE1112 raw'!H37="..","..",ROUND('FIRE1112 raw'!H37,0)))</f>
        <v>0</v>
      </c>
      <c r="I37" s="4"/>
      <c r="K37" s="11"/>
      <c r="L37" s="11"/>
      <c r="N37" s="11"/>
      <c r="O37" s="11"/>
      <c r="Q37" s="13"/>
      <c r="R37" s="13"/>
      <c r="S37" s="13"/>
      <c r="T37" s="13"/>
      <c r="U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" customFormat="1" ht="15" customHeight="1">
      <c r="A38" s="5" t="s">
        <v>41</v>
      </c>
      <c r="B38" s="43">
        <f ca="1">IF('FIRE1112 raw'!B38="N/A","N/A",IF('FIRE1112 raw'!B38="..","..",ROUND('FIRE1112 raw'!B38,0)))</f>
        <v>13</v>
      </c>
      <c r="C38" s="43">
        <f ca="1">IF('FIRE1112 raw'!C38="N/A","N/A",IF('FIRE1112 raw'!C38="..","..",ROUND('FIRE1112 raw'!C38,0)))</f>
        <v>4</v>
      </c>
      <c r="D38" s="43"/>
      <c r="E38" s="43">
        <f ca="1">IF('FIRE1112 raw'!E38="N/A","N/A",IF('FIRE1112 raw'!E38="..","..",ROUND('FIRE1112 raw'!E38,0)))</f>
        <v>1</v>
      </c>
      <c r="F38" s="43">
        <f ca="1">IF('FIRE1112 raw'!F38="N/A","N/A",IF('FIRE1112 raw'!F38="..","..",ROUND('FIRE1112 raw'!F38,0)))</f>
        <v>4</v>
      </c>
      <c r="G38" s="43"/>
      <c r="H38" s="43">
        <f ca="1">IF('FIRE1112 raw'!H38="N/A","N/A",IF('FIRE1112 raw'!H38="..","..",ROUND('FIRE1112 raw'!H38,0)))</f>
        <v>0</v>
      </c>
      <c r="I38" s="4"/>
      <c r="K38" s="11"/>
      <c r="L38" s="11"/>
      <c r="N38" s="11"/>
      <c r="O38" s="11"/>
      <c r="Q38" s="13"/>
      <c r="R38" s="13"/>
      <c r="S38" s="13"/>
      <c r="T38" s="13"/>
      <c r="U38" s="1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5" customFormat="1" ht="15" customHeight="1">
      <c r="A39" s="4" t="s">
        <v>42</v>
      </c>
      <c r="B39" s="43">
        <f ca="1">IF('FIRE1112 raw'!B39="N/A","N/A",IF('FIRE1112 raw'!B39="..","..",ROUND('FIRE1112 raw'!B39,0)))</f>
        <v>25</v>
      </c>
      <c r="C39" s="43">
        <f ca="1">IF('FIRE1112 raw'!C39="N/A","N/A",IF('FIRE1112 raw'!C39="..","..",ROUND('FIRE1112 raw'!C39,0)))</f>
        <v>26</v>
      </c>
      <c r="D39" s="43"/>
      <c r="E39" s="43">
        <f ca="1">IF('FIRE1112 raw'!E39="N/A","N/A",IF('FIRE1112 raw'!E39="..","..",ROUND('FIRE1112 raw'!E39,0)))</f>
        <v>0</v>
      </c>
      <c r="F39" s="43">
        <f ca="1">IF('FIRE1112 raw'!F39="N/A","N/A",IF('FIRE1112 raw'!F39="..","..",ROUND('FIRE1112 raw'!F39,0)))</f>
        <v>5</v>
      </c>
      <c r="G39" s="43"/>
      <c r="H39" s="43">
        <f ca="1">IF('FIRE1112 raw'!H39="N/A","N/A",IF('FIRE1112 raw'!H39="..","..",ROUND('FIRE1112 raw'!H39,0)))</f>
        <v>1</v>
      </c>
      <c r="I39" s="4"/>
      <c r="K39" s="11"/>
      <c r="L39" s="11"/>
      <c r="N39" s="11"/>
      <c r="O39" s="11"/>
      <c r="Q39" s="13"/>
      <c r="R39" s="13"/>
      <c r="S39" s="13"/>
      <c r="T39" s="13"/>
      <c r="U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5" customFormat="1" ht="15" customHeight="1">
      <c r="A40" s="4" t="s">
        <v>43</v>
      </c>
      <c r="B40" s="43">
        <f ca="1">IF('FIRE1112 raw'!B40="N/A","N/A",IF('FIRE1112 raw'!B40="..","..",ROUND('FIRE1112 raw'!B40,0)))</f>
        <v>9</v>
      </c>
      <c r="C40" s="43">
        <f ca="1">IF('FIRE1112 raw'!C40="N/A","N/A",IF('FIRE1112 raw'!C40="..","..",ROUND('FIRE1112 raw'!C40,0)))</f>
        <v>17</v>
      </c>
      <c r="D40" s="43"/>
      <c r="E40" s="43">
        <f ca="1">IF('FIRE1112 raw'!E40="N/A","N/A",IF('FIRE1112 raw'!E40="..","..",ROUND('FIRE1112 raw'!E40,0)))</f>
        <v>0</v>
      </c>
      <c r="F40" s="43">
        <f ca="1">IF('FIRE1112 raw'!F40="N/A","N/A",IF('FIRE1112 raw'!F40="..","..",ROUND('FIRE1112 raw'!F40,0)))</f>
        <v>8</v>
      </c>
      <c r="G40" s="43"/>
      <c r="H40" s="43">
        <f ca="1">IF('FIRE1112 raw'!H40="N/A","N/A",IF('FIRE1112 raw'!H40="..","..",ROUND('FIRE1112 raw'!H40,0)))</f>
        <v>0</v>
      </c>
      <c r="I40" s="4"/>
      <c r="K40" s="11"/>
      <c r="L40" s="11"/>
      <c r="N40" s="11"/>
      <c r="O40" s="11"/>
      <c r="Q40" s="13"/>
      <c r="R40" s="13"/>
      <c r="S40" s="13"/>
      <c r="T40" s="13"/>
      <c r="U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5" customFormat="1" ht="15" customHeight="1">
      <c r="A41" s="4" t="s">
        <v>44</v>
      </c>
      <c r="B41" s="43">
        <f ca="1">IF('FIRE1112 raw'!B41="N/A","N/A",IF('FIRE1112 raw'!B41="..","..",ROUND('FIRE1112 raw'!B41,0)))</f>
        <v>16</v>
      </c>
      <c r="C41" s="43">
        <f ca="1">IF('FIRE1112 raw'!C41="N/A","N/A",IF('FIRE1112 raw'!C41="..","..",ROUND('FIRE1112 raw'!C41,0)))</f>
        <v>5</v>
      </c>
      <c r="D41" s="43"/>
      <c r="E41" s="43">
        <f ca="1">IF('FIRE1112 raw'!E41="N/A","N/A",IF('FIRE1112 raw'!E41="..","..",ROUND('FIRE1112 raw'!E41,0)))</f>
        <v>0</v>
      </c>
      <c r="F41" s="43">
        <f ca="1">IF('FIRE1112 raw'!F41="N/A","N/A",IF('FIRE1112 raw'!F41="..","..",ROUND('FIRE1112 raw'!F41,0)))</f>
        <v>13</v>
      </c>
      <c r="G41" s="43"/>
      <c r="H41" s="43">
        <f ca="1">IF('FIRE1112 raw'!H41="N/A","N/A",IF('FIRE1112 raw'!H41="..","..",ROUND('FIRE1112 raw'!H41,0)))</f>
        <v>2</v>
      </c>
      <c r="I41" s="4"/>
      <c r="K41" s="11"/>
      <c r="L41" s="11"/>
      <c r="N41" s="11"/>
      <c r="O41" s="11"/>
      <c r="Q41" s="13"/>
      <c r="R41" s="13"/>
      <c r="S41" s="13"/>
      <c r="T41" s="13"/>
      <c r="U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5" customFormat="1" ht="15" customHeight="1">
      <c r="A42" s="4" t="s">
        <v>46</v>
      </c>
      <c r="B42" s="43">
        <f ca="1">IF('FIRE1112 raw'!B42="N/A","N/A",IF('FIRE1112 raw'!B42="..","..",ROUND('FIRE1112 raw'!B42,0)))</f>
        <v>12</v>
      </c>
      <c r="C42" s="43">
        <f ca="1">IF('FIRE1112 raw'!C42="N/A","N/A",IF('FIRE1112 raw'!C42="..","..",ROUND('FIRE1112 raw'!C42,0)))</f>
        <v>25</v>
      </c>
      <c r="D42" s="43"/>
      <c r="E42" s="43">
        <f ca="1">IF('FIRE1112 raw'!E42="N/A","N/A",IF('FIRE1112 raw'!E42="..","..",ROUND('FIRE1112 raw'!E42,0)))</f>
        <v>0</v>
      </c>
      <c r="F42" s="43">
        <f ca="1">IF('FIRE1112 raw'!F42="N/A","N/A",IF('FIRE1112 raw'!F42="..","..",ROUND('FIRE1112 raw'!F42,0)))</f>
        <v>9</v>
      </c>
      <c r="G42" s="43"/>
      <c r="H42" s="43">
        <f ca="1">IF('FIRE1112 raw'!H42="N/A","N/A",IF('FIRE1112 raw'!H42="..","..",ROUND('FIRE1112 raw'!H42,0)))</f>
        <v>0</v>
      </c>
      <c r="I42" s="4"/>
      <c r="K42" s="11"/>
      <c r="L42" s="11"/>
      <c r="N42" s="11"/>
      <c r="O42" s="11"/>
      <c r="Q42" s="13"/>
      <c r="R42" s="13"/>
      <c r="S42" s="13"/>
      <c r="T42" s="13"/>
      <c r="U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>
      <c r="A43" s="4" t="s">
        <v>47</v>
      </c>
      <c r="B43" s="43">
        <f ca="1">IF('FIRE1112 raw'!B43="N/A","N/A",IF('FIRE1112 raw'!B43="..","..",ROUND('FIRE1112 raw'!B43,0)))</f>
        <v>4</v>
      </c>
      <c r="C43" s="43">
        <f ca="1">IF('FIRE1112 raw'!C43="N/A","N/A",IF('FIRE1112 raw'!C43="..","..",ROUND('FIRE1112 raw'!C43,0)))</f>
        <v>7</v>
      </c>
      <c r="D43" s="43"/>
      <c r="E43" s="43">
        <f ca="1">IF('FIRE1112 raw'!E43="N/A","N/A",IF('FIRE1112 raw'!E43="..","..",ROUND('FIRE1112 raw'!E43,0)))</f>
        <v>0</v>
      </c>
      <c r="F43" s="43">
        <f ca="1">IF('FIRE1112 raw'!F43="N/A","N/A",IF('FIRE1112 raw'!F43="..","..",ROUND('FIRE1112 raw'!F43,0)))</f>
        <v>7</v>
      </c>
      <c r="G43" s="43"/>
      <c r="H43" s="43">
        <f ca="1">IF('FIRE1112 raw'!H43="N/A","N/A",IF('FIRE1112 raw'!H43="..","..",ROUND('FIRE1112 raw'!H43,0)))</f>
        <v>0</v>
      </c>
      <c r="I43" s="4"/>
      <c r="K43" s="11"/>
      <c r="L43" s="11"/>
      <c r="N43" s="11"/>
      <c r="O43" s="11"/>
      <c r="Q43" s="13"/>
      <c r="R43" s="13"/>
      <c r="S43" s="13"/>
      <c r="T43" s="13"/>
      <c r="U43" s="1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5" customFormat="1" ht="15" customHeight="1">
      <c r="A44" s="4" t="s">
        <v>48</v>
      </c>
      <c r="B44" s="43">
        <f ca="1">IF('FIRE1112 raw'!B44="N/A","N/A",IF('FIRE1112 raw'!B44="..","..",ROUND('FIRE1112 raw'!B44,0)))</f>
        <v>19</v>
      </c>
      <c r="C44" s="43">
        <f ca="1">IF('FIRE1112 raw'!C44="N/A","N/A",IF('FIRE1112 raw'!C44="..","..",ROUND('FIRE1112 raw'!C44,0)))</f>
        <v>21</v>
      </c>
      <c r="D44" s="43"/>
      <c r="E44" s="43">
        <f ca="1">IF('FIRE1112 raw'!E44="N/A","N/A",IF('FIRE1112 raw'!E44="..","..",ROUND('FIRE1112 raw'!E44,0)))</f>
        <v>0</v>
      </c>
      <c r="F44" s="43">
        <f ca="1">IF('FIRE1112 raw'!F44="N/A","N/A",IF('FIRE1112 raw'!F44="..","..",ROUND('FIRE1112 raw'!F44,0)))</f>
        <v>8</v>
      </c>
      <c r="G44" s="43"/>
      <c r="H44" s="43">
        <f ca="1">IF('FIRE1112 raw'!H44="N/A","N/A",IF('FIRE1112 raw'!H44="..","..",ROUND('FIRE1112 raw'!H44,0)))</f>
        <v>0</v>
      </c>
      <c r="I44" s="4"/>
      <c r="K44" s="11"/>
      <c r="L44" s="11"/>
      <c r="N44" s="11"/>
      <c r="O44" s="11"/>
      <c r="Q44" s="13"/>
      <c r="R44" s="13"/>
      <c r="S44" s="13"/>
      <c r="T44" s="13"/>
      <c r="U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5" customFormat="1" ht="15" customHeight="1">
      <c r="A45" s="4" t="s">
        <v>50</v>
      </c>
      <c r="B45" s="43">
        <f ca="1">IF('FIRE1112 raw'!B45="N/A","N/A",IF('FIRE1112 raw'!B45="..","..",ROUND('FIRE1112 raw'!B45,0)))</f>
        <v>9</v>
      </c>
      <c r="C45" s="43">
        <f ca="1">IF('FIRE1112 raw'!C45="N/A","N/A",IF('FIRE1112 raw'!C45="..","..",ROUND('FIRE1112 raw'!C45,0)))</f>
        <v>14</v>
      </c>
      <c r="D45" s="43"/>
      <c r="E45" s="43">
        <f ca="1">IF('FIRE1112 raw'!E45="N/A","N/A",IF('FIRE1112 raw'!E45="..","..",ROUND('FIRE1112 raw'!E45,0)))</f>
        <v>1</v>
      </c>
      <c r="F45" s="43">
        <f ca="1">IF('FIRE1112 raw'!F45="N/A","N/A",IF('FIRE1112 raw'!F45="..","..",ROUND('FIRE1112 raw'!F45,0)))</f>
        <v>4</v>
      </c>
      <c r="G45" s="43"/>
      <c r="H45" s="43">
        <f ca="1">IF('FIRE1112 raw'!H45="N/A","N/A",IF('FIRE1112 raw'!H45="..","..",ROUND('FIRE1112 raw'!H45,0)))</f>
        <v>3</v>
      </c>
      <c r="I45" s="4"/>
      <c r="K45" s="11"/>
      <c r="L45" s="11"/>
      <c r="N45" s="11"/>
      <c r="O45" s="11"/>
      <c r="Q45" s="13"/>
      <c r="R45" s="13"/>
      <c r="S45" s="13"/>
      <c r="T45" s="13"/>
      <c r="U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5" customFormat="1" ht="15" customHeight="1">
      <c r="A46" s="4" t="s">
        <v>52</v>
      </c>
      <c r="B46" s="43">
        <f ca="1">IF('FIRE1112 raw'!B46="N/A","N/A",IF('FIRE1112 raw'!B46="..","..",ROUND('FIRE1112 raw'!B46,0)))</f>
        <v>5</v>
      </c>
      <c r="C46" s="43">
        <f ca="1">IF('FIRE1112 raw'!C46="N/A","N/A",IF('FIRE1112 raw'!C46="..","..",ROUND('FIRE1112 raw'!C46,0)))</f>
        <v>6</v>
      </c>
      <c r="D46" s="43"/>
      <c r="E46" s="43">
        <f ca="1">IF('FIRE1112 raw'!E46="N/A","N/A",IF('FIRE1112 raw'!E46="..","..",ROUND('FIRE1112 raw'!E46,0)))</f>
        <v>0</v>
      </c>
      <c r="F46" s="43">
        <f ca="1">IF('FIRE1112 raw'!F46="N/A","N/A",IF('FIRE1112 raw'!F46="..","..",ROUND('FIRE1112 raw'!F46,0)))</f>
        <v>12</v>
      </c>
      <c r="G46" s="43"/>
      <c r="H46" s="43">
        <f ca="1">IF('FIRE1112 raw'!H46="N/A","N/A",IF('FIRE1112 raw'!H46="..","..",ROUND('FIRE1112 raw'!H46,0)))</f>
        <v>0</v>
      </c>
      <c r="I46" s="4"/>
      <c r="K46" s="11"/>
      <c r="L46" s="11"/>
      <c r="N46" s="11"/>
      <c r="O46" s="11"/>
      <c r="Q46" s="13"/>
      <c r="R46" s="13"/>
      <c r="S46" s="13"/>
      <c r="T46" s="13"/>
      <c r="U46" s="1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5" customFormat="1" ht="15" customHeight="1">
      <c r="A47" s="4" t="s">
        <v>54</v>
      </c>
      <c r="B47" s="43">
        <f ca="1">IF('FIRE1112 raw'!B47="N/A","N/A",IF('FIRE1112 raw'!B47="..","..",ROUND('FIRE1112 raw'!B47,0)))</f>
        <v>12</v>
      </c>
      <c r="C47" s="43">
        <f ca="1">IF('FIRE1112 raw'!C47="N/A","N/A",IF('FIRE1112 raw'!C47="..","..",ROUND('FIRE1112 raw'!C47,0)))</f>
        <v>15</v>
      </c>
      <c r="D47" s="43"/>
      <c r="E47" s="43">
        <f ca="1">IF('FIRE1112 raw'!E47="N/A","N/A",IF('FIRE1112 raw'!E47="..","..",ROUND('FIRE1112 raw'!E47,0)))</f>
        <v>0</v>
      </c>
      <c r="F47" s="43">
        <f ca="1">IF('FIRE1112 raw'!F47="N/A","N/A",IF('FIRE1112 raw'!F47="..","..",ROUND('FIRE1112 raw'!F47,0)))</f>
        <v>18</v>
      </c>
      <c r="G47" s="43"/>
      <c r="H47" s="43">
        <f ca="1">IF('FIRE1112 raw'!H47="N/A","N/A",IF('FIRE1112 raw'!H47="..","..",ROUND('FIRE1112 raw'!H47,0)))</f>
        <v>3</v>
      </c>
      <c r="I47" s="4"/>
      <c r="K47" s="11"/>
      <c r="L47" s="11"/>
      <c r="N47" s="11"/>
      <c r="O47" s="11"/>
      <c r="Q47" s="13"/>
      <c r="R47" s="13"/>
      <c r="S47" s="13"/>
      <c r="T47" s="13"/>
      <c r="U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5" customFormat="1" ht="15" customHeight="1">
      <c r="A48" s="4" t="s">
        <v>32</v>
      </c>
      <c r="B48" s="43">
        <f ca="1">IF('FIRE1112 raw'!B48="N/A","N/A",IF('FIRE1112 raw'!B48="..","..",ROUND('FIRE1112 raw'!B48,0)))</f>
        <v>0</v>
      </c>
      <c r="C48" s="43">
        <f ca="1">IF('FIRE1112 raw'!C48="N/A","N/A",IF('FIRE1112 raw'!C48="..","..",ROUND('FIRE1112 raw'!C48,0)))</f>
        <v>0</v>
      </c>
      <c r="D48" s="43"/>
      <c r="E48" s="43">
        <f ca="1">IF('FIRE1112 raw'!E48="N/A","N/A",IF('FIRE1112 raw'!E48="..","..",ROUND('FIRE1112 raw'!E48,0)))</f>
        <v>0</v>
      </c>
      <c r="F48" s="43">
        <f ca="1">IF('FIRE1112 raw'!F48="N/A","N/A",IF('FIRE1112 raw'!F48="..","..",ROUND('FIRE1112 raw'!F48,0)))</f>
        <v>0</v>
      </c>
      <c r="G48" s="43"/>
      <c r="H48" s="43">
        <f ca="1">IF('FIRE1112 raw'!H48="N/A","N/A",IF('FIRE1112 raw'!H48="..","..",ROUND('FIRE1112 raw'!H48,0)))</f>
        <v>0</v>
      </c>
      <c r="I48" s="4"/>
      <c r="K48" s="11"/>
      <c r="L48" s="11"/>
      <c r="N48" s="11"/>
      <c r="O48" s="11"/>
      <c r="Q48" s="13"/>
      <c r="R48" s="13"/>
      <c r="S48" s="13"/>
      <c r="T48" s="13"/>
      <c r="U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>
      <c r="A49" s="24" t="s">
        <v>7</v>
      </c>
      <c r="B49" s="15">
        <f ca="1">IF('FIRE1112 raw'!B49="N/A","N/A",IF('FIRE1112 raw'!B49="..","..",ROUND('FIRE1112 raw'!B49,0)))</f>
        <v>266</v>
      </c>
      <c r="C49" s="15">
        <f ca="1">IF('FIRE1112 raw'!C49="N/A","N/A",IF('FIRE1112 raw'!C49="..","..",ROUND('FIRE1112 raw'!C49,0)))</f>
        <v>439</v>
      </c>
      <c r="D49" s="15"/>
      <c r="E49" s="15">
        <f ca="1">IF('FIRE1112 raw'!E49="N/A","N/A",IF('FIRE1112 raw'!E49="..","..",ROUND('FIRE1112 raw'!E49,0)))</f>
        <v>4</v>
      </c>
      <c r="F49" s="15">
        <f ca="1">IF('FIRE1112 raw'!F49="N/A","N/A",IF('FIRE1112 raw'!F49="..","..",ROUND('FIRE1112 raw'!F49,0)))</f>
        <v>135</v>
      </c>
      <c r="G49" s="15"/>
      <c r="H49" s="15">
        <f ca="1">IF('FIRE1112 raw'!H49="N/A","N/A",IF('FIRE1112 raw'!H49="..","..",ROUND('FIRE1112 raw'!H49,0)))</f>
        <v>23</v>
      </c>
      <c r="I49" s="4"/>
      <c r="K49" s="11"/>
      <c r="L49" s="11"/>
      <c r="N49" s="11"/>
      <c r="O49" s="11"/>
      <c r="Q49" s="13"/>
      <c r="R49" s="13"/>
      <c r="S49" s="13"/>
      <c r="T49" s="13"/>
      <c r="U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5" customFormat="1" ht="15" customHeight="1">
      <c r="A50" s="45" t="s">
        <v>26</v>
      </c>
      <c r="B50" s="43">
        <f ca="1">IF('FIRE1112 raw'!B50="N/A","N/A",IF('FIRE1112 raw'!B50="..","..",ROUND('FIRE1112 raw'!B50,0)))</f>
        <v>4</v>
      </c>
      <c r="C50" s="43">
        <f ca="1">IF('FIRE1112 raw'!C50="N/A","N/A",IF('FIRE1112 raw'!C50="..","..",ROUND('FIRE1112 raw'!C50,0)))</f>
        <v>0</v>
      </c>
      <c r="D50" s="43"/>
      <c r="E50" s="43">
        <f ca="1">IF('FIRE1112 raw'!E50="N/A","N/A",IF('FIRE1112 raw'!E50="..","..",ROUND('FIRE1112 raw'!E50,0)))</f>
        <v>0</v>
      </c>
      <c r="F50" s="43">
        <f ca="1">IF('FIRE1112 raw'!F50="N/A","N/A",IF('FIRE1112 raw'!F50="..","..",ROUND('FIRE1112 raw'!F50,0)))</f>
        <v>0</v>
      </c>
      <c r="G50" s="43"/>
      <c r="H50" s="43">
        <f ca="1">IF('FIRE1112 raw'!H50="N/A","N/A",IF('FIRE1112 raw'!H50="..","..",ROUND('FIRE1112 raw'!H50,0)))</f>
        <v>1</v>
      </c>
      <c r="I50" s="4"/>
      <c r="K50" s="11"/>
      <c r="L50" s="11"/>
      <c r="N50" s="11"/>
      <c r="O50" s="11"/>
      <c r="Q50" s="13"/>
      <c r="R50" s="13"/>
      <c r="S50" s="13"/>
      <c r="T50" s="13"/>
      <c r="U50" s="1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5" customFormat="1" ht="15" customHeight="1">
      <c r="A51" s="45" t="s">
        <v>37</v>
      </c>
      <c r="B51" s="43">
        <f ca="1">IF('FIRE1112 raw'!B51="N/A","N/A",IF('FIRE1112 raw'!B51="..","..",ROUND('FIRE1112 raw'!B51,0)))</f>
        <v>20</v>
      </c>
      <c r="C51" s="43">
        <f ca="1">IF('FIRE1112 raw'!C51="N/A","N/A",IF('FIRE1112 raw'!C51="..","..",ROUND('FIRE1112 raw'!C51,0)))</f>
        <v>55</v>
      </c>
      <c r="D51" s="43"/>
      <c r="E51" s="43">
        <f ca="1">IF('FIRE1112 raw'!E51="N/A","N/A",IF('FIRE1112 raw'!E51="..","..",ROUND('FIRE1112 raw'!E51,0)))</f>
        <v>0</v>
      </c>
      <c r="F51" s="43">
        <f ca="1">IF('FIRE1112 raw'!F51="N/A","N/A",IF('FIRE1112 raw'!F51="..","..",ROUND('FIRE1112 raw'!F51,0)))</f>
        <v>39</v>
      </c>
      <c r="G51" s="43"/>
      <c r="H51" s="43">
        <f ca="1">IF('FIRE1112 raw'!H51="N/A","N/A",IF('FIRE1112 raw'!H51="..","..",ROUND('FIRE1112 raw'!H51,0)))</f>
        <v>2</v>
      </c>
      <c r="I51" s="4"/>
      <c r="K51" s="11"/>
      <c r="L51" s="11"/>
      <c r="N51" s="11"/>
      <c r="O51" s="11"/>
      <c r="Q51" s="13"/>
      <c r="R51" s="13"/>
      <c r="S51" s="13"/>
      <c r="T51" s="13"/>
      <c r="U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5" customFormat="1" ht="15" customHeight="1">
      <c r="A52" s="45" t="s">
        <v>45</v>
      </c>
      <c r="B52" s="43">
        <f ca="1">IF('FIRE1112 raw'!B52="N/A","N/A",IF('FIRE1112 raw'!B52="..","..",ROUND('FIRE1112 raw'!B52,0)))</f>
        <v>4</v>
      </c>
      <c r="C52" s="43">
        <f ca="1">IF('FIRE1112 raw'!C52="N/A","N/A",IF('FIRE1112 raw'!C52="..","..",ROUND('FIRE1112 raw'!C52,0)))</f>
        <v>18</v>
      </c>
      <c r="D52" s="43"/>
      <c r="E52" s="43">
        <f ca="1">IF('FIRE1112 raw'!E52="N/A","N/A",IF('FIRE1112 raw'!E52="..","..",ROUND('FIRE1112 raw'!E52,0)))</f>
        <v>0</v>
      </c>
      <c r="F52" s="43">
        <f ca="1">IF('FIRE1112 raw'!F52="N/A","N/A",IF('FIRE1112 raw'!F52="..","..",ROUND('FIRE1112 raw'!F52,0)))</f>
        <v>11</v>
      </c>
      <c r="G52" s="43"/>
      <c r="H52" s="43">
        <f ca="1">IF('FIRE1112 raw'!H52="N/A","N/A",IF('FIRE1112 raw'!H52="..","..",ROUND('FIRE1112 raw'!H52,0)))</f>
        <v>2</v>
      </c>
      <c r="I52" s="4"/>
      <c r="K52" s="11"/>
      <c r="L52" s="11"/>
      <c r="N52" s="11"/>
      <c r="O52" s="11"/>
      <c r="Q52" s="13"/>
      <c r="R52" s="13"/>
      <c r="S52" s="13"/>
      <c r="T52" s="13"/>
      <c r="U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>
      <c r="A53" s="45" t="s">
        <v>49</v>
      </c>
      <c r="B53" s="43">
        <f ca="1">IF('FIRE1112 raw'!B53="N/A","N/A",IF('FIRE1112 raw'!B53="..","..",ROUND('FIRE1112 raw'!B53,0)))</f>
        <v>17</v>
      </c>
      <c r="C53" s="43">
        <f ca="1">IF('FIRE1112 raw'!C53="N/A","N/A",IF('FIRE1112 raw'!C53="..","..",ROUND('FIRE1112 raw'!C53,0)))</f>
        <v>14</v>
      </c>
      <c r="D53" s="43"/>
      <c r="E53" s="43">
        <f ca="1">IF('FIRE1112 raw'!E53="N/A","N/A",IF('FIRE1112 raw'!E53="..","..",ROUND('FIRE1112 raw'!E53,0)))</f>
        <v>0</v>
      </c>
      <c r="F53" s="43">
        <f ca="1">IF('FIRE1112 raw'!F53="N/A","N/A",IF('FIRE1112 raw'!F53="..","..",ROUND('FIRE1112 raw'!F53,0)))</f>
        <v>10</v>
      </c>
      <c r="G53" s="43"/>
      <c r="H53" s="43">
        <f ca="1">IF('FIRE1112 raw'!H53="N/A","N/A",IF('FIRE1112 raw'!H53="..","..",ROUND('FIRE1112 raw'!H53,0)))</f>
        <v>0</v>
      </c>
      <c r="I53" s="4"/>
      <c r="K53" s="11"/>
      <c r="L53" s="11"/>
      <c r="N53" s="11"/>
      <c r="O53" s="11"/>
      <c r="Q53" s="13"/>
      <c r="R53" s="13"/>
      <c r="S53" s="13"/>
      <c r="T53" s="13"/>
      <c r="U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5" customFormat="1" ht="15" customHeight="1">
      <c r="A54" s="45" t="s">
        <v>51</v>
      </c>
      <c r="B54" s="43">
        <f ca="1">IF('FIRE1112 raw'!B54="N/A","N/A",IF('FIRE1112 raw'!B54="..","..",ROUND('FIRE1112 raw'!B54,0)))</f>
        <v>22</v>
      </c>
      <c r="C54" s="43">
        <f ca="1">IF('FIRE1112 raw'!C54="N/A","N/A",IF('FIRE1112 raw'!C54="..","..",ROUND('FIRE1112 raw'!C54,0)))</f>
        <v>45</v>
      </c>
      <c r="D54" s="43"/>
      <c r="E54" s="43">
        <f ca="1">IF('FIRE1112 raw'!E54="N/A","N/A",IF('FIRE1112 raw'!E54="..","..",ROUND('FIRE1112 raw'!E54,0)))</f>
        <v>0</v>
      </c>
      <c r="F54" s="43">
        <f ca="1">IF('FIRE1112 raw'!F54="N/A","N/A",IF('FIRE1112 raw'!F54="..","..",ROUND('FIRE1112 raw'!F54,0)))</f>
        <v>26</v>
      </c>
      <c r="G54" s="43"/>
      <c r="H54" s="43">
        <f ca="1">IF('FIRE1112 raw'!H54="N/A","N/A",IF('FIRE1112 raw'!H54="..","..",ROUND('FIRE1112 raw'!H54,0)))</f>
        <v>10</v>
      </c>
      <c r="I54" s="4"/>
      <c r="K54" s="11"/>
      <c r="L54" s="11"/>
      <c r="N54" s="11"/>
      <c r="O54" s="11"/>
      <c r="Q54" s="13"/>
      <c r="R54" s="13"/>
      <c r="S54" s="13"/>
      <c r="T54" s="13"/>
      <c r="U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5" customFormat="1" ht="15" customHeight="1">
      <c r="A55" s="45" t="s">
        <v>53</v>
      </c>
      <c r="B55" s="43">
        <f ca="1">IF('FIRE1112 raw'!B55="N/A","N/A",IF('FIRE1112 raw'!B55="..","..",ROUND('FIRE1112 raw'!B55,0)))</f>
        <v>24</v>
      </c>
      <c r="C55" s="43">
        <f ca="1">IF('FIRE1112 raw'!C55="N/A","N/A",IF('FIRE1112 raw'!C55="..","..",ROUND('FIRE1112 raw'!C55,0)))</f>
        <v>38</v>
      </c>
      <c r="D55" s="43"/>
      <c r="E55" s="43">
        <f ca="1">IF('FIRE1112 raw'!E55="N/A","N/A",IF('FIRE1112 raw'!E55="..","..",ROUND('FIRE1112 raw'!E55,0)))</f>
        <v>0</v>
      </c>
      <c r="F55" s="43">
        <f ca="1">IF('FIRE1112 raw'!F55="N/A","N/A",IF('FIRE1112 raw'!F55="..","..",ROUND('FIRE1112 raw'!F55,0)))</f>
        <v>24</v>
      </c>
      <c r="G55" s="43"/>
      <c r="H55" s="43">
        <f ca="1">IF('FIRE1112 raw'!H55="N/A","N/A",IF('FIRE1112 raw'!H55="..","..",ROUND('FIRE1112 raw'!H55,0)))</f>
        <v>0</v>
      </c>
      <c r="I55" s="4"/>
      <c r="K55" s="11"/>
      <c r="L55" s="11"/>
      <c r="M55" s="4"/>
      <c r="N55" s="11"/>
      <c r="O55" s="11"/>
      <c r="Q55" s="13"/>
      <c r="R55" s="13"/>
      <c r="S55" s="13"/>
      <c r="T55" s="13"/>
      <c r="U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5" customFormat="1" ht="15" customHeight="1" thickBot="1">
      <c r="A56" s="16" t="s">
        <v>25</v>
      </c>
      <c r="B56" s="44">
        <f ca="1">IF('FIRE1112 raw'!B56="N/A","N/A",IF('FIRE1112 raw'!B56="..","..",ROUND('FIRE1112 raw'!B56,0)))</f>
        <v>175</v>
      </c>
      <c r="C56" s="44">
        <f ca="1">IF('FIRE1112 raw'!C56="N/A","N/A",IF('FIRE1112 raw'!C56="..","..",ROUND('FIRE1112 raw'!C56,0)))</f>
        <v>269</v>
      </c>
      <c r="D56" s="44"/>
      <c r="E56" s="44">
        <f ca="1">IF('FIRE1112 raw'!E56="N/A","N/A",IF('FIRE1112 raw'!E56="..","..",ROUND('FIRE1112 raw'!E56,0)))</f>
        <v>4</v>
      </c>
      <c r="F56" s="44">
        <f ca="1">IF('FIRE1112 raw'!F56="N/A","N/A",IF('FIRE1112 raw'!F56="..","..",ROUND('FIRE1112 raw'!F56,0)))</f>
        <v>25</v>
      </c>
      <c r="G56" s="44"/>
      <c r="H56" s="44">
        <f ca="1">IF('FIRE1112 raw'!H56="N/A","N/A",IF('FIRE1112 raw'!H56="..","..",ROUND('FIRE1112 raw'!H56,0)))</f>
        <v>8</v>
      </c>
      <c r="I56" s="4"/>
      <c r="K56" s="11"/>
      <c r="L56" s="11"/>
      <c r="M56" s="4"/>
      <c r="N56" s="11"/>
      <c r="O56" s="11"/>
      <c r="Q56" s="13"/>
      <c r="R56" s="13"/>
      <c r="S56" s="13"/>
      <c r="T56" s="13"/>
      <c r="U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>
      <c r="K57" s="11"/>
      <c r="L57" s="11"/>
      <c r="N57" s="11"/>
      <c r="O57" s="11"/>
      <c r="P57" s="11"/>
      <c r="Q57" s="11"/>
      <c r="R57" s="11"/>
      <c r="S57" s="11"/>
      <c r="T57" s="11"/>
      <c r="U57" s="11"/>
    </row>
    <row r="58" spans="1:33" s="5" customFormat="1" ht="15" customHeight="1">
      <c r="A58" s="75" t="s">
        <v>91</v>
      </c>
      <c r="B58" s="75"/>
      <c r="C58" s="75"/>
      <c r="D58" s="75"/>
      <c r="E58" s="75"/>
      <c r="F58" s="75"/>
      <c r="G58" s="75"/>
      <c r="H58" s="75"/>
      <c r="I58" s="4"/>
      <c r="J58" s="4"/>
      <c r="K58" s="11"/>
      <c r="L58" s="11"/>
      <c r="M58" s="4"/>
      <c r="N58" s="11"/>
      <c r="O58" s="11"/>
      <c r="P58" s="11"/>
      <c r="Q58" s="11"/>
      <c r="R58" s="11"/>
      <c r="S58" s="11"/>
      <c r="T58" s="11"/>
      <c r="U58" s="11"/>
    </row>
    <row r="59" spans="1:33" s="5" customFormat="1" ht="15" customHeight="1">
      <c r="A59" s="18"/>
      <c r="B59" s="18"/>
      <c r="C59" s="18"/>
      <c r="D59" s="46"/>
      <c r="E59" s="18"/>
      <c r="F59" s="18"/>
      <c r="G59" s="46"/>
      <c r="H59" s="29"/>
      <c r="I59" s="4"/>
      <c r="J59" s="4"/>
      <c r="K59" s="11"/>
      <c r="L59" s="11"/>
      <c r="M59" s="4"/>
      <c r="N59" s="11"/>
      <c r="O59" s="11"/>
      <c r="P59" s="11"/>
      <c r="Q59" s="11"/>
      <c r="R59" s="11"/>
      <c r="S59" s="11"/>
      <c r="T59" s="11"/>
      <c r="U59" s="11"/>
    </row>
    <row r="60" spans="1:33" s="5" customFormat="1" ht="15" customHeight="1">
      <c r="A60" s="4" t="s">
        <v>1</v>
      </c>
      <c r="B60" s="2"/>
      <c r="C60" s="2"/>
      <c r="D60" s="2"/>
      <c r="E60" s="2"/>
      <c r="F60" s="2"/>
      <c r="G60" s="2"/>
      <c r="H60" s="2"/>
      <c r="M60" s="4"/>
    </row>
    <row r="61" spans="1:33" s="5" customFormat="1" ht="15" customHeight="1">
      <c r="A61" s="19" t="s">
        <v>2</v>
      </c>
      <c r="B61" s="2"/>
      <c r="C61" s="2"/>
      <c r="D61" s="2"/>
      <c r="E61" s="2"/>
      <c r="F61" s="2"/>
      <c r="G61" s="2"/>
      <c r="H61" s="2"/>
      <c r="M61" s="4"/>
    </row>
    <row r="62" spans="1:33" s="5" customFormat="1" ht="15" customHeight="1">
      <c r="A62" s="19"/>
      <c r="B62" s="2"/>
      <c r="C62" s="2"/>
      <c r="D62" s="2"/>
      <c r="E62" s="2"/>
      <c r="F62" s="2"/>
      <c r="G62" s="2"/>
      <c r="H62" s="2"/>
      <c r="M62" s="4"/>
    </row>
    <row r="63" spans="1:33" s="5" customFormat="1">
      <c r="A63" s="75" t="s">
        <v>69</v>
      </c>
      <c r="B63" s="75"/>
      <c r="C63" s="75"/>
      <c r="D63" s="75"/>
      <c r="E63" s="75"/>
      <c r="F63" s="75"/>
      <c r="G63" s="75"/>
      <c r="H63" s="75"/>
      <c r="M63" s="4"/>
    </row>
    <row r="65" spans="1:13" s="5" customFormat="1">
      <c r="A65" s="4" t="s">
        <v>3</v>
      </c>
      <c r="B65" s="4"/>
      <c r="C65" s="4"/>
      <c r="D65" s="4"/>
      <c r="E65" s="4"/>
      <c r="F65" s="4"/>
      <c r="G65" s="4"/>
      <c r="H65" s="20" t="s">
        <v>4</v>
      </c>
      <c r="M65" s="4"/>
    </row>
    <row r="66" spans="1:13" s="5" customFormat="1">
      <c r="A66" s="19" t="s">
        <v>5</v>
      </c>
      <c r="B66" s="4"/>
      <c r="C66" s="4"/>
      <c r="D66" s="4"/>
      <c r="E66" s="4"/>
      <c r="F66" s="4"/>
      <c r="G66" s="4"/>
      <c r="H66" s="20" t="s">
        <v>6</v>
      </c>
      <c r="M66" s="4"/>
    </row>
    <row r="73" spans="1:13">
      <c r="K73" s="4" t="s">
        <v>65</v>
      </c>
      <c r="L73" s="5"/>
    </row>
    <row r="74" spans="1:13">
      <c r="K74" s="4" t="s">
        <v>66</v>
      </c>
    </row>
    <row r="75" spans="1:13">
      <c r="K75" s="4" t="s">
        <v>67</v>
      </c>
    </row>
    <row r="76" spans="1:13">
      <c r="K76" s="4" t="s">
        <v>68</v>
      </c>
    </row>
    <row r="77" spans="1:13">
      <c r="K77" s="4" t="s">
        <v>64</v>
      </c>
    </row>
    <row r="78" spans="1:13">
      <c r="K78" s="4" t="s">
        <v>55</v>
      </c>
    </row>
  </sheetData>
  <mergeCells count="8">
    <mergeCell ref="A63:H63"/>
    <mergeCell ref="A1:H1"/>
    <mergeCell ref="A4:F4"/>
    <mergeCell ref="B5:F5"/>
    <mergeCell ref="A58:H58"/>
    <mergeCell ref="E6:F6"/>
    <mergeCell ref="B6:C6"/>
    <mergeCell ref="H6:H7"/>
  </mergeCells>
  <dataValidations count="1">
    <dataValidation type="list" allowBlank="1" showInputMessage="1" showErrorMessage="1" sqref="A4:F4">
      <formula1>$K$73:$K$78</formula1>
    </dataValidation>
  </dataValidations>
  <hyperlinks>
    <hyperlink ref="A61" r:id="rId1"/>
    <hyperlink ref="A6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(2010-11)</vt:lpstr>
      <vt:lpstr>(2011-12)</vt:lpstr>
      <vt:lpstr>(2012-13)</vt:lpstr>
      <vt:lpstr>(2013-14)</vt:lpstr>
      <vt:lpstr>(2014-15)</vt:lpstr>
      <vt:lpstr>(2015-16)</vt:lpstr>
      <vt:lpstr>FIRE1112 raw</vt:lpstr>
      <vt:lpstr>FIRE1402</vt:lpstr>
      <vt:lpstr>'(2010-11)'!Print_Area</vt:lpstr>
      <vt:lpstr>'(2011-12)'!Print_Area</vt:lpstr>
      <vt:lpstr>'(2012-13)'!Print_Area</vt:lpstr>
      <vt:lpstr>'(2013-14)'!Print_Area</vt:lpstr>
      <vt:lpstr>'(2014-15)'!Print_Area</vt:lpstr>
      <vt:lpstr>'(2015-16)'!Print_Area</vt:lpstr>
    </vt:vector>
  </TitlesOfParts>
  <Company>Home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STATISTICS TABLE 1402: Accidents occurring to fire and rescue authority vehicles, by fire and rescue authority</dc:title>
  <dc:creator>Home Office Science</dc:creator>
  <cp:keywords>data tables, accidents, vehicles, 2016 </cp:keywords>
  <cp:lastModifiedBy>Home Office Science</cp:lastModifiedBy>
  <dcterms:created xsi:type="dcterms:W3CDTF">2016-09-29T10:50:43Z</dcterms:created>
  <dcterms:modified xsi:type="dcterms:W3CDTF">2016-10-26T09:44:03Z</dcterms:modified>
</cp:coreProperties>
</file>