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rebecca_tinker_justice_gov_uk/Documents/2015/2017/CCFG/December 2018/Calculator/"/>
    </mc:Choice>
  </mc:AlternateContent>
  <workbookProtection workbookPassword="E9DC" lockStructure="1"/>
  <bookViews>
    <workbookView xWindow="0" yWindow="0" windowWidth="23040" windowHeight="9060"/>
  </bookViews>
  <sheets>
    <sheet name="Full Trial" sheetId="1" r:id="rId1"/>
    <sheet name="Guilty Plea" sheetId="6" r:id="rId2"/>
    <sheet name="Cracked Trial" sheetId="7" r:id="rId3"/>
    <sheet name="Fixed Fee" sheetId="8" r:id="rId4"/>
    <sheet name="Fees" sheetId="4" state="hidden" r:id="rId5"/>
    <sheet name="A_Fees" sheetId="3" state="hidden" r:id="rId6"/>
  </sheets>
  <definedNames>
    <definedName name="_xlnm.Print_Area" localSheetId="0">'Full Trial'!$A$5:$E$59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D40" i="8" s="1"/>
  <c r="D27" i="7"/>
  <c r="B13" i="1" l="1"/>
  <c r="B14" i="1"/>
  <c r="I5" i="8" l="1"/>
  <c r="C19" i="8" s="1"/>
  <c r="C20" i="8" l="1"/>
  <c r="C23" i="8"/>
  <c r="D23" i="8" s="1"/>
  <c r="C12" i="8"/>
  <c r="C21" i="8"/>
  <c r="C24" i="8"/>
  <c r="D24" i="8" s="1"/>
  <c r="C28" i="8"/>
  <c r="C27" i="8"/>
  <c r="D27" i="8" s="1"/>
  <c r="C25" i="8"/>
  <c r="D25" i="8" s="1"/>
  <c r="C14" i="8"/>
  <c r="C26" i="8"/>
  <c r="D26" i="8" s="1"/>
  <c r="C18" i="8"/>
  <c r="C16" i="8"/>
  <c r="D8" i="7"/>
  <c r="D8" i="1"/>
  <c r="C22" i="8" l="1"/>
  <c r="D22" i="8" s="1"/>
  <c r="D21" i="8"/>
  <c r="C29" i="8"/>
  <c r="D29" i="8" s="1"/>
  <c r="D28" i="8"/>
  <c r="D20" i="8"/>
  <c r="D19" i="8"/>
  <c r="D18" i="8"/>
  <c r="C13" i="8"/>
  <c r="D13" i="8" s="1"/>
  <c r="D12" i="8"/>
  <c r="C17" i="8"/>
  <c r="D17" i="8" s="1"/>
  <c r="D16" i="8"/>
  <c r="C15" i="8"/>
  <c r="D15" i="8" s="1"/>
  <c r="D14" i="8"/>
  <c r="D28" i="7"/>
  <c r="D68" i="7"/>
  <c r="D73" i="7" s="1"/>
  <c r="B13" i="7"/>
  <c r="D66" i="6"/>
  <c r="D71" i="6" s="1"/>
  <c r="D68" i="1"/>
  <c r="D73" i="1" s="1"/>
  <c r="D30" i="8" l="1"/>
  <c r="D39" i="8" s="1"/>
  <c r="D41" i="8" s="1"/>
  <c r="B12" i="6"/>
  <c r="I6" i="7"/>
  <c r="I5" i="6"/>
  <c r="I5" i="1"/>
  <c r="C25" i="6" l="1"/>
  <c r="D25" i="6" s="1"/>
  <c r="D26" i="6" s="1"/>
  <c r="C35" i="6"/>
  <c r="D35" i="6" s="1"/>
  <c r="C17" i="6"/>
  <c r="C34" i="6"/>
  <c r="D34" i="6" s="1"/>
  <c r="C37" i="7"/>
  <c r="D37" i="7" s="1"/>
  <c r="C36" i="7"/>
  <c r="D36" i="7" s="1"/>
  <c r="D42" i="8"/>
  <c r="D43" i="8" s="1"/>
  <c r="C38" i="1"/>
  <c r="C33" i="1"/>
  <c r="C36" i="1"/>
  <c r="D36" i="1" s="1"/>
  <c r="C27" i="1"/>
  <c r="D27" i="1" s="1"/>
  <c r="D28" i="1" s="1"/>
  <c r="C37" i="1"/>
  <c r="D37" i="1" s="1"/>
  <c r="C62" i="7"/>
  <c r="D62" i="7" s="1"/>
  <c r="C26" i="7"/>
  <c r="D26" i="7" s="1"/>
  <c r="C38" i="7"/>
  <c r="C51" i="7"/>
  <c r="C45" i="7"/>
  <c r="C27" i="7"/>
  <c r="C28" i="7" s="1"/>
  <c r="C58" i="7"/>
  <c r="C57" i="7"/>
  <c r="D57" i="7" s="1"/>
  <c r="C60" i="7"/>
  <c r="C25" i="7"/>
  <c r="D25" i="7" s="1"/>
  <c r="C53" i="7"/>
  <c r="D53" i="7" s="1"/>
  <c r="C33" i="7"/>
  <c r="C43" i="7"/>
  <c r="C35" i="7"/>
  <c r="C39" i="7"/>
  <c r="C19" i="7"/>
  <c r="C31" i="7"/>
  <c r="C41" i="7"/>
  <c r="C61" i="7"/>
  <c r="D61" i="7" s="1"/>
  <c r="C49" i="7"/>
  <c r="C21" i="7"/>
  <c r="C54" i="7"/>
  <c r="C29" i="7"/>
  <c r="C47" i="7"/>
  <c r="C55" i="7"/>
  <c r="C60" i="6"/>
  <c r="D60" i="6" s="1"/>
  <c r="C24" i="6"/>
  <c r="D24" i="6" s="1"/>
  <c r="C36" i="6"/>
  <c r="C49" i="6"/>
  <c r="C43" i="6"/>
  <c r="C56" i="6"/>
  <c r="C39" i="6"/>
  <c r="C59" i="6"/>
  <c r="D59" i="6" s="1"/>
  <c r="C19" i="6"/>
  <c r="C27" i="6"/>
  <c r="C55" i="6"/>
  <c r="D55" i="6" s="1"/>
  <c r="C58" i="6"/>
  <c r="D58" i="6" s="1"/>
  <c r="C23" i="6"/>
  <c r="D23" i="6" s="1"/>
  <c r="C51" i="6"/>
  <c r="D51" i="6" s="1"/>
  <c r="C31" i="6"/>
  <c r="C41" i="6"/>
  <c r="C33" i="6"/>
  <c r="C29" i="6"/>
  <c r="C47" i="6"/>
  <c r="C52" i="6"/>
  <c r="C37" i="6"/>
  <c r="C45" i="6"/>
  <c r="C53" i="6"/>
  <c r="C29" i="1"/>
  <c r="C41" i="1"/>
  <c r="C61" i="1"/>
  <c r="D61" i="1" s="1"/>
  <c r="C49" i="1"/>
  <c r="C21" i="1"/>
  <c r="C22" i="1" s="1"/>
  <c r="C54" i="1"/>
  <c r="C60" i="1"/>
  <c r="D60" i="1" s="1"/>
  <c r="C39" i="1"/>
  <c r="C57" i="1"/>
  <c r="D57" i="1" s="1"/>
  <c r="C47" i="1"/>
  <c r="C19" i="1"/>
  <c r="C20" i="1" s="1"/>
  <c r="C55" i="1"/>
  <c r="C56" i="1" s="1"/>
  <c r="D56" i="1" s="1"/>
  <c r="C62" i="1"/>
  <c r="D62" i="1" s="1"/>
  <c r="C26" i="1"/>
  <c r="D26" i="1" s="1"/>
  <c r="C51" i="1"/>
  <c r="C45" i="1"/>
  <c r="C46" i="1" s="1"/>
  <c r="D46" i="1" s="1"/>
  <c r="C58" i="1"/>
  <c r="C31" i="1"/>
  <c r="C25" i="1"/>
  <c r="D25" i="1" s="1"/>
  <c r="C53" i="1"/>
  <c r="D53" i="1" s="1"/>
  <c r="C43" i="1"/>
  <c r="C44" i="1" s="1"/>
  <c r="C35" i="1"/>
  <c r="D60" i="7"/>
  <c r="C13" i="7"/>
  <c r="C12" i="6"/>
  <c r="C22" i="6" l="1"/>
  <c r="C21" i="6"/>
  <c r="C24" i="7"/>
  <c r="D24" i="7" s="1"/>
  <c r="C23" i="7"/>
  <c r="D23" i="7" s="1"/>
  <c r="D58" i="1"/>
  <c r="C59" i="1"/>
  <c r="D22" i="6"/>
  <c r="D21" i="6"/>
  <c r="D12" i="6"/>
  <c r="D13" i="6" s="1"/>
  <c r="D69" i="6" s="1"/>
  <c r="C56" i="7"/>
  <c r="D56" i="7" s="1"/>
  <c r="D55" i="7"/>
  <c r="D21" i="7"/>
  <c r="C22" i="7"/>
  <c r="D22" i="7" s="1"/>
  <c r="C44" i="7"/>
  <c r="D44" i="7" s="1"/>
  <c r="D43" i="7"/>
  <c r="D45" i="7"/>
  <c r="C46" i="7"/>
  <c r="D46" i="7" s="1"/>
  <c r="C40" i="7"/>
  <c r="D40" i="7" s="1"/>
  <c r="D39" i="7"/>
  <c r="D49" i="7"/>
  <c r="C50" i="7"/>
  <c r="D50" i="7" s="1"/>
  <c r="C34" i="7"/>
  <c r="D34" i="7" s="1"/>
  <c r="D33" i="7"/>
  <c r="C20" i="7"/>
  <c r="D20" i="7" s="1"/>
  <c r="D19" i="7"/>
  <c r="C30" i="7"/>
  <c r="D30" i="7" s="1"/>
  <c r="D29" i="7"/>
  <c r="C52" i="7"/>
  <c r="D52" i="7" s="1"/>
  <c r="D51" i="7"/>
  <c r="C59" i="7"/>
  <c r="D59" i="7" s="1"/>
  <c r="D58" i="7"/>
  <c r="D35" i="7"/>
  <c r="C32" i="7"/>
  <c r="D32" i="7" s="1"/>
  <c r="D31" i="7"/>
  <c r="D47" i="7"/>
  <c r="C48" i="7"/>
  <c r="D48" i="7" s="1"/>
  <c r="D38" i="7"/>
  <c r="C42" i="7"/>
  <c r="D42" i="7" s="1"/>
  <c r="D41" i="7"/>
  <c r="D54" i="7"/>
  <c r="D13" i="7"/>
  <c r="D14" i="7" s="1"/>
  <c r="D71" i="7" s="1"/>
  <c r="D19" i="6"/>
  <c r="C20" i="6"/>
  <c r="D20" i="6" s="1"/>
  <c r="C32" i="6"/>
  <c r="D32" i="6" s="1"/>
  <c r="D31" i="6"/>
  <c r="C18" i="6"/>
  <c r="D18" i="6" s="1"/>
  <c r="D17" i="6"/>
  <c r="D27" i="6"/>
  <c r="C28" i="6"/>
  <c r="D28" i="6" s="1"/>
  <c r="D33" i="6"/>
  <c r="D52" i="6"/>
  <c r="D29" i="6"/>
  <c r="C30" i="6"/>
  <c r="D30" i="6" s="1"/>
  <c r="C44" i="6"/>
  <c r="D44" i="6" s="1"/>
  <c r="D43" i="6"/>
  <c r="D45" i="6"/>
  <c r="C46" i="6"/>
  <c r="D46" i="6" s="1"/>
  <c r="D36" i="6"/>
  <c r="D47" i="6"/>
  <c r="C48" i="6"/>
  <c r="D48" i="6" s="1"/>
  <c r="C26" i="6"/>
  <c r="C38" i="6"/>
  <c r="D38" i="6" s="1"/>
  <c r="D37" i="6"/>
  <c r="C50" i="6"/>
  <c r="D50" i="6" s="1"/>
  <c r="D49" i="6"/>
  <c r="C40" i="6"/>
  <c r="D40" i="6" s="1"/>
  <c r="D39" i="6"/>
  <c r="C57" i="6"/>
  <c r="D57" i="6" s="1"/>
  <c r="D56" i="6"/>
  <c r="D53" i="6"/>
  <c r="C54" i="6"/>
  <c r="D54" i="6" s="1"/>
  <c r="C42" i="6"/>
  <c r="D42" i="6" s="1"/>
  <c r="D41" i="6"/>
  <c r="C28" i="1"/>
  <c r="D29" i="1"/>
  <c r="C30" i="1"/>
  <c r="D30" i="1" s="1"/>
  <c r="D45" i="1"/>
  <c r="C32" i="1"/>
  <c r="D32" i="1" s="1"/>
  <c r="D31" i="1"/>
  <c r="D19" i="1"/>
  <c r="D38" i="1"/>
  <c r="C40" i="1"/>
  <c r="D40" i="1" s="1"/>
  <c r="D39" i="1"/>
  <c r="D55" i="1"/>
  <c r="C42" i="1"/>
  <c r="D42" i="1" s="1"/>
  <c r="D41" i="1"/>
  <c r="D21" i="1"/>
  <c r="D51" i="1"/>
  <c r="C52" i="1"/>
  <c r="D52" i="1" s="1"/>
  <c r="D33" i="1"/>
  <c r="C34" i="1"/>
  <c r="D34" i="1" s="1"/>
  <c r="C50" i="1"/>
  <c r="D50" i="1" s="1"/>
  <c r="D49" i="1"/>
  <c r="D43" i="1"/>
  <c r="D47" i="1"/>
  <c r="C48" i="1"/>
  <c r="D48" i="1" s="1"/>
  <c r="D44" i="1"/>
  <c r="D22" i="1"/>
  <c r="D20" i="1"/>
  <c r="D35" i="1"/>
  <c r="D54" i="1"/>
  <c r="D59" i="1"/>
  <c r="D61" i="6" l="1"/>
  <c r="D70" i="6" s="1"/>
  <c r="D72" i="6" s="1"/>
  <c r="D63" i="7"/>
  <c r="D72" i="7" s="1"/>
  <c r="D74" i="7" s="1"/>
  <c r="D75" i="7" s="1"/>
  <c r="D76" i="7" s="1"/>
  <c r="D73" i="6" l="1"/>
  <c r="D74" i="6" s="1"/>
  <c r="E14" i="1"/>
  <c r="C13" i="1" l="1"/>
  <c r="C14" i="1"/>
  <c r="D14" i="1" s="1"/>
  <c r="C23" i="1" l="1"/>
  <c r="D23" i="1" s="1"/>
  <c r="C24" i="1"/>
  <c r="D24" i="1" s="1"/>
  <c r="D13" i="1"/>
  <c r="D15" i="1" s="1"/>
  <c r="D71" i="1" s="1"/>
  <c r="D63" i="1" l="1"/>
  <c r="D72" i="1" s="1"/>
  <c r="D74" i="1" s="1"/>
  <c r="D75" i="1" s="1"/>
  <c r="D76" i="1" s="1"/>
</calcChain>
</file>

<file path=xl/sharedStrings.xml><?xml version="1.0" encoding="utf-8"?>
<sst xmlns="http://schemas.openxmlformats.org/spreadsheetml/2006/main" count="377" uniqueCount="148">
  <si>
    <t>Please fill in the GREY shaded boxes</t>
  </si>
  <si>
    <t>Section 1: Advocate and Offence</t>
  </si>
  <si>
    <t/>
  </si>
  <si>
    <t>Please enter advocate type (from pull down list)</t>
  </si>
  <si>
    <t>Counsel type</t>
  </si>
  <si>
    <t>Days attended</t>
  </si>
  <si>
    <t>discount for retrials</t>
  </si>
  <si>
    <t>Retrial within 1 month (enter 1)</t>
  </si>
  <si>
    <t>Leading Junior</t>
  </si>
  <si>
    <t>Retrial after 1 month (enter 1)</t>
  </si>
  <si>
    <t>Section 2: Basic Fee &amp; Enhancements</t>
  </si>
  <si>
    <t>Description</t>
  </si>
  <si>
    <t>Qty</t>
  </si>
  <si>
    <t>Rate</t>
  </si>
  <si>
    <t>Amount</t>
  </si>
  <si>
    <t>Basic Fee</t>
  </si>
  <si>
    <t>Section 2 total carried forward</t>
  </si>
  <si>
    <t>Abuse of process hearing (full day)</t>
  </si>
  <si>
    <t>Abuse of process hearing (full day) uplift</t>
  </si>
  <si>
    <t>Abuse of process hearing (half day)</t>
  </si>
  <si>
    <t>Abuse of process hearing (half day) uplift</t>
  </si>
  <si>
    <t>Conferences and views (total of all hours)</t>
  </si>
  <si>
    <t>Confiscation hearings (full day)</t>
  </si>
  <si>
    <t>Confiscation hearings (full day) uplift</t>
  </si>
  <si>
    <t>Confiscation hearings (half day)</t>
  </si>
  <si>
    <t>Confiscation hearings (half day) uplift</t>
  </si>
  <si>
    <t>Deferred sentence hearing</t>
  </si>
  <si>
    <t>Deferred sentence hearing uplift</t>
  </si>
  <si>
    <t>Hearings relating to disclosure (half day)</t>
  </si>
  <si>
    <t>Hearings relating to disclosure (half day) uplift</t>
  </si>
  <si>
    <t>Hearings relating to the admissibility of evidence (full day)</t>
  </si>
  <si>
    <t>Hearings relating to the admissibility of evidence (full day) uplift</t>
  </si>
  <si>
    <t>Hearings relating to the admissibility of evidence (half day)</t>
  </si>
  <si>
    <t>Hearings relating to the admissibility of evidence (half day) uplift</t>
  </si>
  <si>
    <t>Noting brief</t>
  </si>
  <si>
    <t>Written/oral advice</t>
  </si>
  <si>
    <t>Travel time</t>
  </si>
  <si>
    <t>Special preparation</t>
  </si>
  <si>
    <t>Standard appearance</t>
  </si>
  <si>
    <t>Standard appearance uplift</t>
  </si>
  <si>
    <t>Additional defendant</t>
  </si>
  <si>
    <t>Additional case</t>
  </si>
  <si>
    <t>Wasted preparation</t>
  </si>
  <si>
    <t>Appeals to the Crown Court against conviction</t>
  </si>
  <si>
    <t>Appeals to the Crown Court against conviction uplift</t>
  </si>
  <si>
    <t xml:space="preserve">Appeals to the Crown Court against sentence </t>
  </si>
  <si>
    <t>Committal for sentence</t>
  </si>
  <si>
    <t>Committal for sentence uplift</t>
  </si>
  <si>
    <t>Case discontinued before papers served</t>
  </si>
  <si>
    <t>Case discontinued before papers served uplift</t>
  </si>
  <si>
    <t>Contempt -unapportioned fee</t>
  </si>
  <si>
    <t>Contempt -apportioned fee</t>
  </si>
  <si>
    <t>Section 3 total carried forward</t>
  </si>
  <si>
    <t>Section 4: Travel and Hotel Expenses</t>
  </si>
  <si>
    <t>Travel and hotel expenses</t>
  </si>
  <si>
    <t>Section 4 total (total travel)</t>
  </si>
  <si>
    <t>Summary</t>
  </si>
  <si>
    <t>Section 2 Total B/F</t>
  </si>
  <si>
    <t>Section 3 Total B/F</t>
  </si>
  <si>
    <t>Section 4 Total B/F</t>
  </si>
  <si>
    <t>Total Fees &amp; Expenses</t>
  </si>
  <si>
    <t xml:space="preserve">  VAT on Fees &amp; Expenses</t>
  </si>
  <si>
    <t>CLAIM TOTAL</t>
  </si>
  <si>
    <t>J P</t>
  </si>
  <si>
    <t>J C</t>
  </si>
  <si>
    <t>J T</t>
  </si>
  <si>
    <t>J R</t>
  </si>
  <si>
    <t>L P</t>
  </si>
  <si>
    <t>L C</t>
  </si>
  <si>
    <t>L T</t>
  </si>
  <si>
    <t>L R</t>
  </si>
  <si>
    <t>Q P</t>
  </si>
  <si>
    <t>Q C</t>
  </si>
  <si>
    <t>Q T</t>
  </si>
  <si>
    <t>Q R</t>
  </si>
  <si>
    <t>Ancillary Fees</t>
  </si>
  <si>
    <t>J</t>
  </si>
  <si>
    <t>L</t>
  </si>
  <si>
    <t>Q</t>
  </si>
  <si>
    <t>Standard Appearance</t>
  </si>
  <si>
    <t>Sentence</t>
  </si>
  <si>
    <t>PTPH</t>
  </si>
  <si>
    <t>FCMH</t>
  </si>
  <si>
    <t>Committal for Sentence</t>
  </si>
  <si>
    <t>Appeal against sentence</t>
  </si>
  <si>
    <t>Appeal against conviction</t>
  </si>
  <si>
    <t>Elected cases not proceeded</t>
  </si>
  <si>
    <t>Conference (hourly)</t>
  </si>
  <si>
    <t>Breach of Crown Court Order</t>
  </si>
  <si>
    <t>Deferred Sentence Hearing</t>
  </si>
  <si>
    <t>Ineffective Trial Hearing</t>
  </si>
  <si>
    <t>Special Preparation</t>
  </si>
  <si>
    <t>Wasted Preparation</t>
  </si>
  <si>
    <t>Noting Brief</t>
  </si>
  <si>
    <t>Hearing for Mitigation of Sentence</t>
  </si>
  <si>
    <t>Daily attendance fee (Day 2 onwards)</t>
  </si>
  <si>
    <t>Section 3: Fixed fees</t>
  </si>
  <si>
    <t>Band of offence</t>
  </si>
  <si>
    <t>GF offence Band</t>
  </si>
  <si>
    <t>Calculator Name</t>
  </si>
  <si>
    <t>Abuse of Process (F/D)</t>
  </si>
  <si>
    <t>Abuse of Process (H/D)</t>
  </si>
  <si>
    <t>Disclosure Hearings (F/D)</t>
  </si>
  <si>
    <t>Disclosure Hearings  (H/D)</t>
  </si>
  <si>
    <t>Admissibility of Evidence Hearings  (F/D)</t>
  </si>
  <si>
    <t>Admissibility of Evidence Hearings (H/D)</t>
  </si>
  <si>
    <t>Queen's Counsel</t>
  </si>
  <si>
    <t>Please enter advocate type  (from pull down list)</t>
  </si>
  <si>
    <t>GF offence Group</t>
  </si>
  <si>
    <t>Retrial discounts</t>
  </si>
  <si>
    <t>Section 1: Advocate and Offence and case details</t>
  </si>
  <si>
    <t>Please enter advocate type (from the pull down list)</t>
  </si>
  <si>
    <t>Junior Alone or Led Junior</t>
  </si>
  <si>
    <t>expected trial length at PTPH</t>
  </si>
  <si>
    <t>Sentencing Hearing</t>
  </si>
  <si>
    <t>Sentencing hearing</t>
  </si>
  <si>
    <t>Sentencing hearing Uplift</t>
  </si>
  <si>
    <t>Further case management hearing</t>
  </si>
  <si>
    <t>Appeals to the Crown Court against sentence uplift</t>
  </si>
  <si>
    <t>Conferences and views (total of all hours) uplift</t>
  </si>
  <si>
    <t>Proceedings relating to the breach of an order of the Crown Court</t>
  </si>
  <si>
    <t>Hearings relating to disclosure (full day)</t>
  </si>
  <si>
    <t>Hearings relating to disclosure (full day) uplift</t>
  </si>
  <si>
    <t>Proceedings relating to the breach of an order of the Crown Court uplift</t>
  </si>
  <si>
    <t>Ineffective trial hearing</t>
  </si>
  <si>
    <t>Ineffective trial hearing uplift</t>
  </si>
  <si>
    <t>Hearing for mitigation of sentence</t>
  </si>
  <si>
    <t>Hearings on withdrawal of guilty plea (full day)</t>
  </si>
  <si>
    <t>Hearings on withdrawal of guilty plea (full day) uplift</t>
  </si>
  <si>
    <t>Hearings on withdrawal of guilty plea (half day)</t>
  </si>
  <si>
    <t>Hearings on withdrawal of guilty plea (half day) uplift</t>
  </si>
  <si>
    <t>(from the regs)</t>
  </si>
  <si>
    <t>Adjourned appeals, committals for sentence and breach hearings</t>
  </si>
  <si>
    <t>Adjourned appeals, committals for sentence and breach hearings uplift</t>
  </si>
  <si>
    <t>Bail applications, mentions and other applications in appeal, committals for sentence and breach hearings</t>
  </si>
  <si>
    <t>From old calculators</t>
  </si>
  <si>
    <t>Plea and trial preparation hearing</t>
  </si>
  <si>
    <t>From Bec's email</t>
  </si>
  <si>
    <t>GF offence Group (if early discontinuance)</t>
  </si>
  <si>
    <r>
      <t xml:space="preserve">Graduated Fee calculator for guilty pleas and cracked trials in the first third </t>
    </r>
    <r>
      <rPr>
        <b/>
        <sz val="12"/>
        <color rgb="FFFF0000"/>
        <rFont val="CG Times"/>
      </rPr>
      <t>scheme 10</t>
    </r>
    <r>
      <rPr>
        <b/>
        <sz val="12"/>
        <rFont val="CG Times"/>
      </rPr>
      <t xml:space="preserve"> (excluding cases where the defendant elected for a jury trial)</t>
    </r>
  </si>
  <si>
    <r>
      <t xml:space="preserve">Graduated Fee calculator for cracked trials </t>
    </r>
    <r>
      <rPr>
        <b/>
        <sz val="12"/>
        <color rgb="FFFF0000"/>
        <rFont val="CG Times"/>
      </rPr>
      <t>Scheme 10</t>
    </r>
  </si>
  <si>
    <r>
      <t xml:space="preserve">Graduated Fee calculator for trials </t>
    </r>
    <r>
      <rPr>
        <b/>
        <sz val="12"/>
        <color rgb="FFFF0000"/>
        <rFont val="CG Times"/>
      </rPr>
      <t>Scheme 10</t>
    </r>
  </si>
  <si>
    <r>
      <t>Graduated Fee calculator for fixed fees in</t>
    </r>
    <r>
      <rPr>
        <b/>
        <sz val="12"/>
        <color rgb="FFFF0000"/>
        <rFont val="CG Times"/>
      </rPr>
      <t xml:space="preserve"> </t>
    </r>
    <r>
      <rPr>
        <b/>
        <sz val="14"/>
        <color rgb="FFFF0000"/>
        <rFont val="CG Times"/>
      </rPr>
      <t>scheme 10</t>
    </r>
  </si>
  <si>
    <t>Application to dismiss (full day)</t>
  </si>
  <si>
    <t>Application to dismiss (half day)</t>
  </si>
  <si>
    <t>Ground Rules Hearings (full day)</t>
  </si>
  <si>
    <t>Ground Rules Hearings (half day)</t>
  </si>
  <si>
    <t>Sentencing hearing uplift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</si>
</sst>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G Times"/>
    </font>
    <font>
      <sz val="12"/>
      <color indexed="10"/>
      <name val="CG Times"/>
      <family val="1"/>
    </font>
    <font>
      <b/>
      <sz val="12"/>
      <color indexed="10"/>
      <name val="CG Times"/>
      <family val="1"/>
    </font>
    <font>
      <sz val="12"/>
      <color indexed="57"/>
      <name val="CG Times"/>
      <family val="1"/>
    </font>
    <font>
      <sz val="12"/>
      <color indexed="52"/>
      <name val="CG Times"/>
      <family val="1"/>
    </font>
    <font>
      <sz val="12"/>
      <color indexed="12"/>
      <name val="CG Times"/>
    </font>
    <font>
      <b/>
      <sz val="12"/>
      <name val="CG Times"/>
      <family val="1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CG Times"/>
    </font>
    <font>
      <b/>
      <sz val="12"/>
      <color rgb="FFFF0000"/>
      <name val="CG Times"/>
    </font>
    <font>
      <b/>
      <sz val="14"/>
      <color rgb="FFFF0000"/>
      <name val="CG Times"/>
    </font>
    <font>
      <sz val="12"/>
      <color theme="1"/>
      <name val="CG Times"/>
    </font>
    <font>
      <sz val="11"/>
      <color rgb="FF9BC2E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Protection="1"/>
    <xf numFmtId="0" fontId="0" fillId="0" borderId="0" xfId="0" applyProtection="1"/>
    <xf numFmtId="14" fontId="2" fillId="0" borderId="0" xfId="0" applyNumberFormat="1" applyFont="1" applyProtection="1"/>
    <xf numFmtId="14" fontId="0" fillId="0" borderId="0" xfId="0" applyNumberFormat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4" fillId="0" borderId="5" xfId="0" applyFont="1" applyBorder="1" applyProtection="1"/>
    <xf numFmtId="0" fontId="0" fillId="0" borderId="3" xfId="0" applyBorder="1" applyProtection="1"/>
    <xf numFmtId="0" fontId="0" fillId="2" borderId="0" xfId="0" applyFill="1" applyProtection="1">
      <protection locked="0"/>
    </xf>
    <xf numFmtId="0" fontId="0" fillId="0" borderId="7" xfId="0" applyBorder="1" applyProtection="1"/>
    <xf numFmtId="0" fontId="0" fillId="2" borderId="7" xfId="0" applyFill="1" applyBorder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Protection="1">
      <protection locked="0"/>
    </xf>
    <xf numFmtId="0" fontId="5" fillId="0" borderId="0" xfId="0" applyFont="1" applyProtection="1"/>
    <xf numFmtId="9" fontId="0" fillId="0" borderId="0" xfId="0" applyNumberFormat="1" applyBorder="1" applyProtection="1"/>
    <xf numFmtId="0" fontId="0" fillId="0" borderId="8" xfId="0" applyBorder="1" applyProtection="1"/>
    <xf numFmtId="0" fontId="0" fillId="2" borderId="2" xfId="0" applyFill="1" applyBorder="1" applyProtection="1">
      <protection locked="0"/>
    </xf>
    <xf numFmtId="9" fontId="0" fillId="0" borderId="2" xfId="0" applyNumberFormat="1" applyBorder="1" applyProtection="1"/>
    <xf numFmtId="0" fontId="6" fillId="0" borderId="6" xfId="0" applyFont="1" applyBorder="1" applyProtection="1"/>
    <xf numFmtId="0" fontId="0" fillId="0" borderId="0" xfId="0" quotePrefix="1" applyProtection="1"/>
    <xf numFmtId="44" fontId="0" fillId="0" borderId="0" xfId="0" applyNumberFormat="1" applyAlignment="1" applyProtection="1">
      <alignment horizontal="left"/>
    </xf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44" fontId="0" fillId="0" borderId="7" xfId="2" applyFont="1" applyBorder="1" applyProtection="1"/>
    <xf numFmtId="44" fontId="0" fillId="0" borderId="4" xfId="0" applyNumberFormat="1" applyBorder="1" applyProtection="1"/>
    <xf numFmtId="44" fontId="0" fillId="0" borderId="0" xfId="2" applyFont="1" applyBorder="1" applyProtection="1"/>
    <xf numFmtId="44" fontId="0" fillId="0" borderId="5" xfId="0" applyNumberFormat="1" applyBorder="1" applyProtection="1"/>
    <xf numFmtId="0" fontId="4" fillId="0" borderId="0" xfId="0" applyFont="1" applyProtection="1"/>
    <xf numFmtId="0" fontId="0" fillId="0" borderId="9" xfId="0" applyBorder="1" applyProtection="1"/>
    <xf numFmtId="0" fontId="2" fillId="0" borderId="10" xfId="0" applyFont="1" applyBorder="1" applyProtection="1"/>
    <xf numFmtId="0" fontId="0" fillId="0" borderId="10" xfId="0" applyBorder="1" applyProtection="1"/>
    <xf numFmtId="44" fontId="2" fillId="0" borderId="11" xfId="0" applyNumberFormat="1" applyFont="1" applyBorder="1" applyProtection="1"/>
    <xf numFmtId="44" fontId="0" fillId="0" borderId="0" xfId="0" applyNumberFormat="1" applyProtection="1"/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3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/>
    <xf numFmtId="14" fontId="3" fillId="0" borderId="0" xfId="0" applyNumberFormat="1" applyFont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4" fontId="0" fillId="2" borderId="5" xfId="2" applyFont="1" applyFill="1" applyBorder="1" applyProtection="1">
      <protection locked="0"/>
    </xf>
    <xf numFmtId="0" fontId="2" fillId="0" borderId="7" xfId="0" applyFont="1" applyBorder="1" applyProtection="1"/>
    <xf numFmtId="44" fontId="2" fillId="0" borderId="4" xfId="0" applyNumberFormat="1" applyFont="1" applyBorder="1" applyProtection="1"/>
    <xf numFmtId="44" fontId="2" fillId="0" borderId="5" xfId="0" applyNumberFormat="1" applyFont="1" applyBorder="1" applyProtection="1"/>
    <xf numFmtId="10" fontId="2" fillId="2" borderId="0" xfId="0" applyNumberFormat="1" applyFont="1" applyFill="1" applyBorder="1" applyProtection="1">
      <protection locked="0"/>
    </xf>
    <xf numFmtId="0" fontId="2" fillId="0" borderId="2" xfId="0" applyFont="1" applyBorder="1" applyProtection="1"/>
    <xf numFmtId="44" fontId="2" fillId="0" borderId="6" xfId="0" applyNumberFormat="1" applyFont="1" applyBorder="1" applyProtection="1"/>
    <xf numFmtId="8" fontId="0" fillId="0" borderId="0" xfId="0" applyNumberFormat="1" applyProtection="1"/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6" fontId="11" fillId="0" borderId="13" xfId="0" applyNumberFormat="1" applyFont="1" applyBorder="1" applyAlignment="1">
      <alignment horizontal="right" vertical="center"/>
    </xf>
    <xf numFmtId="0" fontId="0" fillId="0" borderId="0" xfId="0" applyFill="1"/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6" fontId="9" fillId="3" borderId="0" xfId="0" applyNumberFormat="1" applyFont="1" applyFill="1" applyAlignment="1">
      <alignment horizontal="right" vertical="center"/>
    </xf>
    <xf numFmtId="6" fontId="9" fillId="3" borderId="14" xfId="0" applyNumberFormat="1" applyFont="1" applyFill="1" applyBorder="1" applyAlignment="1">
      <alignment horizontal="right" vertical="center"/>
    </xf>
    <xf numFmtId="6" fontId="9" fillId="3" borderId="13" xfId="0" applyNumberFormat="1" applyFont="1" applyFill="1" applyBorder="1" applyAlignment="1">
      <alignment horizontal="right" vertical="center"/>
    </xf>
    <xf numFmtId="6" fontId="9" fillId="3" borderId="12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6" fontId="9" fillId="4" borderId="0" xfId="0" applyNumberFormat="1" applyFont="1" applyFill="1" applyAlignment="1">
      <alignment horizontal="right" vertical="center"/>
    </xf>
    <xf numFmtId="6" fontId="9" fillId="4" borderId="14" xfId="0" applyNumberFormat="1" applyFont="1" applyFill="1" applyBorder="1" applyAlignment="1">
      <alignment horizontal="right" vertical="center"/>
    </xf>
    <xf numFmtId="6" fontId="9" fillId="4" borderId="13" xfId="0" applyNumberFormat="1" applyFont="1" applyFill="1" applyBorder="1" applyAlignment="1">
      <alignment horizontal="right" vertical="center"/>
    </xf>
    <xf numFmtId="6" fontId="9" fillId="4" borderId="12" xfId="0" applyNumberFormat="1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/>
    </xf>
    <xf numFmtId="6" fontId="9" fillId="5" borderId="0" xfId="0" applyNumberFormat="1" applyFont="1" applyFill="1" applyAlignment="1">
      <alignment horizontal="right" vertical="center"/>
    </xf>
    <xf numFmtId="6" fontId="9" fillId="5" borderId="13" xfId="0" applyNumberFormat="1" applyFont="1" applyFill="1" applyBorder="1" applyAlignment="1">
      <alignment horizontal="right" vertical="center"/>
    </xf>
    <xf numFmtId="6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horizontal="right" vertical="center"/>
    </xf>
    <xf numFmtId="6" fontId="11" fillId="0" borderId="0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6" xfId="0" applyBorder="1" applyProtection="1"/>
    <xf numFmtId="0" fontId="3" fillId="0" borderId="0" xfId="0" applyFont="1" applyFill="1" applyBorder="1" applyProtection="1"/>
    <xf numFmtId="44" fontId="0" fillId="0" borderId="0" xfId="0" applyNumberFormat="1" applyFill="1" applyBorder="1" applyProtection="1"/>
    <xf numFmtId="0" fontId="3" fillId="0" borderId="0" xfId="0" applyFont="1" applyBorder="1" applyProtection="1"/>
    <xf numFmtId="44" fontId="0" fillId="0" borderId="0" xfId="0" quotePrefix="1" applyNumberFormat="1" applyProtection="1"/>
    <xf numFmtId="44" fontId="0" fillId="0" borderId="10" xfId="2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6" fontId="11" fillId="0" borderId="0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0" fillId="6" borderId="0" xfId="0" applyFill="1" applyProtection="1"/>
    <xf numFmtId="44" fontId="0" fillId="0" borderId="5" xfId="0" applyNumberFormat="1" applyFill="1" applyBorder="1" applyProtection="1"/>
    <xf numFmtId="0" fontId="2" fillId="0" borderId="5" xfId="0" applyNumberFormat="1" applyFont="1" applyBorder="1" applyProtection="1"/>
    <xf numFmtId="0" fontId="11" fillId="9" borderId="0" xfId="0" applyFont="1" applyFill="1" applyBorder="1" applyAlignment="1">
      <alignment vertical="center"/>
    </xf>
    <xf numFmtId="0" fontId="8" fillId="0" borderId="0" xfId="0" applyFont="1" applyProtection="1"/>
    <xf numFmtId="0" fontId="3" fillId="0" borderId="1" xfId="0" applyFont="1" applyFill="1" applyBorder="1" applyProtection="1"/>
    <xf numFmtId="0" fontId="0" fillId="0" borderId="0" xfId="0" applyFill="1" applyProtection="1"/>
    <xf numFmtId="0" fontId="0" fillId="2" borderId="7" xfId="0" applyFill="1" applyBorder="1" applyProtection="1"/>
    <xf numFmtId="0" fontId="0" fillId="6" borderId="7" xfId="0" applyFill="1" applyBorder="1" applyProtection="1"/>
    <xf numFmtId="0" fontId="0" fillId="0" borderId="7" xfId="0" applyFill="1" applyBorder="1" applyProtection="1"/>
    <xf numFmtId="44" fontId="0" fillId="0" borderId="0" xfId="0" applyNumberFormat="1" applyBorder="1" applyProtection="1"/>
    <xf numFmtId="0" fontId="7" fillId="0" borderId="6" xfId="0" applyFont="1" applyBorder="1" applyProtection="1"/>
    <xf numFmtId="10" fontId="2" fillId="2" borderId="2" xfId="0" applyNumberFormat="1" applyFont="1" applyFill="1" applyBorder="1" applyProtection="1">
      <protection locked="0"/>
    </xf>
    <xf numFmtId="0" fontId="12" fillId="0" borderId="0" xfId="0" applyFont="1" applyBorder="1" applyAlignment="1" applyProtection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6" fontId="16" fillId="0" borderId="0" xfId="0" applyNumberFormat="1" applyFont="1" applyAlignment="1">
      <alignment horizontal="right" vertical="center"/>
    </xf>
    <xf numFmtId="6" fontId="17" fillId="0" borderId="0" xfId="0" applyNumberFormat="1" applyFont="1" applyFill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80</xdr:row>
      <xdr:rowOff>22860</xdr:rowOff>
    </xdr:from>
    <xdr:to>
      <xdr:col>2</xdr:col>
      <xdr:colOff>952500</xdr:colOff>
      <xdr:row>82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16D3B2DA-5704-4D2C-A92D-EC7278960858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79</xdr:row>
      <xdr:rowOff>152400</xdr:rowOff>
    </xdr:from>
    <xdr:to>
      <xdr:col>2</xdr:col>
      <xdr:colOff>960120</xdr:colOff>
      <xdr:row>82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C74E2319-046A-4C1F-A7BE-0CFCE49560BC}"/>
            </a:ext>
          </a:extLst>
        </xdr:cNvPr>
        <xdr:cNvSpPr/>
      </xdr:nvSpPr>
      <xdr:spPr>
        <a:xfrm>
          <a:off x="4084320" y="19751040"/>
          <a:ext cx="223266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76</xdr:row>
      <xdr:rowOff>22860</xdr:rowOff>
    </xdr:from>
    <xdr:to>
      <xdr:col>2</xdr:col>
      <xdr:colOff>952500</xdr:colOff>
      <xdr:row>78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EC96BB97-D408-4C6B-9AB6-4DEC4ADF25D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82</xdr:row>
      <xdr:rowOff>152400</xdr:rowOff>
    </xdr:from>
    <xdr:to>
      <xdr:col>2</xdr:col>
      <xdr:colOff>960120</xdr:colOff>
      <xdr:row>85</xdr:row>
      <xdr:rowOff>83820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DF730438-F440-451B-9F36-5890F1FBE4E1}"/>
            </a:ext>
          </a:extLst>
        </xdr:cNvPr>
        <xdr:cNvSpPr/>
      </xdr:nvSpPr>
      <xdr:spPr>
        <a:xfrm>
          <a:off x="4084320" y="20421600"/>
          <a:ext cx="2308860" cy="48006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79</xdr:row>
      <xdr:rowOff>22860</xdr:rowOff>
    </xdr:from>
    <xdr:to>
      <xdr:col>2</xdr:col>
      <xdr:colOff>952500</xdr:colOff>
      <xdr:row>81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371D38FA-1C0B-4C42-B5DC-725EE68B620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152400</xdr:rowOff>
    </xdr:from>
    <xdr:to>
      <xdr:col>2</xdr:col>
      <xdr:colOff>960120</xdr:colOff>
      <xdr:row>51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1ABB19D0-69AD-4CF3-9CB2-2415B1F78023}"/>
            </a:ext>
          </a:extLst>
        </xdr:cNvPr>
        <xdr:cNvSpPr/>
      </xdr:nvSpPr>
      <xdr:spPr>
        <a:xfrm>
          <a:off x="4922520" y="20406360"/>
          <a:ext cx="230124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45</xdr:row>
      <xdr:rowOff>22860</xdr:rowOff>
    </xdr:from>
    <xdr:to>
      <xdr:col>2</xdr:col>
      <xdr:colOff>952500</xdr:colOff>
      <xdr:row>47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5BA5BD7E-0B83-4D4A-9148-0ADBA255BF05}"/>
            </a:ext>
          </a:extLst>
        </xdr:cNvPr>
        <xdr:cNvSpPr/>
      </xdr:nvSpPr>
      <xdr:spPr>
        <a:xfrm>
          <a:off x="4937760" y="19728180"/>
          <a:ext cx="227838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N177"/>
  <sheetViews>
    <sheetView tabSelected="1" workbookViewId="0">
      <selection activeCell="B21" sqref="B21"/>
    </sheetView>
  </sheetViews>
  <sheetFormatPr defaultColWidth="10" defaultRowHeight="15"/>
  <cols>
    <col min="1" max="1" width="68" style="2" customWidth="1"/>
    <col min="2" max="2" width="20.7109375" style="2" customWidth="1"/>
    <col min="3" max="3" width="24.140625" style="2" customWidth="1"/>
    <col min="4" max="4" width="22.7109375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141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3" spans="1:118" ht="15.75">
      <c r="A3" s="6"/>
    </row>
    <row r="4" spans="1:118" ht="15.75">
      <c r="A4" s="1" t="s">
        <v>1</v>
      </c>
    </row>
    <row r="5" spans="1:118">
      <c r="A5" s="12" t="s">
        <v>3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98</v>
      </c>
      <c r="B6" s="17"/>
      <c r="C6" s="5"/>
      <c r="D6" s="10"/>
      <c r="J6" s="16" t="s">
        <v>112</v>
      </c>
      <c r="K6" s="2">
        <v>0</v>
      </c>
      <c r="O6" s="4"/>
    </row>
    <row r="7" spans="1:118" ht="15.75">
      <c r="A7" s="7" t="s">
        <v>5</v>
      </c>
      <c r="B7" s="17"/>
      <c r="C7" s="5" t="s">
        <v>6</v>
      </c>
      <c r="D7" s="10"/>
      <c r="F7" s="18"/>
      <c r="J7" s="16" t="s">
        <v>8</v>
      </c>
      <c r="K7" s="2">
        <v>1</v>
      </c>
      <c r="O7" s="4"/>
    </row>
    <row r="8" spans="1:118" ht="15.75">
      <c r="A8" s="7" t="s">
        <v>7</v>
      </c>
      <c r="B8" s="17"/>
      <c r="C8" s="19">
        <v>0.3</v>
      </c>
      <c r="D8" s="11" t="str">
        <f>IF(AND(B8&gt;0,B9&gt;0),"It can't be a retrial within a month AND after a month!","")</f>
        <v/>
      </c>
      <c r="J8" s="16" t="s">
        <v>106</v>
      </c>
      <c r="K8" s="2">
        <v>2</v>
      </c>
    </row>
    <row r="9" spans="1:118" ht="17.25" customHeight="1">
      <c r="A9" s="20" t="s">
        <v>9</v>
      </c>
      <c r="B9" s="21"/>
      <c r="C9" s="22">
        <v>0.2</v>
      </c>
      <c r="D9" s="23" t="s">
        <v>2</v>
      </c>
      <c r="J9" s="16"/>
    </row>
    <row r="10" spans="1:118">
      <c r="A10" s="24"/>
      <c r="E10" s="25"/>
      <c r="J10" s="16"/>
    </row>
    <row r="11" spans="1:118" ht="15.75">
      <c r="A11" s="1" t="s">
        <v>10</v>
      </c>
      <c r="J11" s="16"/>
    </row>
    <row r="12" spans="1:118" ht="15.75">
      <c r="A12" s="26" t="s">
        <v>11</v>
      </c>
      <c r="B12" s="27" t="s">
        <v>12</v>
      </c>
      <c r="C12" s="27" t="s">
        <v>13</v>
      </c>
      <c r="D12" s="43" t="s">
        <v>14</v>
      </c>
    </row>
    <row r="13" spans="1:118">
      <c r="A13" s="12" t="s">
        <v>15</v>
      </c>
      <c r="B13" s="12">
        <f>IF(B7&lt;&gt;"", 1,0)</f>
        <v>0</v>
      </c>
      <c r="C13" s="29">
        <f>(1-B8*C8-B9*C9)*IF(ISERROR(VLOOKUP($B$6,Fees!$A$2:$AM$49,$I$5*4+4,FALSE)),0,VLOOKUP($B$6,Fees!$A$2:$AM$49,$I$5*4+4,FALSE))</f>
        <v>0</v>
      </c>
      <c r="D13" s="108">
        <f>ROUND(C13*B13,2)</f>
        <v>0</v>
      </c>
      <c r="E13" s="7"/>
    </row>
    <row r="14" spans="1:118" ht="15.75">
      <c r="A14" s="7" t="s">
        <v>95</v>
      </c>
      <c r="B14" s="7">
        <f>IF(B7&lt;&gt;"", B7-1,0)</f>
        <v>0</v>
      </c>
      <c r="C14" s="31">
        <f>(1-B8*C8-B9*C9)*IF(ISERROR(VLOOKUP($B$6,Fees!$A$2:$AM$49,$I$5*4+5,FALSE)),0,VLOOKUP($B$6,Fees!$A$2:$AM$49,$I$5*4+5,FALSE))</f>
        <v>0</v>
      </c>
      <c r="D14" s="32">
        <f>ROUND(C14*B14,2)</f>
        <v>0</v>
      </c>
      <c r="E14" s="33" t="str">
        <f>IF(AND(ISNUMBER($B$14),$B$7&gt;1),IF($B$14+1&gt;$B$7,"Error, too many daily attendance fees claimed",""),"")</f>
        <v/>
      </c>
    </row>
    <row r="15" spans="1:118" ht="15.75">
      <c r="A15" s="34"/>
      <c r="B15" s="35" t="s">
        <v>16</v>
      </c>
      <c r="C15" s="36"/>
      <c r="D15" s="37">
        <f>IF(B8+B9&lt;2,SUM(D13:D14),"both retrial flag set")</f>
        <v>0</v>
      </c>
      <c r="E15" s="7"/>
      <c r="H15" s="38"/>
    </row>
    <row r="16" spans="1:118" ht="15.75">
      <c r="A16" s="5"/>
      <c r="B16" s="39"/>
      <c r="C16" s="5"/>
      <c r="D16" s="40"/>
      <c r="E16" s="5"/>
      <c r="H16" s="38"/>
    </row>
    <row r="17" spans="1:8" ht="15.75">
      <c r="A17" s="1" t="s">
        <v>96</v>
      </c>
      <c r="D17" s="8"/>
      <c r="H17" s="38"/>
    </row>
    <row r="18" spans="1:8" ht="15.75">
      <c r="A18" s="41"/>
      <c r="B18" s="42" t="s">
        <v>12</v>
      </c>
      <c r="C18" s="42" t="s">
        <v>13</v>
      </c>
      <c r="D18" s="109" t="s">
        <v>14</v>
      </c>
      <c r="E18" s="44"/>
    </row>
    <row r="19" spans="1:8" ht="15.75">
      <c r="A19" s="93" t="s">
        <v>17</v>
      </c>
      <c r="B19" s="45"/>
      <c r="C19" s="46">
        <f>IF($I$5&lt;&gt;"",VLOOKUP(A19,A_Fees!$A$1:$E$37,$I$5+3,FALSE),0)</f>
        <v>0</v>
      </c>
      <c r="D19" s="32">
        <f t="shared" ref="D19:D26" si="0">C19*B19</f>
        <v>0</v>
      </c>
      <c r="E19" s="44"/>
    </row>
    <row r="20" spans="1:8" ht="15.7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75">
      <c r="A21" s="93" t="s">
        <v>19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8" ht="15.7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7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7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75">
      <c r="A25" s="93" t="s">
        <v>143</v>
      </c>
      <c r="B25" s="45"/>
      <c r="C25" s="46">
        <f>IF($I$5&lt;&gt;"",VLOOKUP(A25,A_Fees!$A$1:$E$37,$I$5+3,FALSE),0)</f>
        <v>0</v>
      </c>
      <c r="D25" s="32">
        <f t="shared" si="0"/>
        <v>0</v>
      </c>
      <c r="E25" s="44"/>
    </row>
    <row r="26" spans="1:8" ht="15.75">
      <c r="A26" s="93" t="s">
        <v>144</v>
      </c>
      <c r="B26" s="45"/>
      <c r="C26" s="46">
        <f>IF($I$5&lt;&gt;"",VLOOKUP(A26,A_Fees!$A$1:$E$37,$I$5+3,FALSE),0)</f>
        <v>0</v>
      </c>
      <c r="D26" s="32">
        <f t="shared" si="0"/>
        <v>0</v>
      </c>
      <c r="E26" s="44"/>
    </row>
    <row r="27" spans="1:8" ht="15.75">
      <c r="A27" s="93" t="s">
        <v>21</v>
      </c>
      <c r="B27" s="45"/>
      <c r="C27" s="46">
        <f>IF($I$5&lt;&gt;"",VLOOKUP(A27,A_Fees!$A$1:$E$37,$I$5+3,FALSE),0)</f>
        <v>0</v>
      </c>
      <c r="D27" s="99">
        <f>ROUND(C27*MIN(MAX(0,B27-6),IF(AND($B$7&gt;=21,$B$7&lt;=25),2,IF(AND($B$7&gt;=26,$B$7&lt;=35),4,IF(AND($B$7&gt;=36,$B$7&lt;=40),6,0)))),2)</f>
        <v>0</v>
      </c>
      <c r="E27" s="44"/>
    </row>
    <row r="28" spans="1:8" ht="15.7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75">
      <c r="A29" s="93" t="s">
        <v>22</v>
      </c>
      <c r="B29" s="45"/>
      <c r="C29" s="46">
        <f>IF($I$5&lt;&gt;"",VLOOKUP(A29,A_Fees!$A$1:$E$37,$I$5+3,FALSE),0)</f>
        <v>0</v>
      </c>
      <c r="D29" s="32">
        <f t="shared" ref="D29:D62" si="1">C29*B29</f>
        <v>0</v>
      </c>
      <c r="E29" s="44"/>
    </row>
    <row r="30" spans="1:8" ht="15.75">
      <c r="A30" s="93" t="s">
        <v>23</v>
      </c>
      <c r="B30" s="45"/>
      <c r="C30" s="46">
        <f>ROUND(C29*0.2,2)</f>
        <v>0</v>
      </c>
      <c r="D30" s="32">
        <f t="shared" si="1"/>
        <v>0</v>
      </c>
      <c r="E30" s="44"/>
    </row>
    <row r="31" spans="1:8" ht="15.75">
      <c r="A31" s="93" t="s">
        <v>24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8" ht="15.75">
      <c r="A32" s="93" t="s">
        <v>25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75">
      <c r="A33" s="93" t="s">
        <v>26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75">
      <c r="A34" s="93" t="s">
        <v>27</v>
      </c>
      <c r="B34" s="45"/>
      <c r="C34" s="46">
        <f>ROUND(C33*0.2,2)</f>
        <v>0</v>
      </c>
      <c r="D34" s="32">
        <f t="shared" si="1"/>
        <v>0</v>
      </c>
      <c r="E34" s="44"/>
    </row>
    <row r="35" spans="1:5" ht="15.75">
      <c r="A35" s="93" t="s">
        <v>117</v>
      </c>
      <c r="B35" s="45"/>
      <c r="C35" s="46">
        <f>IF($I$5&lt;&gt;"",VLOOKUP(A35,A_Fees!$A$1:$E$37,$I$5+3,FALSE),0)</f>
        <v>0</v>
      </c>
      <c r="D35" s="32">
        <f t="shared" si="1"/>
        <v>0</v>
      </c>
      <c r="E35" s="44"/>
    </row>
    <row r="36" spans="1:5" ht="15.75">
      <c r="A36" s="93" t="s">
        <v>145</v>
      </c>
      <c r="B36" s="45"/>
      <c r="C36" s="46">
        <f>IF($I$5&lt;&gt;"",VLOOKUP(A36,A_Fees!$A$1:$E$37,$I$5+3,FALSE),0)</f>
        <v>0</v>
      </c>
      <c r="D36" s="99">
        <f t="shared" si="1"/>
        <v>0</v>
      </c>
      <c r="E36" s="44"/>
    </row>
    <row r="37" spans="1:5" ht="15.75">
      <c r="A37" s="93" t="s">
        <v>146</v>
      </c>
      <c r="B37" s="45"/>
      <c r="C37" s="46">
        <f>IF($I$5&lt;&gt;"",VLOOKUP(A37,A_Fees!$A$1:$E$37,$I$5+3,FALSE),0)</f>
        <v>0</v>
      </c>
      <c r="D37" s="99">
        <f t="shared" si="1"/>
        <v>0</v>
      </c>
      <c r="E37" s="44"/>
    </row>
    <row r="38" spans="1:5" ht="15.75">
      <c r="A38" s="93" t="s">
        <v>126</v>
      </c>
      <c r="B38" s="45"/>
      <c r="C38" s="46">
        <f>IF($I$5&lt;&gt;"",VLOOKUP(A38,A_Fees!$A$1:$E$37,$I$5+3,FALSE),0)</f>
        <v>0</v>
      </c>
      <c r="D38" s="32">
        <f t="shared" si="1"/>
        <v>0</v>
      </c>
      <c r="E38" s="44"/>
    </row>
    <row r="39" spans="1:5" ht="15.75">
      <c r="A39" s="93" t="s">
        <v>127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7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129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7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121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7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28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7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30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7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20" ht="15.75">
      <c r="A49" s="93" t="s">
        <v>32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20" ht="15.7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20" ht="15.75">
      <c r="A51" s="93" t="s">
        <v>124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20" ht="15.7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20" ht="15.75">
      <c r="A53" s="93" t="s">
        <v>34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20" ht="15.75">
      <c r="A54" s="93" t="s">
        <v>136</v>
      </c>
      <c r="B54" s="45"/>
      <c r="C54" s="46">
        <f>IF($I$5&lt;&gt;"",VLOOKUP(A54,A_Fees!$A$1:$E$37,$I$5+3,FALSE),0)</f>
        <v>0</v>
      </c>
      <c r="D54" s="32">
        <f t="shared" si="1"/>
        <v>0</v>
      </c>
      <c r="E54" s="44"/>
    </row>
    <row r="55" spans="1:20" ht="15.75">
      <c r="A55" s="93" t="s">
        <v>115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20" ht="15.75">
      <c r="A56" s="93" t="s">
        <v>147</v>
      </c>
      <c r="B56" s="45"/>
      <c r="C56" s="46">
        <f>ROUND(C55*0.2,2)</f>
        <v>0</v>
      </c>
      <c r="D56" s="32">
        <f t="shared" si="1"/>
        <v>0</v>
      </c>
    </row>
    <row r="57" spans="1:20" ht="15.75">
      <c r="A57" s="93" t="s">
        <v>37</v>
      </c>
      <c r="B57" s="45"/>
      <c r="C57" s="46">
        <f>IF($I$5&lt;&gt;"",VLOOKUP(A57,A_Fees!$A$1:$E$37,$I$5+3,FALSE),0)</f>
        <v>0</v>
      </c>
      <c r="D57" s="32">
        <f t="shared" si="1"/>
        <v>0</v>
      </c>
      <c r="E57" s="44"/>
    </row>
    <row r="58" spans="1:20" ht="15.75">
      <c r="A58" s="93" t="s">
        <v>38</v>
      </c>
      <c r="B58" s="45"/>
      <c r="C58" s="46">
        <f>IF($I$5&lt;&gt;"",VLOOKUP(A58,A_Fees!$A$1:$E$37,$I$5+3,FALSE),0)</f>
        <v>0</v>
      </c>
      <c r="D58" s="32">
        <f t="shared" si="1"/>
        <v>0</v>
      </c>
      <c r="E58" s="44"/>
    </row>
    <row r="59" spans="1:20" ht="15.7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20" s="104" customFormat="1" ht="15.75">
      <c r="A60" s="93" t="s">
        <v>36</v>
      </c>
      <c r="B60" s="45"/>
      <c r="C60" s="46">
        <f>IF($I$5&lt;&gt;"",VLOOKUP(A60,A_Fees!$A$1:$E$37,$I$5+3,FALSE),0)</f>
        <v>0</v>
      </c>
      <c r="D60" s="32">
        <f t="shared" si="1"/>
        <v>0</v>
      </c>
      <c r="E60" s="103"/>
    </row>
    <row r="61" spans="1:20" ht="15.75">
      <c r="A61" s="93" t="s">
        <v>42</v>
      </c>
      <c r="B61" s="45"/>
      <c r="C61" s="46">
        <f>IF($I$5&lt;&gt;"",VLOOKUP(A61,A_Fees!$A$1:$E$37,$I$5+3,FALSE),0)</f>
        <v>0</v>
      </c>
      <c r="D61" s="32">
        <f t="shared" si="1"/>
        <v>0</v>
      </c>
      <c r="E61" s="44"/>
      <c r="S61" s="4"/>
    </row>
    <row r="62" spans="1:20" ht="15.75">
      <c r="A62" s="93" t="s">
        <v>35</v>
      </c>
      <c r="B62" s="45"/>
      <c r="C62" s="46">
        <f>IF($I$5&lt;&gt;"",VLOOKUP(A62,A_Fees!$A$1:$E$37,$I$5+3,FALSE),0)</f>
        <v>0</v>
      </c>
      <c r="D62" s="32">
        <f t="shared" si="1"/>
        <v>0</v>
      </c>
      <c r="E62" s="44"/>
      <c r="S62" s="4"/>
    </row>
    <row r="63" spans="1:20" ht="15.75">
      <c r="A63" s="34"/>
      <c r="B63" s="35" t="s">
        <v>52</v>
      </c>
      <c r="C63" s="36"/>
      <c r="D63" s="37">
        <f>SUM(D19:D62)</f>
        <v>0</v>
      </c>
      <c r="E63" s="44"/>
      <c r="S63" s="4"/>
    </row>
    <row r="64" spans="1:20" ht="15.75">
      <c r="F64" s="90"/>
      <c r="T64" s="4"/>
    </row>
    <row r="65" spans="1:20" ht="15.75">
      <c r="A65" s="1" t="s">
        <v>53</v>
      </c>
      <c r="B65" s="1"/>
      <c r="F65" s="90"/>
      <c r="T65" s="4"/>
    </row>
    <row r="66" spans="1:20" ht="15.75">
      <c r="A66" s="34"/>
      <c r="B66" s="42"/>
      <c r="C66" s="42"/>
      <c r="D66" s="43" t="s">
        <v>14</v>
      </c>
      <c r="E66" s="44"/>
      <c r="S66" s="4"/>
    </row>
    <row r="67" spans="1:20" ht="15.75">
      <c r="A67" s="48" t="s">
        <v>54</v>
      </c>
      <c r="B67" s="49"/>
      <c r="C67" s="49"/>
      <c r="D67" s="50"/>
      <c r="E67" s="44"/>
      <c r="S67" s="4"/>
    </row>
    <row r="68" spans="1:20" ht="15.75">
      <c r="A68" s="36"/>
      <c r="B68" s="35" t="s">
        <v>55</v>
      </c>
      <c r="C68" s="36"/>
      <c r="D68" s="37">
        <f>D67</f>
        <v>0</v>
      </c>
      <c r="E68" s="44"/>
      <c r="S68" s="4"/>
    </row>
    <row r="69" spans="1:20" ht="15.75">
      <c r="E69" s="90"/>
      <c r="S69" s="4"/>
    </row>
    <row r="70" spans="1:20" ht="15.75">
      <c r="A70" s="102" t="s">
        <v>56</v>
      </c>
      <c r="E70" s="90"/>
      <c r="S70" s="4"/>
    </row>
    <row r="71" spans="1:20" ht="15.75">
      <c r="A71" s="14"/>
      <c r="B71" s="14"/>
      <c r="C71" s="51" t="s">
        <v>57</v>
      </c>
      <c r="D71" s="52">
        <f>D15</f>
        <v>0</v>
      </c>
      <c r="E71" s="44"/>
      <c r="S71" s="4"/>
    </row>
    <row r="72" spans="1:20" ht="15.75">
      <c r="A72" s="5"/>
      <c r="B72" s="5"/>
      <c r="C72" s="39" t="s">
        <v>58</v>
      </c>
      <c r="D72" s="53">
        <f>D63</f>
        <v>0</v>
      </c>
      <c r="E72" s="44"/>
      <c r="S72" s="4"/>
    </row>
    <row r="73" spans="1:20" ht="15.75">
      <c r="A73" s="5"/>
      <c r="B73" s="5"/>
      <c r="C73" s="39" t="s">
        <v>59</v>
      </c>
      <c r="D73" s="53">
        <f>D68</f>
        <v>0</v>
      </c>
      <c r="E73" s="44"/>
      <c r="S73" s="4"/>
    </row>
    <row r="74" spans="1:20" ht="15.75">
      <c r="A74" s="5"/>
      <c r="B74" s="5"/>
      <c r="C74" s="39" t="s">
        <v>60</v>
      </c>
      <c r="D74" s="53">
        <f>SUM(D71:D73)</f>
        <v>0</v>
      </c>
      <c r="E74" s="44"/>
      <c r="S74" s="4"/>
    </row>
    <row r="75" spans="1:20" ht="15.75">
      <c r="A75" s="55" t="s">
        <v>61</v>
      </c>
      <c r="B75" s="55" t="s">
        <v>13</v>
      </c>
      <c r="C75" s="110">
        <v>0.2</v>
      </c>
      <c r="D75" s="56">
        <f>ROUND(D74*C75,2)</f>
        <v>0</v>
      </c>
      <c r="R75" s="4"/>
    </row>
    <row r="76" spans="1:20" ht="15.75">
      <c r="A76" s="8"/>
      <c r="B76" s="8"/>
      <c r="C76" s="55" t="s">
        <v>62</v>
      </c>
      <c r="D76" s="56">
        <f>D75+D74</f>
        <v>0</v>
      </c>
      <c r="R76" s="4"/>
    </row>
    <row r="77" spans="1:20">
      <c r="S77" s="4"/>
    </row>
    <row r="78" spans="1:20">
      <c r="S78" s="4"/>
    </row>
    <row r="79" spans="1:20">
      <c r="S79" s="4"/>
    </row>
    <row r="80" spans="1:20">
      <c r="S80" s="4"/>
    </row>
    <row r="81" spans="5:19">
      <c r="S81" s="4"/>
    </row>
    <row r="84" spans="5:19">
      <c r="E84" s="2" t="s">
        <v>2</v>
      </c>
    </row>
    <row r="104" spans="10:10" ht="18.75" customHeight="1">
      <c r="J104" s="57"/>
    </row>
    <row r="105" spans="10:10" ht="18.75" customHeight="1">
      <c r="J105" s="57"/>
    </row>
    <row r="106" spans="10:10" ht="18.75" customHeight="1">
      <c r="J106" s="57"/>
    </row>
    <row r="107" spans="10:10" ht="18.75" customHeight="1">
      <c r="J107" s="57"/>
    </row>
    <row r="108" spans="10:10" ht="18.75" customHeight="1">
      <c r="J108" s="57"/>
    </row>
    <row r="109" spans="10:10" ht="18.75" customHeight="1">
      <c r="J109" s="57"/>
    </row>
    <row r="124" spans="8:8">
      <c r="H124" s="38"/>
    </row>
    <row r="129" spans="8:8">
      <c r="H129" s="38"/>
    </row>
    <row r="130" spans="8:8">
      <c r="H130" s="38"/>
    </row>
    <row r="133" spans="8:8" ht="19.5" customHeight="1"/>
    <row r="175" spans="19:19">
      <c r="S175" s="38"/>
    </row>
    <row r="176" spans="19:19">
      <c r="S176" s="38"/>
    </row>
    <row r="177" spans="19:19">
      <c r="S177" s="38"/>
    </row>
  </sheetData>
  <sheetProtection password="E9DC" sheet="1" objects="1" scenarios="1"/>
  <sortState ref="A19:C62">
    <sortCondition ref="A19:A62"/>
  </sortState>
  <dataValidations count="1">
    <dataValidation type="list" allowBlank="1" showInputMessage="1" showErrorMessage="1" sqref="B5">
      <formula1>$J$6:$J$8</formula1>
    </dataValidation>
  </dataValidations>
  <pageMargins left="0.75" right="0.75" top="0.5" bottom="0.5" header="0.5" footer="0.5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N177"/>
  <sheetViews>
    <sheetView workbookViewId="0">
      <selection activeCell="A19" sqref="A19 I5"/>
    </sheetView>
  </sheetViews>
  <sheetFormatPr defaultColWidth="10" defaultRowHeight="15"/>
  <cols>
    <col min="1" max="1" width="69.5703125" style="2" customWidth="1"/>
    <col min="2" max="2" width="21.7109375" style="2" customWidth="1"/>
    <col min="3" max="3" width="24.140625" style="2" customWidth="1"/>
    <col min="4" max="4" width="20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139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3" spans="1:118" ht="15.75">
      <c r="A3" s="6"/>
    </row>
    <row r="4" spans="1:118" ht="15.75">
      <c r="A4" s="1" t="s">
        <v>110</v>
      </c>
      <c r="B4" s="8"/>
    </row>
    <row r="5" spans="1:118">
      <c r="A5" s="12" t="s">
        <v>111</v>
      </c>
      <c r="B5" s="13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108</v>
      </c>
      <c r="B6" s="17"/>
      <c r="C6" s="5"/>
      <c r="D6" s="10"/>
      <c r="E6" s="25"/>
      <c r="J6" s="16" t="s">
        <v>112</v>
      </c>
      <c r="K6" s="2">
        <v>0</v>
      </c>
      <c r="O6" s="4"/>
    </row>
    <row r="7" spans="1:118">
      <c r="A7" s="8" t="s">
        <v>113</v>
      </c>
      <c r="B7" s="21"/>
      <c r="C7" s="8"/>
      <c r="D7" s="87"/>
      <c r="J7" s="16" t="s">
        <v>8</v>
      </c>
      <c r="K7" s="2">
        <v>1</v>
      </c>
      <c r="O7" s="4"/>
    </row>
    <row r="8" spans="1:118">
      <c r="A8" s="5"/>
      <c r="C8" s="5"/>
      <c r="D8" s="5"/>
      <c r="J8" s="16" t="s">
        <v>106</v>
      </c>
      <c r="K8" s="2">
        <v>2</v>
      </c>
    </row>
    <row r="9" spans="1:118" ht="17.25" customHeight="1">
      <c r="A9" s="24"/>
      <c r="J9" s="16"/>
    </row>
    <row r="10" spans="1:118" ht="15.75">
      <c r="A10" s="1" t="s">
        <v>10</v>
      </c>
      <c r="E10" s="33"/>
      <c r="J10" s="16"/>
    </row>
    <row r="11" spans="1:118" ht="15.75">
      <c r="A11" s="26" t="s">
        <v>11</v>
      </c>
      <c r="B11" s="27" t="s">
        <v>12</v>
      </c>
      <c r="C11" s="27" t="s">
        <v>13</v>
      </c>
      <c r="D11" s="28" t="s">
        <v>14</v>
      </c>
      <c r="J11" s="16"/>
    </row>
    <row r="12" spans="1:118">
      <c r="A12" s="12" t="s">
        <v>15</v>
      </c>
      <c r="B12" s="106">
        <f>IF(B6&gt;0,1,0)</f>
        <v>0</v>
      </c>
      <c r="C12" s="29">
        <f>IF(ISERROR(VLOOKUP($B$6,Fees!$A$2:$AM$49,$I$5*4+2,FALSE)),0,VLOOKUP($B$6,Fees!$A$2:$AM$49,$I$5*4+2,FALSE))</f>
        <v>0</v>
      </c>
      <c r="D12" s="30">
        <f>B12*C12</f>
        <v>0</v>
      </c>
      <c r="E12" s="91"/>
    </row>
    <row r="13" spans="1:118" ht="15.75">
      <c r="A13" s="34"/>
      <c r="B13" s="35" t="s">
        <v>16</v>
      </c>
      <c r="C13" s="36"/>
      <c r="D13" s="37">
        <f>D12</f>
        <v>0</v>
      </c>
      <c r="E13" s="7"/>
      <c r="H13" s="38"/>
    </row>
    <row r="14" spans="1:118" ht="15.75">
      <c r="A14" s="5"/>
      <c r="B14" s="39"/>
      <c r="C14" s="5"/>
      <c r="D14" s="40"/>
      <c r="E14" s="89"/>
      <c r="F14" s="88"/>
      <c r="H14" s="38"/>
    </row>
    <row r="15" spans="1:118" ht="15.75">
      <c r="A15" s="1" t="s">
        <v>96</v>
      </c>
      <c r="E15" s="7"/>
      <c r="H15" s="38"/>
    </row>
    <row r="16" spans="1:118" ht="15.75">
      <c r="A16" s="41"/>
      <c r="B16" s="42" t="s">
        <v>12</v>
      </c>
      <c r="C16" s="42" t="s">
        <v>13</v>
      </c>
      <c r="D16" s="43" t="s">
        <v>14</v>
      </c>
      <c r="E16" s="44"/>
    </row>
    <row r="17" spans="1:5" ht="15.75">
      <c r="A17" s="93" t="s">
        <v>17</v>
      </c>
      <c r="B17" s="45"/>
      <c r="C17" s="46">
        <f>IF($I$5&lt;&gt;"",VLOOKUP(A17,A_Fees!$A$1:$E$37,$I$5+3,FALSE),0)</f>
        <v>0</v>
      </c>
      <c r="D17" s="32">
        <f t="shared" ref="D17:D24" si="0">C17*B17</f>
        <v>0</v>
      </c>
      <c r="E17" s="44"/>
    </row>
    <row r="18" spans="1:5" ht="15.75">
      <c r="A18" s="93" t="s">
        <v>18</v>
      </c>
      <c r="B18" s="45"/>
      <c r="C18" s="46">
        <f>ROUND(C17*0.2,2)</f>
        <v>0</v>
      </c>
      <c r="D18" s="32">
        <f t="shared" si="0"/>
        <v>0</v>
      </c>
      <c r="E18" s="44"/>
    </row>
    <row r="19" spans="1:5" ht="15.75">
      <c r="A19" s="93" t="s">
        <v>19</v>
      </c>
      <c r="B19" s="45"/>
      <c r="C19" s="46">
        <f>IF($I$5&lt;&gt;"",VLOOKUP(A19,A_Fees!$A$1:$E$37,$I$5+3,FALSE),0)</f>
        <v>0</v>
      </c>
      <c r="D19" s="32">
        <f t="shared" si="0"/>
        <v>0</v>
      </c>
      <c r="E19" s="44"/>
    </row>
    <row r="20" spans="1:5" ht="15.75">
      <c r="A20" s="93" t="s">
        <v>20</v>
      </c>
      <c r="B20" s="45"/>
      <c r="C20" s="46">
        <f>ROUND(C19*0.2,2)</f>
        <v>0</v>
      </c>
      <c r="D20" s="32">
        <f t="shared" si="0"/>
        <v>0</v>
      </c>
      <c r="E20" s="44"/>
    </row>
    <row r="21" spans="1:5" ht="15.75">
      <c r="A21" s="93" t="s">
        <v>41</v>
      </c>
      <c r="B21" s="45"/>
      <c r="C21" s="46">
        <f>0.2*$C$12</f>
        <v>0</v>
      </c>
      <c r="D21" s="99">
        <f t="shared" si="0"/>
        <v>0</v>
      </c>
      <c r="E21" s="44"/>
    </row>
    <row r="22" spans="1:5" ht="15.75">
      <c r="A22" s="93" t="s">
        <v>40</v>
      </c>
      <c r="B22" s="45"/>
      <c r="C22" s="46">
        <f>0.2*$C$12</f>
        <v>0</v>
      </c>
      <c r="D22" s="99">
        <f t="shared" si="0"/>
        <v>0</v>
      </c>
      <c r="E22" s="44"/>
    </row>
    <row r="23" spans="1:5" ht="15.75">
      <c r="A23" s="93" t="s">
        <v>143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75">
      <c r="A24" s="93" t="s">
        <v>144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75">
      <c r="A25" s="93" t="s">
        <v>21</v>
      </c>
      <c r="B25" s="45"/>
      <c r="C25" s="46">
        <f>IF($I$5&lt;&gt;"",VLOOKUP(A25,A_Fees!$A$1:$E$37,$I$5+3,FALSE),0)</f>
        <v>0</v>
      </c>
      <c r="D25" s="99">
        <f>ROUND(C25*MIN(MAX(B25-6,0),IF(AND($B$7&gt;=21,$B$7&lt;=25),2,IF(AND($B$7&gt;=26,$B$7&lt;=35),4,IF(AND($B$7&gt;=36,$B$7&lt;=40),6,0)))),2)</f>
        <v>0</v>
      </c>
      <c r="E25" s="44"/>
    </row>
    <row r="26" spans="1:5" ht="15.75">
      <c r="A26" s="93" t="s">
        <v>119</v>
      </c>
      <c r="B26" s="45"/>
      <c r="C26" s="46">
        <f>ROUND(C25*0.2,2)</f>
        <v>0</v>
      </c>
      <c r="D26" s="46">
        <f>ROUND(D25*0.2,2)</f>
        <v>0</v>
      </c>
      <c r="E26" s="44"/>
    </row>
    <row r="27" spans="1:5" ht="15.75">
      <c r="A27" s="93" t="s">
        <v>22</v>
      </c>
      <c r="B27" s="45"/>
      <c r="C27" s="46">
        <f>IF($I$5&lt;&gt;"",VLOOKUP(A27,A_Fees!$A$1:$E$37,$I$5+3,FALSE),0)</f>
        <v>0</v>
      </c>
      <c r="D27" s="99">
        <f t="shared" ref="D27:D60" si="1">C27*B27</f>
        <v>0</v>
      </c>
      <c r="E27" s="44"/>
    </row>
    <row r="28" spans="1:5" ht="15.75">
      <c r="A28" s="93" t="s">
        <v>23</v>
      </c>
      <c r="B28" s="45"/>
      <c r="C28" s="46">
        <f>ROUND(C27*0.2,2)</f>
        <v>0</v>
      </c>
      <c r="D28" s="99">
        <f t="shared" si="1"/>
        <v>0</v>
      </c>
      <c r="E28" s="44"/>
    </row>
    <row r="29" spans="1:5" ht="15.75">
      <c r="A29" s="93" t="s">
        <v>24</v>
      </c>
      <c r="B29" s="45"/>
      <c r="C29" s="46">
        <f>IF($I$5&lt;&gt;"",VLOOKUP(A29,A_Fees!$A$1:$E$37,$I$5+3,FALSE),0)</f>
        <v>0</v>
      </c>
      <c r="D29" s="99">
        <f t="shared" si="1"/>
        <v>0</v>
      </c>
      <c r="E29" s="44"/>
    </row>
    <row r="30" spans="1:5" ht="15.75">
      <c r="A30" s="93" t="s">
        <v>25</v>
      </c>
      <c r="B30" s="45"/>
      <c r="C30" s="46">
        <f>ROUND(C29*0.2,2)</f>
        <v>0</v>
      </c>
      <c r="D30" s="99">
        <f t="shared" si="1"/>
        <v>0</v>
      </c>
      <c r="E30" s="44"/>
    </row>
    <row r="31" spans="1:5" ht="15.75">
      <c r="A31" s="93" t="s">
        <v>26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5" ht="15.75">
      <c r="A32" s="93" t="s">
        <v>27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75">
      <c r="A33" s="93" t="s">
        <v>117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75">
      <c r="A34" s="93" t="s">
        <v>145</v>
      </c>
      <c r="B34" s="45"/>
      <c r="C34" s="46">
        <f>IF($I$5&lt;&gt;"",VLOOKUP(A34,A_Fees!$A$1:$E$37,$I$5+3,FALSE),0)</f>
        <v>0</v>
      </c>
      <c r="D34" s="99">
        <f t="shared" si="1"/>
        <v>0</v>
      </c>
      <c r="E34" s="44"/>
    </row>
    <row r="35" spans="1:5" ht="15.75">
      <c r="A35" s="93" t="s">
        <v>146</v>
      </c>
      <c r="B35" s="45"/>
      <c r="C35" s="46">
        <f>IF($I$5&lt;&gt;"",VLOOKUP(A35,A_Fees!$A$1:$E$37,$I$5+3,FALSE),0)</f>
        <v>0</v>
      </c>
      <c r="D35" s="99">
        <f t="shared" si="1"/>
        <v>0</v>
      </c>
      <c r="E35" s="44"/>
    </row>
    <row r="36" spans="1:5" ht="15.75">
      <c r="A36" s="93" t="s">
        <v>126</v>
      </c>
      <c r="B36" s="45"/>
      <c r="C36" s="46">
        <f>IF($I$5&lt;&gt;"",VLOOKUP(A36,A_Fees!$A$1:$E$37,$I$5+3,FALSE),0)</f>
        <v>0</v>
      </c>
      <c r="D36" s="32">
        <f t="shared" si="1"/>
        <v>0</v>
      </c>
      <c r="E36" s="44"/>
    </row>
    <row r="37" spans="1:5" ht="15.75">
      <c r="A37" s="93" t="s">
        <v>127</v>
      </c>
      <c r="B37" s="45"/>
      <c r="C37" s="46">
        <f>IF($I$5&lt;&gt;"",VLOOKUP(A37,A_Fees!$A$1:$E$37,$I$5+3,FALSE),0)</f>
        <v>0</v>
      </c>
      <c r="D37" s="32">
        <f t="shared" si="1"/>
        <v>0</v>
      </c>
      <c r="E37" s="44"/>
    </row>
    <row r="38" spans="1:5" ht="15.75">
      <c r="A38" s="93" t="s">
        <v>128</v>
      </c>
      <c r="B38" s="45"/>
      <c r="C38" s="46">
        <f>ROUND(C37*0.2,2)</f>
        <v>0</v>
      </c>
      <c r="D38" s="32">
        <f t="shared" si="1"/>
        <v>0</v>
      </c>
      <c r="E38" s="44"/>
    </row>
    <row r="39" spans="1:5" ht="15.75">
      <c r="A39" s="93" t="s">
        <v>129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75">
      <c r="A40" s="93" t="s">
        <v>130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121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75">
      <c r="A42" s="93" t="s">
        <v>122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28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75">
      <c r="A44" s="93" t="s">
        <v>29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30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75">
      <c r="A46" s="93" t="s">
        <v>31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32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75">
      <c r="A48" s="93" t="s">
        <v>33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75">
      <c r="A49" s="93" t="s">
        <v>124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19" ht="15.75">
      <c r="A50" s="93" t="s">
        <v>125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75">
      <c r="A51" s="93" t="s">
        <v>34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19" ht="15.75">
      <c r="A52" s="93" t="s">
        <v>136</v>
      </c>
      <c r="B52" s="45"/>
      <c r="C52" s="46">
        <f>IF($I$5&lt;&gt;"",VLOOKUP(A52,A_Fees!$A$1:$E$37,$I$5+3,FALSE),0)</f>
        <v>0</v>
      </c>
      <c r="D52" s="32">
        <f t="shared" si="1"/>
        <v>0</v>
      </c>
      <c r="E52" s="44"/>
    </row>
    <row r="53" spans="1:19" ht="15.75">
      <c r="A53" s="93" t="s">
        <v>115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19" ht="15.75">
      <c r="A54" s="93" t="s">
        <v>116</v>
      </c>
      <c r="B54" s="45"/>
      <c r="C54" s="46">
        <f>ROUND(C53*0.2,2)</f>
        <v>0</v>
      </c>
      <c r="D54" s="32">
        <f t="shared" si="1"/>
        <v>0</v>
      </c>
      <c r="E54" s="44"/>
    </row>
    <row r="55" spans="1:19" ht="15.75">
      <c r="A55" s="93" t="s">
        <v>37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19" ht="15.75">
      <c r="A56" s="93" t="s">
        <v>38</v>
      </c>
      <c r="B56" s="45"/>
      <c r="C56" s="46">
        <f>IF($I$5&lt;&gt;"",VLOOKUP(A56,A_Fees!$A$1:$E$37,$I$5+3,FALSE),0)</f>
        <v>0</v>
      </c>
      <c r="D56" s="32">
        <f t="shared" si="1"/>
        <v>0</v>
      </c>
      <c r="E56" s="44"/>
    </row>
    <row r="57" spans="1:19" ht="15.75">
      <c r="A57" s="93" t="s">
        <v>39</v>
      </c>
      <c r="B57" s="45"/>
      <c r="C57" s="46">
        <f>ROUND(C56*0.2,2)</f>
        <v>0</v>
      </c>
      <c r="D57" s="32">
        <f t="shared" si="1"/>
        <v>0</v>
      </c>
      <c r="E57" s="44"/>
    </row>
    <row r="58" spans="1:19" ht="15.75">
      <c r="A58" s="93" t="s">
        <v>36</v>
      </c>
      <c r="B58" s="45"/>
      <c r="C58" s="46">
        <f>IF($I$5&lt;&gt;"",VLOOKUP(A58,A_Fees!$A$1:$E$37,$I$5+3,FALSE),0)</f>
        <v>0</v>
      </c>
      <c r="D58" s="99">
        <f t="shared" si="1"/>
        <v>0</v>
      </c>
      <c r="E58" s="44"/>
    </row>
    <row r="59" spans="1:19" ht="15.75">
      <c r="A59" s="93" t="s">
        <v>42</v>
      </c>
      <c r="B59" s="45"/>
      <c r="C59" s="46">
        <f>IF($I$5&lt;&gt;"",VLOOKUP(A59,A_Fees!$A$1:$E$37,$I$5+3,FALSE),0)</f>
        <v>0</v>
      </c>
      <c r="D59" s="32">
        <f t="shared" si="1"/>
        <v>0</v>
      </c>
      <c r="E59" s="44"/>
      <c r="S59" s="4"/>
    </row>
    <row r="60" spans="1:19" ht="15.75">
      <c r="A60" s="93" t="s">
        <v>35</v>
      </c>
      <c r="B60" s="45"/>
      <c r="C60" s="46">
        <f>IF($I$5&lt;&gt;"",VLOOKUP(A60,A_Fees!$A$1:$E$37,$I$5+3,FALSE),0)</f>
        <v>0</v>
      </c>
      <c r="D60" s="99">
        <f t="shared" si="1"/>
        <v>0</v>
      </c>
      <c r="E60" s="44"/>
      <c r="S60" s="4"/>
    </row>
    <row r="61" spans="1:19" s="6" customFormat="1" ht="15.75">
      <c r="A61" s="34"/>
      <c r="B61" s="35" t="s">
        <v>52</v>
      </c>
      <c r="C61" s="36"/>
      <c r="D61" s="37">
        <f>SUM(D17:D60)</f>
        <v>0</v>
      </c>
      <c r="E61" s="44"/>
      <c r="F61" s="2"/>
      <c r="S61" s="47"/>
    </row>
    <row r="62" spans="1:19" s="6" customFormat="1" ht="15.75">
      <c r="A62" s="2"/>
      <c r="B62" s="2"/>
      <c r="C62" s="2"/>
      <c r="D62" s="2"/>
      <c r="E62" s="44"/>
      <c r="F62" s="2"/>
      <c r="S62" s="47"/>
    </row>
    <row r="63" spans="1:19" ht="15.75">
      <c r="A63" s="1" t="s">
        <v>53</v>
      </c>
      <c r="E63" s="44"/>
      <c r="S63" s="4"/>
    </row>
    <row r="64" spans="1:19" ht="15.75">
      <c r="A64" s="34"/>
      <c r="B64" s="42"/>
      <c r="C64" s="42"/>
      <c r="D64" s="43"/>
      <c r="E64" s="44"/>
      <c r="S64" s="4"/>
    </row>
    <row r="65" spans="1:20" ht="15.75">
      <c r="A65" s="48" t="s">
        <v>54</v>
      </c>
      <c r="B65" s="49"/>
      <c r="C65" s="49"/>
      <c r="D65" s="50"/>
      <c r="E65" s="44"/>
      <c r="S65" s="4"/>
    </row>
    <row r="66" spans="1:20" ht="15.75">
      <c r="A66" s="36"/>
      <c r="B66" s="35" t="s">
        <v>55</v>
      </c>
      <c r="C66" s="36"/>
      <c r="D66" s="37">
        <f>D65</f>
        <v>0</v>
      </c>
      <c r="E66" s="44"/>
      <c r="S66" s="4"/>
    </row>
    <row r="67" spans="1:20" ht="15.75">
      <c r="E67" s="90"/>
      <c r="S67" s="4"/>
    </row>
    <row r="68" spans="1:20" ht="15.75">
      <c r="A68" s="102" t="s">
        <v>56</v>
      </c>
      <c r="E68" s="90"/>
      <c r="S68" s="4"/>
    </row>
    <row r="69" spans="1:20" ht="15.75">
      <c r="A69" s="14"/>
      <c r="B69" s="14"/>
      <c r="C69" s="51" t="s">
        <v>57</v>
      </c>
      <c r="D69" s="52">
        <f>D13</f>
        <v>0</v>
      </c>
      <c r="E69" s="90"/>
      <c r="S69" s="4"/>
    </row>
    <row r="70" spans="1:20" ht="15.75">
      <c r="A70" s="5"/>
      <c r="B70" s="5"/>
      <c r="C70" s="39" t="s">
        <v>58</v>
      </c>
      <c r="D70" s="53">
        <f>D61</f>
        <v>0</v>
      </c>
      <c r="E70" s="90"/>
      <c r="S70" s="4"/>
    </row>
    <row r="71" spans="1:20" ht="15.75">
      <c r="A71" s="5"/>
      <c r="B71" s="5"/>
      <c r="C71" s="39" t="s">
        <v>59</v>
      </c>
      <c r="D71" s="53">
        <f>D66</f>
        <v>0</v>
      </c>
      <c r="E71" s="90"/>
      <c r="S71" s="4"/>
    </row>
    <row r="72" spans="1:20" ht="15.75">
      <c r="A72" s="5"/>
      <c r="B72" s="5"/>
      <c r="C72" s="39" t="s">
        <v>60</v>
      </c>
      <c r="D72" s="53">
        <f>SUM(D69:D71)</f>
        <v>0</v>
      </c>
      <c r="E72" s="90"/>
      <c r="S72" s="4"/>
    </row>
    <row r="73" spans="1:20" ht="15.75">
      <c r="A73" s="39" t="s">
        <v>61</v>
      </c>
      <c r="B73" s="39" t="s">
        <v>13</v>
      </c>
      <c r="C73" s="54">
        <v>0.2</v>
      </c>
      <c r="D73" s="100">
        <f>D72*C73</f>
        <v>0</v>
      </c>
      <c r="S73" s="4"/>
    </row>
    <row r="74" spans="1:20" ht="15.75">
      <c r="A74" s="8"/>
      <c r="B74" s="8"/>
      <c r="C74" s="55" t="s">
        <v>62</v>
      </c>
      <c r="D74" s="56">
        <f>SUM(D72:D73)</f>
        <v>0</v>
      </c>
      <c r="S74" s="4"/>
    </row>
    <row r="75" spans="1:20">
      <c r="T75" s="4"/>
    </row>
    <row r="76" spans="1:20">
      <c r="T76" s="4"/>
    </row>
    <row r="77" spans="1:20">
      <c r="S77" s="4"/>
    </row>
    <row r="78" spans="1:20">
      <c r="S78" s="4"/>
    </row>
    <row r="79" spans="1:20" ht="18" customHeight="1">
      <c r="S79" s="4"/>
    </row>
    <row r="80" spans="1:20" ht="18" customHeight="1">
      <c r="E80" s="2" t="s">
        <v>2</v>
      </c>
      <c r="S80" s="4"/>
    </row>
    <row r="81" spans="19:19" ht="18" customHeight="1">
      <c r="S81" s="4"/>
    </row>
    <row r="82" spans="19:19" ht="18" customHeight="1"/>
    <row r="83" spans="19:19" ht="18" customHeight="1"/>
    <row r="84" spans="19:19" ht="18" customHeight="1"/>
    <row r="85" spans="19:19" ht="18" customHeight="1"/>
    <row r="86" spans="19:19" ht="18" customHeight="1"/>
    <row r="87" spans="19:19" ht="18" customHeight="1"/>
    <row r="88" spans="19:19" ht="18" customHeight="1"/>
    <row r="89" spans="19:19" ht="18" customHeight="1"/>
    <row r="90" spans="19:19" ht="18" customHeight="1"/>
    <row r="91" spans="19:19" ht="18" customHeight="1"/>
    <row r="92" spans="19:19" ht="18" customHeight="1"/>
    <row r="93" spans="19:19" ht="18" customHeight="1"/>
    <row r="94" spans="19:19" ht="18" customHeight="1"/>
    <row r="95" spans="19:19" ht="18" customHeight="1"/>
    <row r="96" spans="19:19" ht="18" customHeight="1"/>
    <row r="97" spans="10:10" ht="18" customHeight="1"/>
    <row r="98" spans="10:10" ht="18" customHeight="1"/>
    <row r="99" spans="10:10" ht="18" customHeight="1"/>
    <row r="100" spans="10:10" ht="18" customHeight="1"/>
    <row r="101" spans="10:10" ht="18" customHeight="1"/>
    <row r="102" spans="10:10" ht="18" customHeight="1"/>
    <row r="103" spans="10:10" ht="18" customHeight="1"/>
    <row r="104" spans="10:10" ht="18" customHeight="1">
      <c r="J104" s="57"/>
    </row>
    <row r="105" spans="10:10" ht="18" customHeight="1">
      <c r="J105" s="57"/>
    </row>
    <row r="106" spans="10:10" ht="18" customHeight="1">
      <c r="J106" s="57"/>
    </row>
    <row r="107" spans="10:10" ht="18" customHeight="1">
      <c r="J107" s="57"/>
    </row>
    <row r="108" spans="10:10" ht="18" customHeight="1">
      <c r="J108" s="57"/>
    </row>
    <row r="109" spans="10:10" ht="18" customHeight="1">
      <c r="J109" s="57"/>
    </row>
    <row r="110" spans="10:10" ht="18" customHeight="1"/>
    <row r="111" spans="10:10" ht="18" customHeight="1"/>
    <row r="112" spans="10:10" ht="18" customHeight="1"/>
    <row r="113" spans="8:8" ht="18" customHeight="1"/>
    <row r="114" spans="8:8" ht="18" customHeight="1"/>
    <row r="115" spans="8:8" ht="18" customHeight="1"/>
    <row r="116" spans="8:8" ht="18" customHeight="1"/>
    <row r="117" spans="8:8" ht="18" customHeight="1"/>
    <row r="118" spans="8:8" ht="18" customHeight="1"/>
    <row r="119" spans="8:8" ht="18" customHeight="1"/>
    <row r="120" spans="8:8" ht="18" customHeight="1"/>
    <row r="121" spans="8:8" ht="18" customHeight="1"/>
    <row r="122" spans="8:8" ht="18" customHeight="1"/>
    <row r="123" spans="8:8" ht="18" customHeight="1"/>
    <row r="124" spans="8:8" ht="18" customHeight="1">
      <c r="H124" s="38"/>
    </row>
    <row r="129" spans="8:8">
      <c r="H129" s="38"/>
    </row>
    <row r="130" spans="8:8">
      <c r="H130" s="38"/>
    </row>
    <row r="133" spans="8:8" ht="19.5" customHeight="1"/>
    <row r="175" spans="19:19">
      <c r="S175" s="38"/>
    </row>
    <row r="176" spans="19:19">
      <c r="S176" s="38"/>
    </row>
    <row r="177" spans="19:19">
      <c r="S177" s="38"/>
    </row>
  </sheetData>
  <sheetProtection password="E9DC" sheet="1" objects="1" scenarios="1"/>
  <sortState ref="A17:D60">
    <sortCondition ref="A17:A60"/>
  </sortState>
  <dataValidations count="1">
    <dataValidation type="list" allowBlank="1" showInputMessage="1" showErrorMessage="1" sqref="B5">
      <formula1>$J$6:$J$8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N187"/>
  <sheetViews>
    <sheetView workbookViewId="0">
      <selection activeCell="B1" sqref="B1"/>
    </sheetView>
  </sheetViews>
  <sheetFormatPr defaultColWidth="10" defaultRowHeight="15"/>
  <cols>
    <col min="1" max="1" width="65.7109375" style="2" customWidth="1"/>
    <col min="2" max="2" width="21.85546875" style="2" customWidth="1"/>
    <col min="3" max="3" width="24.140625" style="2" customWidth="1"/>
    <col min="4" max="4" width="20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140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4" spans="1:118" ht="15.75">
      <c r="A4" s="1" t="s">
        <v>1</v>
      </c>
      <c r="B4" s="8"/>
    </row>
    <row r="5" spans="1:118">
      <c r="A5" s="12" t="s">
        <v>107</v>
      </c>
      <c r="B5" s="13"/>
      <c r="C5" s="14"/>
      <c r="D5" s="9"/>
    </row>
    <row r="6" spans="1:118">
      <c r="A6" s="7" t="s">
        <v>108</v>
      </c>
      <c r="B6" s="17"/>
      <c r="C6" s="5"/>
      <c r="D6" s="10"/>
      <c r="E6" s="25"/>
      <c r="I6" s="105" t="str">
        <f>IF(ISERROR(VLOOKUP(B5,J7:K9,2,FALSE)),"",VLOOKUP(B5,J7:K9,2,FALSE))</f>
        <v/>
      </c>
      <c r="J6" s="16"/>
      <c r="K6" s="16" t="s">
        <v>4</v>
      </c>
      <c r="M6" s="5"/>
    </row>
    <row r="7" spans="1:118">
      <c r="A7" s="5" t="s">
        <v>113</v>
      </c>
      <c r="B7" s="17"/>
      <c r="C7" s="5" t="s">
        <v>109</v>
      </c>
      <c r="D7" s="10"/>
      <c r="J7" s="16" t="s">
        <v>112</v>
      </c>
      <c r="K7" s="2">
        <v>0</v>
      </c>
      <c r="O7" s="4"/>
    </row>
    <row r="8" spans="1:118" ht="15.75">
      <c r="A8" s="7" t="s">
        <v>7</v>
      </c>
      <c r="B8" s="17"/>
      <c r="C8" s="19">
        <v>0.4</v>
      </c>
      <c r="D8" s="11" t="str">
        <f>IF(AND(B9&gt;0,B8&gt;0),"It can't be a retrial within a month AND after a month!","")</f>
        <v/>
      </c>
      <c r="J8" s="16" t="s">
        <v>8</v>
      </c>
      <c r="K8" s="2">
        <v>1</v>
      </c>
      <c r="O8" s="4"/>
    </row>
    <row r="9" spans="1:118" ht="15.75">
      <c r="A9" s="20" t="s">
        <v>9</v>
      </c>
      <c r="B9" s="21"/>
      <c r="C9" s="22">
        <v>0.25</v>
      </c>
      <c r="D9" s="87"/>
      <c r="E9" s="33"/>
      <c r="J9" s="16" t="s">
        <v>106</v>
      </c>
      <c r="K9" s="2">
        <v>2</v>
      </c>
    </row>
    <row r="10" spans="1:118" ht="17.25" customHeight="1">
      <c r="A10" s="5"/>
      <c r="C10" s="19"/>
      <c r="D10" s="5"/>
      <c r="E10" s="5"/>
      <c r="J10" s="16"/>
    </row>
    <row r="11" spans="1:118" ht="15.75">
      <c r="A11" s="1" t="s">
        <v>10</v>
      </c>
      <c r="J11" s="16"/>
    </row>
    <row r="12" spans="1:118" ht="15.75">
      <c r="A12" s="26" t="s">
        <v>11</v>
      </c>
      <c r="B12" s="27" t="s">
        <v>12</v>
      </c>
      <c r="C12" s="27" t="s">
        <v>13</v>
      </c>
      <c r="D12" s="28" t="s">
        <v>14</v>
      </c>
      <c r="J12" s="16"/>
    </row>
    <row r="13" spans="1:118">
      <c r="A13" s="12" t="s">
        <v>15</v>
      </c>
      <c r="B13" s="107">
        <f>IF(B5&lt;&gt;"",1,0)</f>
        <v>0</v>
      </c>
      <c r="C13" s="92">
        <f>(1-B8*C8-B9*C9)*IF(ISERROR(VLOOKUP($B$6,Fees!$A$2:$AM$49,$I$6*4+3,FALSE)),0,VLOOKUP($B$6,Fees!$A$2:$AM$49,$I$6*4+3,FALSE))</f>
        <v>0</v>
      </c>
      <c r="D13" s="30">
        <f>B13*C13</f>
        <v>0</v>
      </c>
    </row>
    <row r="14" spans="1:118" ht="15.75">
      <c r="A14" s="34"/>
      <c r="B14" s="35" t="s">
        <v>16</v>
      </c>
      <c r="C14" s="8"/>
      <c r="D14" s="37">
        <f>D13</f>
        <v>0</v>
      </c>
      <c r="E14" s="7"/>
      <c r="H14" s="38"/>
      <c r="J14" s="16"/>
    </row>
    <row r="15" spans="1:118">
      <c r="E15" s="5"/>
      <c r="H15" s="38"/>
      <c r="J15" s="16"/>
    </row>
    <row r="16" spans="1:118" ht="15.75">
      <c r="A16" s="5"/>
      <c r="B16" s="39"/>
      <c r="C16" s="5"/>
      <c r="D16" s="40"/>
      <c r="E16" s="5"/>
      <c r="H16" s="38"/>
      <c r="J16" s="16"/>
    </row>
    <row r="17" spans="1:8" ht="15.75">
      <c r="A17" s="1" t="s">
        <v>96</v>
      </c>
      <c r="E17" s="5"/>
      <c r="H17" s="38"/>
    </row>
    <row r="18" spans="1:8" ht="15.75">
      <c r="A18" s="41"/>
      <c r="B18" s="42" t="s">
        <v>12</v>
      </c>
      <c r="C18" s="42" t="s">
        <v>13</v>
      </c>
      <c r="D18" s="43" t="s">
        <v>14</v>
      </c>
      <c r="E18" s="44"/>
    </row>
    <row r="19" spans="1:8" ht="15.75">
      <c r="A19" s="93" t="s">
        <v>17</v>
      </c>
      <c r="B19" s="45"/>
      <c r="C19" s="46">
        <f>IF($I$6&lt;&gt;"",VLOOKUP(A19,A_Fees!$A$1:$E$37,$I$6+3,FALSE),0)</f>
        <v>0</v>
      </c>
      <c r="D19" s="32">
        <f t="shared" ref="D19:D26" si="0">C19*B19</f>
        <v>0</v>
      </c>
      <c r="E19" s="44"/>
    </row>
    <row r="20" spans="1:8" ht="15.7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75">
      <c r="A21" s="93" t="s">
        <v>19</v>
      </c>
      <c r="B21" s="45"/>
      <c r="C21" s="46">
        <f>IF($I$6&lt;&gt;"",VLOOKUP(A21,A_Fees!$A$1:$E$37,$I$6+3,FALSE),0)</f>
        <v>0</v>
      </c>
      <c r="D21" s="32">
        <f t="shared" si="0"/>
        <v>0</v>
      </c>
      <c r="E21" s="44"/>
    </row>
    <row r="22" spans="1:8" ht="15.7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7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7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75">
      <c r="A25" s="93" t="s">
        <v>143</v>
      </c>
      <c r="B25" s="45"/>
      <c r="C25" s="46">
        <f>IF($I$6&lt;&gt;"",VLOOKUP(A25,A_Fees!$A$1:$E$37,$I$6+3,FALSE),0)</f>
        <v>0</v>
      </c>
      <c r="D25" s="99">
        <f t="shared" si="0"/>
        <v>0</v>
      </c>
      <c r="E25" s="44"/>
    </row>
    <row r="26" spans="1:8" ht="15.75">
      <c r="A26" s="93" t="s">
        <v>144</v>
      </c>
      <c r="B26" s="45"/>
      <c r="C26" s="46">
        <f>IF($I$6&lt;&gt;"",VLOOKUP(A26,A_Fees!$A$1:$E$37,$I$6+3,FALSE),0)</f>
        <v>0</v>
      </c>
      <c r="D26" s="99">
        <f t="shared" si="0"/>
        <v>0</v>
      </c>
      <c r="E26" s="44"/>
    </row>
    <row r="27" spans="1:8" ht="15.75">
      <c r="A27" s="93" t="s">
        <v>21</v>
      </c>
      <c r="B27" s="45"/>
      <c r="C27" s="46">
        <f>IF($I$6&lt;&gt;"",VLOOKUP(A27,A_Fees!$A$1:$E$37,$I$6+3,FALSE),0)</f>
        <v>0</v>
      </c>
      <c r="D27" s="99">
        <f>IF(B27="",0,ROUND(C27*MIN(B27,IF(AND($B$7&gt;=21,$B$7&lt;=25),2,IF(AND($B$7&gt;=26,$B$7&lt;=35),4,IF(AND($B$7&gt;=36,$B$7&lt;=40),6,0)))),2))</f>
        <v>0</v>
      </c>
      <c r="E27" s="44"/>
    </row>
    <row r="28" spans="1:8" ht="15.7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75">
      <c r="A29" s="93" t="s">
        <v>22</v>
      </c>
      <c r="B29" s="45"/>
      <c r="C29" s="46">
        <f>IF($I$6&lt;&gt;"",VLOOKUP(A29,A_Fees!$A$1:$E$37,$I$6+3,FALSE),0)</f>
        <v>0</v>
      </c>
      <c r="D29" s="99">
        <f t="shared" ref="D29:D62" si="1">C29*B29</f>
        <v>0</v>
      </c>
      <c r="E29" s="44"/>
    </row>
    <row r="30" spans="1:8" ht="15.75">
      <c r="A30" s="93" t="s">
        <v>23</v>
      </c>
      <c r="B30" s="45"/>
      <c r="C30" s="46">
        <f>ROUND(C29*0.2,2)</f>
        <v>0</v>
      </c>
      <c r="D30" s="99">
        <f t="shared" si="1"/>
        <v>0</v>
      </c>
      <c r="E30" s="44"/>
    </row>
    <row r="31" spans="1:8" ht="15.75">
      <c r="A31" s="93" t="s">
        <v>24</v>
      </c>
      <c r="B31" s="45"/>
      <c r="C31" s="46">
        <f>IF($I$6&lt;&gt;"",VLOOKUP(A31,A_Fees!$A$1:$E$37,$I$6+3,FALSE),0)</f>
        <v>0</v>
      </c>
      <c r="D31" s="99">
        <f t="shared" si="1"/>
        <v>0</v>
      </c>
      <c r="E31" s="44"/>
    </row>
    <row r="32" spans="1:8" ht="15.75">
      <c r="A32" s="93" t="s">
        <v>25</v>
      </c>
      <c r="B32" s="45"/>
      <c r="C32" s="46">
        <f>ROUND(C31*0.2,2)</f>
        <v>0</v>
      </c>
      <c r="D32" s="99">
        <f t="shared" si="1"/>
        <v>0</v>
      </c>
      <c r="E32" s="44"/>
    </row>
    <row r="33" spans="1:5" ht="15.75">
      <c r="A33" s="93" t="s">
        <v>26</v>
      </c>
      <c r="B33" s="45"/>
      <c r="C33" s="46">
        <f>IF($I$6&lt;&gt;"",VLOOKUP(A33,A_Fees!$A$1:$E$37,$I$6+3,FALSE),0)</f>
        <v>0</v>
      </c>
      <c r="D33" s="32">
        <f t="shared" si="1"/>
        <v>0</v>
      </c>
      <c r="E33" s="44"/>
    </row>
    <row r="34" spans="1:5" ht="15.75">
      <c r="A34" s="93" t="s">
        <v>27</v>
      </c>
      <c r="B34" s="45"/>
      <c r="C34" s="46">
        <f>ROUND(C33*0.2,2)</f>
        <v>0</v>
      </c>
      <c r="D34" s="32">
        <f t="shared" si="1"/>
        <v>0</v>
      </c>
      <c r="E34" s="44"/>
    </row>
    <row r="35" spans="1:5" ht="15.75">
      <c r="A35" s="93" t="s">
        <v>117</v>
      </c>
      <c r="B35" s="45"/>
      <c r="C35" s="46">
        <f>IF($I$6&lt;&gt;"",VLOOKUP(A35,A_Fees!$A$1:$E$37,$I$6+3,FALSE),0)</f>
        <v>0</v>
      </c>
      <c r="D35" s="32">
        <f t="shared" si="1"/>
        <v>0</v>
      </c>
      <c r="E35" s="44"/>
    </row>
    <row r="36" spans="1:5" ht="15.75">
      <c r="A36" s="93" t="s">
        <v>145</v>
      </c>
      <c r="B36" s="45"/>
      <c r="C36" s="46">
        <f>IF($I$6&lt;&gt;"",VLOOKUP(A36,A_Fees!$A$1:$E$37,$I$6+3,FALSE),0)</f>
        <v>0</v>
      </c>
      <c r="D36" s="99">
        <f t="shared" si="1"/>
        <v>0</v>
      </c>
      <c r="E36" s="44"/>
    </row>
    <row r="37" spans="1:5" ht="15.75">
      <c r="A37" s="93" t="s">
        <v>146</v>
      </c>
      <c r="B37" s="45"/>
      <c r="C37" s="46">
        <f>IF($I$6&lt;&gt;"",VLOOKUP(A37,A_Fees!$A$1:$E$37,$I$6+3,FALSE),0)</f>
        <v>0</v>
      </c>
      <c r="D37" s="99">
        <f t="shared" si="1"/>
        <v>0</v>
      </c>
      <c r="E37" s="44"/>
    </row>
    <row r="38" spans="1:5" ht="15.75">
      <c r="A38" s="93" t="s">
        <v>126</v>
      </c>
      <c r="B38" s="45"/>
      <c r="C38" s="46">
        <f>IF($I$6&lt;&gt;"",VLOOKUP(A38,A_Fees!$A$1:$E$37,$I$6+3,FALSE),0)</f>
        <v>0</v>
      </c>
      <c r="D38" s="32">
        <f t="shared" si="1"/>
        <v>0</v>
      </c>
      <c r="E38" s="44"/>
    </row>
    <row r="39" spans="1:5" ht="15.75">
      <c r="A39" s="93" t="s">
        <v>127</v>
      </c>
      <c r="B39" s="45"/>
      <c r="C39" s="46">
        <f>IF($I$6&lt;&gt;"",VLOOKUP(A39,A_Fees!$A$1:$E$37,$I$6+3,FALSE),0)</f>
        <v>0</v>
      </c>
      <c r="D39" s="32">
        <f t="shared" si="1"/>
        <v>0</v>
      </c>
      <c r="E39" s="44"/>
    </row>
    <row r="40" spans="1:5" ht="15.7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129</v>
      </c>
      <c r="B41" s="45"/>
      <c r="C41" s="46">
        <f>IF($I$6&lt;&gt;"",VLOOKUP(A41,A_Fees!$A$1:$E$37,$I$6+3,FALSE),0)</f>
        <v>0</v>
      </c>
      <c r="D41" s="32">
        <f t="shared" si="1"/>
        <v>0</v>
      </c>
      <c r="E41" s="44"/>
    </row>
    <row r="42" spans="1:5" ht="15.7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121</v>
      </c>
      <c r="B43" s="45"/>
      <c r="C43" s="46">
        <f>IF($I$6&lt;&gt;"",VLOOKUP(A43,A_Fees!$A$1:$E$37,$I$6+3,FALSE),0)</f>
        <v>0</v>
      </c>
      <c r="D43" s="32">
        <f t="shared" si="1"/>
        <v>0</v>
      </c>
      <c r="E43" s="44"/>
    </row>
    <row r="44" spans="1:5" ht="15.7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28</v>
      </c>
      <c r="B45" s="45"/>
      <c r="C45" s="46">
        <f>IF($I$6&lt;&gt;"",VLOOKUP(A45,A_Fees!$A$1:$E$37,$I$6+3,FALSE),0)</f>
        <v>0</v>
      </c>
      <c r="D45" s="32">
        <f t="shared" si="1"/>
        <v>0</v>
      </c>
      <c r="E45" s="44"/>
    </row>
    <row r="46" spans="1:5" ht="15.7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30</v>
      </c>
      <c r="B47" s="45"/>
      <c r="C47" s="46">
        <f>IF($I$6&lt;&gt;"",VLOOKUP(A47,A_Fees!$A$1:$E$37,$I$6+3,FALSE),0)</f>
        <v>0</v>
      </c>
      <c r="D47" s="32">
        <f t="shared" si="1"/>
        <v>0</v>
      </c>
      <c r="E47" s="44"/>
    </row>
    <row r="48" spans="1:5" ht="15.7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75">
      <c r="A49" s="93" t="s">
        <v>32</v>
      </c>
      <c r="B49" s="45"/>
      <c r="C49" s="46">
        <f>IF($I$6&lt;&gt;"",VLOOKUP(A49,A_Fees!$A$1:$E$37,$I$6+3,FALSE),0)</f>
        <v>0</v>
      </c>
      <c r="D49" s="32">
        <f t="shared" si="1"/>
        <v>0</v>
      </c>
      <c r="E49" s="44"/>
    </row>
    <row r="50" spans="1:19" ht="15.7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75">
      <c r="A51" s="93" t="s">
        <v>124</v>
      </c>
      <c r="B51" s="45"/>
      <c r="C51" s="46">
        <f>IF($I$6&lt;&gt;"",VLOOKUP(A51,A_Fees!$A$1:$E$37,$I$6+3,FALSE),0)</f>
        <v>0</v>
      </c>
      <c r="D51" s="32">
        <f t="shared" si="1"/>
        <v>0</v>
      </c>
      <c r="E51" s="44"/>
    </row>
    <row r="52" spans="1:19" ht="15.7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19" ht="15.75">
      <c r="A53" s="93" t="s">
        <v>34</v>
      </c>
      <c r="B53" s="45"/>
      <c r="C53" s="46">
        <f>IF($I$6&lt;&gt;"",VLOOKUP(A53,A_Fees!$A$1:$E$37,$I$6+3,FALSE),0)</f>
        <v>0</v>
      </c>
      <c r="D53" s="32">
        <f t="shared" si="1"/>
        <v>0</v>
      </c>
      <c r="E53" s="44"/>
    </row>
    <row r="54" spans="1:19" ht="15.75">
      <c r="A54" s="93" t="s">
        <v>136</v>
      </c>
      <c r="B54" s="45"/>
      <c r="C54" s="46">
        <f>IF($I$6&lt;&gt;"",VLOOKUP(A54,A_Fees!$A$1:$E$37,$I$6+3,FALSE),0)</f>
        <v>0</v>
      </c>
      <c r="D54" s="32">
        <f t="shared" si="1"/>
        <v>0</v>
      </c>
      <c r="E54" s="44"/>
    </row>
    <row r="55" spans="1:19" ht="15.75">
      <c r="A55" s="93" t="s">
        <v>115</v>
      </c>
      <c r="B55" s="45"/>
      <c r="C55" s="46">
        <f>IF($I$6&lt;&gt;"",VLOOKUP(A55,A_Fees!$A$1:$E$37,$I$6+3,FALSE),0)</f>
        <v>0</v>
      </c>
      <c r="D55" s="32">
        <f t="shared" si="1"/>
        <v>0</v>
      </c>
      <c r="E55" s="44"/>
    </row>
    <row r="56" spans="1:19" ht="15.75">
      <c r="A56" s="93" t="s">
        <v>116</v>
      </c>
      <c r="B56" s="45"/>
      <c r="C56" s="46">
        <f>ROUND(C55*0.2,2)</f>
        <v>0</v>
      </c>
      <c r="D56" s="32">
        <f t="shared" si="1"/>
        <v>0</v>
      </c>
      <c r="E56" s="44"/>
    </row>
    <row r="57" spans="1:19" ht="15.75">
      <c r="A57" s="93" t="s">
        <v>37</v>
      </c>
      <c r="B57" s="45"/>
      <c r="C57" s="46">
        <f>IF($I$6&lt;&gt;"",VLOOKUP(A57,A_Fees!$A$1:$E$37,$I$6+3,FALSE),0)</f>
        <v>0</v>
      </c>
      <c r="D57" s="32">
        <f t="shared" si="1"/>
        <v>0</v>
      </c>
      <c r="E57" s="44"/>
    </row>
    <row r="58" spans="1:19" ht="15.75">
      <c r="A58" s="93" t="s">
        <v>38</v>
      </c>
      <c r="B58" s="45"/>
      <c r="C58" s="46">
        <f>IF($I$6&lt;&gt;"",VLOOKUP(A58,A_Fees!$A$1:$E$37,$I$6+3,FALSE),0)</f>
        <v>0</v>
      </c>
      <c r="D58" s="32">
        <f t="shared" si="1"/>
        <v>0</v>
      </c>
      <c r="E58" s="44"/>
    </row>
    <row r="59" spans="1:19" ht="15.7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19" ht="15.75">
      <c r="A60" s="93" t="s">
        <v>36</v>
      </c>
      <c r="B60" s="45"/>
      <c r="C60" s="46">
        <f>IF($I$6&lt;&gt;"",VLOOKUP(A60,A_Fees!$A$1:$E$37,$I$6+3,FALSE),0)</f>
        <v>0</v>
      </c>
      <c r="D60" s="99">
        <f t="shared" si="1"/>
        <v>0</v>
      </c>
      <c r="E60" s="44"/>
    </row>
    <row r="61" spans="1:19" ht="15.75">
      <c r="A61" s="93" t="s">
        <v>42</v>
      </c>
      <c r="B61" s="45"/>
      <c r="C61" s="46">
        <f>IF($I$6&lt;&gt;"",VLOOKUP(A61,A_Fees!$A$1:$E$37,$I$6+3,FALSE),0)</f>
        <v>0</v>
      </c>
      <c r="D61" s="32">
        <f t="shared" si="1"/>
        <v>0</v>
      </c>
      <c r="E61" s="44"/>
      <c r="S61" s="4"/>
    </row>
    <row r="62" spans="1:19" s="6" customFormat="1" ht="15.75">
      <c r="A62" s="93" t="s">
        <v>35</v>
      </c>
      <c r="B62" s="45"/>
      <c r="C62" s="46">
        <f>IF($I$6&lt;&gt;"",VLOOKUP(A62,A_Fees!$A$1:$E$37,$I$6+3,FALSE),0)</f>
        <v>0</v>
      </c>
      <c r="D62" s="99">
        <f t="shared" si="1"/>
        <v>0</v>
      </c>
      <c r="E62" s="44"/>
      <c r="F62" s="2"/>
      <c r="G62" s="2"/>
      <c r="S62" s="47"/>
    </row>
    <row r="63" spans="1:19" s="6" customFormat="1" ht="15.75">
      <c r="A63" s="34"/>
      <c r="B63" s="35" t="s">
        <v>52</v>
      </c>
      <c r="C63" s="36"/>
      <c r="D63" s="37">
        <f>SUM(D19:D62)</f>
        <v>0</v>
      </c>
      <c r="E63" s="44"/>
      <c r="F63" s="2"/>
      <c r="G63" s="2"/>
      <c r="S63" s="47"/>
    </row>
    <row r="64" spans="1:19" ht="15.75">
      <c r="A64" s="5"/>
      <c r="B64" s="39"/>
      <c r="C64" s="5"/>
      <c r="D64" s="40"/>
      <c r="E64" s="44"/>
      <c r="S64" s="4"/>
    </row>
    <row r="65" spans="1:20" ht="15.75">
      <c r="A65" s="1" t="s">
        <v>53</v>
      </c>
      <c r="E65" s="44"/>
      <c r="S65" s="4"/>
    </row>
    <row r="66" spans="1:20" ht="15.75">
      <c r="A66" s="34"/>
      <c r="B66" s="42"/>
      <c r="C66" s="42"/>
      <c r="D66" s="43" t="s">
        <v>14</v>
      </c>
      <c r="E66" s="44"/>
      <c r="S66" s="4"/>
    </row>
    <row r="67" spans="1:20" ht="15.75">
      <c r="A67" s="48" t="s">
        <v>54</v>
      </c>
      <c r="B67" s="49"/>
      <c r="C67" s="49"/>
      <c r="D67" s="50"/>
      <c r="E67" s="44"/>
      <c r="S67" s="4"/>
    </row>
    <row r="68" spans="1:20" ht="15.75">
      <c r="A68" s="36"/>
      <c r="B68" s="35" t="s">
        <v>55</v>
      </c>
      <c r="C68" s="36"/>
      <c r="D68" s="37">
        <f>D67</f>
        <v>0</v>
      </c>
      <c r="E68" s="44"/>
      <c r="S68" s="4"/>
    </row>
    <row r="69" spans="1:20" ht="15.75">
      <c r="E69" s="44"/>
      <c r="S69" s="4"/>
    </row>
    <row r="70" spans="1:20" ht="15.75">
      <c r="A70" s="102" t="s">
        <v>56</v>
      </c>
      <c r="E70" s="44"/>
      <c r="S70" s="4"/>
    </row>
    <row r="71" spans="1:20" ht="15.75">
      <c r="A71" s="14"/>
      <c r="B71" s="14"/>
      <c r="C71" s="51" t="s">
        <v>57</v>
      </c>
      <c r="D71" s="52">
        <f>D14</f>
        <v>0</v>
      </c>
      <c r="E71" s="44"/>
      <c r="S71" s="4"/>
    </row>
    <row r="72" spans="1:20" ht="15.75">
      <c r="A72" s="5"/>
      <c r="B72" s="5"/>
      <c r="C72" s="39" t="s">
        <v>58</v>
      </c>
      <c r="D72" s="53">
        <f>D63</f>
        <v>0</v>
      </c>
      <c r="E72" s="44"/>
      <c r="S72" s="4"/>
    </row>
    <row r="73" spans="1:20" ht="15.75">
      <c r="A73" s="5"/>
      <c r="B73" s="5"/>
      <c r="C73" s="39" t="s">
        <v>59</v>
      </c>
      <c r="D73" s="53">
        <f>D68</f>
        <v>0</v>
      </c>
      <c r="E73" s="44"/>
      <c r="S73" s="4"/>
    </row>
    <row r="74" spans="1:20" ht="15.75">
      <c r="A74" s="5"/>
      <c r="B74" s="5"/>
      <c r="C74" s="39" t="s">
        <v>60</v>
      </c>
      <c r="D74" s="53">
        <f>SUM(D71:D73)</f>
        <v>0</v>
      </c>
      <c r="S74" s="4"/>
    </row>
    <row r="75" spans="1:20" ht="15.75">
      <c r="A75" s="39" t="s">
        <v>61</v>
      </c>
      <c r="B75" s="39" t="s">
        <v>13</v>
      </c>
      <c r="C75" s="54">
        <v>0.2</v>
      </c>
      <c r="D75" s="53">
        <f>D74*C75</f>
        <v>0</v>
      </c>
      <c r="S75" s="4"/>
    </row>
    <row r="76" spans="1:20" ht="15.75">
      <c r="A76" s="8"/>
      <c r="B76" s="8"/>
      <c r="C76" s="55" t="s">
        <v>62</v>
      </c>
      <c r="D76" s="56">
        <f>D75+D74</f>
        <v>0</v>
      </c>
      <c r="S76" s="4"/>
    </row>
    <row r="77" spans="1:20">
      <c r="T77" s="4"/>
    </row>
    <row r="78" spans="1:20">
      <c r="T78" s="4"/>
    </row>
    <row r="79" spans="1:20">
      <c r="T79" s="4"/>
    </row>
    <row r="80" spans="1:20">
      <c r="T80" s="4"/>
    </row>
    <row r="81" spans="5:20">
      <c r="T81" s="4"/>
    </row>
    <row r="82" spans="5:20">
      <c r="T82" s="4"/>
    </row>
    <row r="83" spans="5:20">
      <c r="E83" s="2" t="s">
        <v>2</v>
      </c>
      <c r="T83" s="4"/>
    </row>
    <row r="84" spans="5:20">
      <c r="T84" s="4"/>
    </row>
    <row r="85" spans="5:20">
      <c r="S85" s="4"/>
    </row>
    <row r="86" spans="5:20">
      <c r="S86" s="4"/>
    </row>
    <row r="87" spans="5:20">
      <c r="S87" s="4"/>
    </row>
    <row r="88" spans="5:20">
      <c r="S88" s="4"/>
    </row>
    <row r="89" spans="5:20">
      <c r="S89" s="4"/>
    </row>
    <row r="90" spans="5:20">
      <c r="S90" s="4"/>
    </row>
    <row r="91" spans="5:20">
      <c r="S91" s="4"/>
    </row>
    <row r="114" spans="8:10" ht="18.75" customHeight="1">
      <c r="J114" s="57"/>
    </row>
    <row r="115" spans="8:10" ht="18.75" customHeight="1">
      <c r="J115" s="57"/>
    </row>
    <row r="116" spans="8:10" ht="18.75" customHeight="1">
      <c r="J116" s="57"/>
    </row>
    <row r="117" spans="8:10" ht="18.75" customHeight="1">
      <c r="J117" s="57"/>
    </row>
    <row r="118" spans="8:10" ht="18.75" customHeight="1">
      <c r="J118" s="57"/>
    </row>
    <row r="119" spans="8:10" ht="18.75" customHeight="1">
      <c r="J119" s="57"/>
    </row>
    <row r="128" spans="8:10">
      <c r="H128" s="38"/>
    </row>
    <row r="133" spans="8:8">
      <c r="H133" s="38"/>
    </row>
    <row r="134" spans="8:8">
      <c r="H134" s="38"/>
    </row>
    <row r="143" spans="8:8" ht="19.5" customHeight="1"/>
    <row r="185" spans="19:19">
      <c r="S185" s="38"/>
    </row>
    <row r="186" spans="19:19">
      <c r="S186" s="38"/>
    </row>
    <row r="187" spans="19:19">
      <c r="S187" s="38"/>
    </row>
  </sheetData>
  <sheetProtection password="E9DC" sheet="1" objects="1" scenarios="1"/>
  <sortState ref="A19:D62">
    <sortCondition ref="A19:A62"/>
  </sortState>
  <dataValidations count="1">
    <dataValidation type="list" allowBlank="1" showInputMessage="1" showErrorMessage="1" sqref="B5">
      <formula1>$J$7:$J$9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N153"/>
  <sheetViews>
    <sheetView workbookViewId="0">
      <selection activeCell="A22" sqref="A22"/>
    </sheetView>
  </sheetViews>
  <sheetFormatPr defaultColWidth="10" defaultRowHeight="15"/>
  <cols>
    <col min="1" max="1" width="69.5703125" style="2" customWidth="1"/>
    <col min="2" max="2" width="21.7109375" style="2" customWidth="1"/>
    <col min="3" max="3" width="24.140625" style="2" customWidth="1"/>
    <col min="4" max="4" width="23" style="2" bestFit="1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9.42578125" style="2" hidden="1" customWidth="1"/>
    <col min="10" max="10" width="11.140625" style="2" hidden="1" customWidth="1"/>
    <col min="11" max="11" width="11.42578125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02" t="s">
        <v>142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4" spans="1:118" ht="15.75">
      <c r="A4" s="1" t="s">
        <v>110</v>
      </c>
      <c r="B4" s="8"/>
      <c r="C4" s="8"/>
    </row>
    <row r="5" spans="1:118">
      <c r="A5" s="12" t="s">
        <v>111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20" t="s">
        <v>138</v>
      </c>
      <c r="B6" s="21"/>
      <c r="C6" s="8"/>
      <c r="D6" s="87"/>
      <c r="E6" s="25"/>
      <c r="J6" s="16" t="s">
        <v>112</v>
      </c>
      <c r="K6" s="2">
        <v>0</v>
      </c>
      <c r="O6" s="4"/>
    </row>
    <row r="7" spans="1:118">
      <c r="A7" s="5"/>
      <c r="C7" s="5"/>
      <c r="D7" s="5"/>
      <c r="J7" s="16" t="s">
        <v>8</v>
      </c>
      <c r="K7" s="2">
        <v>1</v>
      </c>
      <c r="O7" s="4"/>
    </row>
    <row r="8" spans="1:118">
      <c r="A8" s="24"/>
      <c r="J8" s="16" t="s">
        <v>106</v>
      </c>
      <c r="K8" s="2">
        <v>2</v>
      </c>
    </row>
    <row r="9" spans="1:118" ht="17.25" customHeight="1">
      <c r="A9" s="5"/>
      <c r="B9" s="39"/>
      <c r="C9" s="5"/>
      <c r="D9" s="40"/>
      <c r="E9" s="89"/>
      <c r="F9" s="88"/>
      <c r="J9" s="16"/>
    </row>
    <row r="10" spans="1:118" ht="15.75">
      <c r="A10" s="1" t="s">
        <v>96</v>
      </c>
      <c r="E10" s="7"/>
      <c r="J10" s="16"/>
    </row>
    <row r="11" spans="1:118" ht="15.75">
      <c r="A11" s="41"/>
      <c r="B11" s="42" t="s">
        <v>12</v>
      </c>
      <c r="C11" s="42" t="s">
        <v>13</v>
      </c>
      <c r="D11" s="43" t="s">
        <v>14</v>
      </c>
      <c r="E11" s="44"/>
      <c r="I11" s="16"/>
    </row>
    <row r="12" spans="1:118" ht="15.75">
      <c r="A12" s="93" t="s">
        <v>132</v>
      </c>
      <c r="B12" s="45"/>
      <c r="C12" s="46">
        <f>IF($I$5&lt;&gt;"",VLOOKUP(A12,A_Fees!$A$1:$E$37,$I$5+3,FALSE),0)</f>
        <v>0</v>
      </c>
      <c r="D12" s="32">
        <f t="shared" ref="D12:D29" si="0">C12*B12</f>
        <v>0</v>
      </c>
      <c r="E12" s="44"/>
    </row>
    <row r="13" spans="1:118" ht="15.75">
      <c r="A13" s="93" t="s">
        <v>133</v>
      </c>
      <c r="B13" s="45"/>
      <c r="C13" s="46">
        <f>ROUND(C12*0.2,2)</f>
        <v>0</v>
      </c>
      <c r="D13" s="32">
        <f t="shared" si="0"/>
        <v>0</v>
      </c>
      <c r="E13" s="44"/>
    </row>
    <row r="14" spans="1:118" ht="15.75">
      <c r="A14" s="93" t="s">
        <v>43</v>
      </c>
      <c r="B14" s="45"/>
      <c r="C14" s="46">
        <f>IF($I$5&lt;&gt;"",VLOOKUP(A14,A_Fees!$A$1:$E$37,$I$5+3,FALSE),0)</f>
        <v>0</v>
      </c>
      <c r="D14" s="32">
        <f t="shared" si="0"/>
        <v>0</v>
      </c>
      <c r="E14" s="44"/>
    </row>
    <row r="15" spans="1:118" ht="15.75">
      <c r="A15" s="93" t="s">
        <v>44</v>
      </c>
      <c r="B15" s="45"/>
      <c r="C15" s="46">
        <f>ROUND(C14*0.2,2)</f>
        <v>0</v>
      </c>
      <c r="D15" s="32">
        <f t="shared" si="0"/>
        <v>0</v>
      </c>
      <c r="E15" s="44"/>
    </row>
    <row r="16" spans="1:118" ht="15.75">
      <c r="A16" s="93" t="s">
        <v>45</v>
      </c>
      <c r="B16" s="45"/>
      <c r="C16" s="46">
        <f>IF($I$5&lt;&gt;"",VLOOKUP(A16,A_Fees!$A$1:$E$37,$I$5+3,FALSE),0)</f>
        <v>0</v>
      </c>
      <c r="D16" s="32">
        <f t="shared" si="0"/>
        <v>0</v>
      </c>
      <c r="E16" s="44"/>
    </row>
    <row r="17" spans="1:5" ht="15.75">
      <c r="A17" s="93" t="s">
        <v>118</v>
      </c>
      <c r="B17" s="45"/>
      <c r="C17" s="46">
        <f>ROUND(C16*0.2,2)</f>
        <v>0</v>
      </c>
      <c r="D17" s="32">
        <f t="shared" si="0"/>
        <v>0</v>
      </c>
      <c r="E17" s="44"/>
    </row>
    <row r="18" spans="1:5" ht="31.5">
      <c r="A18" s="111" t="s">
        <v>134</v>
      </c>
      <c r="B18" s="45"/>
      <c r="C18" s="46">
        <f>IF($I$5&lt;&gt;"",VLOOKUP(A18,A_Fees!$A$1:$E$37,$I$5+3,FALSE),0)</f>
        <v>0</v>
      </c>
      <c r="D18" s="32">
        <f t="shared" si="0"/>
        <v>0</v>
      </c>
      <c r="E18" s="44"/>
    </row>
    <row r="19" spans="1:5" ht="15.75">
      <c r="A19" s="93" t="s">
        <v>48</v>
      </c>
      <c r="B19" s="45"/>
      <c r="C19" s="46">
        <f>ROUND(IF(ISERROR(VLOOKUP($B$6,Fees!$A$2:$AM$49,$I$5*4+2,FALSE)),0,VLOOKUP($B$6,Fees!$A$2:$AM$49,$I$5*4+2,FALSE))*0.5,2)</f>
        <v>0</v>
      </c>
      <c r="D19" s="99">
        <f t="shared" si="0"/>
        <v>0</v>
      </c>
      <c r="E19" s="44"/>
    </row>
    <row r="20" spans="1:5" ht="15.75">
      <c r="A20" s="93" t="s">
        <v>49</v>
      </c>
      <c r="B20" s="45"/>
      <c r="C20" s="46">
        <f>ROUND(C19*0.2,2)</f>
        <v>0</v>
      </c>
      <c r="D20" s="99">
        <f t="shared" si="0"/>
        <v>0</v>
      </c>
      <c r="E20" s="44"/>
    </row>
    <row r="21" spans="1:5" ht="15.75">
      <c r="A21" s="93" t="s">
        <v>46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5" ht="15.75">
      <c r="A22" s="93" t="s">
        <v>47</v>
      </c>
      <c r="B22" s="45"/>
      <c r="C22" s="46">
        <f>ROUND(C21*0.2,2)</f>
        <v>0</v>
      </c>
      <c r="D22" s="32">
        <f t="shared" si="0"/>
        <v>0</v>
      </c>
      <c r="E22" s="44"/>
    </row>
    <row r="23" spans="1:5" ht="15.75">
      <c r="A23" s="93" t="s">
        <v>51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75">
      <c r="A24" s="93" t="s">
        <v>50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75">
      <c r="A25" s="93" t="s">
        <v>86</v>
      </c>
      <c r="B25" s="45"/>
      <c r="C25" s="46">
        <f>IF($I$5&lt;&gt;"",VLOOKUP(A25,A_Fees!$A$1:$E$37,$I$5+3,FALSE),0)</f>
        <v>0</v>
      </c>
      <c r="D25" s="99">
        <f t="shared" si="0"/>
        <v>0</v>
      </c>
      <c r="E25" s="44"/>
    </row>
    <row r="26" spans="1:5" ht="15.75">
      <c r="A26" s="93" t="s">
        <v>145</v>
      </c>
      <c r="B26" s="45"/>
      <c r="C26" s="46">
        <f>IF($I$5&lt;&gt;"",VLOOKUP(A26,A_Fees!$A$1:$E$37,$I$5+3,FALSE),0)</f>
        <v>0</v>
      </c>
      <c r="D26" s="99">
        <f t="shared" si="0"/>
        <v>0</v>
      </c>
      <c r="E26" s="44"/>
    </row>
    <row r="27" spans="1:5" ht="15.75">
      <c r="A27" s="93" t="s">
        <v>146</v>
      </c>
      <c r="B27" s="45"/>
      <c r="C27" s="46">
        <f>IF($I$5&lt;&gt;"",VLOOKUP(A27,A_Fees!$A$1:$E$37,$I$5+3,FALSE),0)</f>
        <v>0</v>
      </c>
      <c r="D27" s="99">
        <f t="shared" si="0"/>
        <v>0</v>
      </c>
      <c r="E27" s="44"/>
    </row>
    <row r="28" spans="1:5" ht="15.75">
      <c r="A28" s="93" t="s">
        <v>120</v>
      </c>
      <c r="B28" s="45"/>
      <c r="C28" s="46">
        <f>IF($I$5&lt;&gt;"",VLOOKUP(A28,A_Fees!$A$1:$E$37,$I$5+3,FALSE),0)</f>
        <v>0</v>
      </c>
      <c r="D28" s="32">
        <f t="shared" si="0"/>
        <v>0</v>
      </c>
      <c r="E28" s="44"/>
    </row>
    <row r="29" spans="1:5" ht="15.75">
      <c r="A29" s="93" t="s">
        <v>123</v>
      </c>
      <c r="B29" s="45"/>
      <c r="C29" s="46">
        <f>ROUND(C28*0.2,2)</f>
        <v>0</v>
      </c>
      <c r="D29" s="32">
        <f t="shared" si="0"/>
        <v>0</v>
      </c>
      <c r="E29" s="44"/>
    </row>
    <row r="30" spans="1:5" ht="15.75">
      <c r="A30" s="34"/>
      <c r="B30" s="35" t="s">
        <v>52</v>
      </c>
      <c r="C30" s="36"/>
      <c r="D30" s="37">
        <f>SUM(D12:D29)</f>
        <v>0</v>
      </c>
      <c r="E30" s="44"/>
    </row>
    <row r="31" spans="1:5" ht="15.75">
      <c r="E31" s="44"/>
    </row>
    <row r="32" spans="1:5" ht="15.75">
      <c r="A32" s="1" t="s">
        <v>53</v>
      </c>
      <c r="E32" s="44"/>
    </row>
    <row r="33" spans="1:20" ht="15.75">
      <c r="A33" s="34"/>
      <c r="B33" s="42"/>
      <c r="C33" s="42"/>
      <c r="D33" s="43"/>
      <c r="E33" s="44"/>
    </row>
    <row r="34" spans="1:20" ht="15.75">
      <c r="A34" s="48" t="s">
        <v>54</v>
      </c>
      <c r="B34" s="49"/>
      <c r="C34" s="49"/>
      <c r="D34" s="50"/>
      <c r="E34" s="44"/>
    </row>
    <row r="35" spans="1:20" ht="15.75">
      <c r="A35" s="36"/>
      <c r="B35" s="35" t="s">
        <v>55</v>
      </c>
      <c r="C35" s="36"/>
      <c r="D35" s="37">
        <f>D34</f>
        <v>0</v>
      </c>
      <c r="E35" s="44"/>
      <c r="S35" s="4"/>
    </row>
    <row r="36" spans="1:20" ht="15.75">
      <c r="E36" s="44"/>
      <c r="S36" s="4"/>
    </row>
    <row r="37" spans="1:20" s="6" customFormat="1" ht="15.75">
      <c r="A37" s="102" t="s">
        <v>56</v>
      </c>
      <c r="B37" s="2"/>
      <c r="C37" s="2"/>
      <c r="D37" s="2"/>
      <c r="E37" s="44"/>
      <c r="F37" s="2"/>
      <c r="S37" s="47"/>
    </row>
    <row r="38" spans="1:20" s="6" customFormat="1" ht="15.75">
      <c r="A38" s="14"/>
      <c r="B38" s="14"/>
      <c r="C38" s="51"/>
      <c r="D38" s="52"/>
      <c r="E38" s="90"/>
      <c r="F38" s="2"/>
      <c r="S38" s="47"/>
    </row>
    <row r="39" spans="1:20" ht="15.75">
      <c r="A39" s="5"/>
      <c r="B39" s="5"/>
      <c r="C39" s="39" t="s">
        <v>58</v>
      </c>
      <c r="D39" s="53">
        <f>D30</f>
        <v>0</v>
      </c>
      <c r="E39" s="90"/>
      <c r="S39" s="4"/>
    </row>
    <row r="40" spans="1:20" ht="15.75">
      <c r="A40" s="5"/>
      <c r="B40" s="5"/>
      <c r="C40" s="39" t="s">
        <v>59</v>
      </c>
      <c r="D40" s="53">
        <f>D35</f>
        <v>0</v>
      </c>
      <c r="E40" s="90"/>
      <c r="S40" s="4"/>
    </row>
    <row r="41" spans="1:20" ht="15.75">
      <c r="A41" s="5"/>
      <c r="B41" s="5"/>
      <c r="C41" s="39" t="s">
        <v>60</v>
      </c>
      <c r="D41" s="53">
        <f>SUM(D39:D40)</f>
        <v>0</v>
      </c>
      <c r="E41" s="90"/>
      <c r="S41" s="4"/>
    </row>
    <row r="42" spans="1:20" ht="15.75">
      <c r="A42" s="39" t="s">
        <v>61</v>
      </c>
      <c r="B42" s="39" t="s">
        <v>13</v>
      </c>
      <c r="C42" s="54">
        <v>0.2</v>
      </c>
      <c r="D42" s="53">
        <f>D41*C42</f>
        <v>0</v>
      </c>
      <c r="E42" s="90"/>
      <c r="S42" s="4"/>
    </row>
    <row r="43" spans="1:20" ht="15.75">
      <c r="A43" s="8"/>
      <c r="B43" s="8"/>
      <c r="C43" s="55" t="s">
        <v>62</v>
      </c>
      <c r="D43" s="56">
        <f>SUM(D41:D42)</f>
        <v>0</v>
      </c>
      <c r="E43" s="90"/>
      <c r="S43" s="4"/>
    </row>
    <row r="44" spans="1:20">
      <c r="T44" s="4"/>
    </row>
    <row r="45" spans="1:20">
      <c r="T45" s="4"/>
    </row>
    <row r="46" spans="1:20">
      <c r="T46" s="4"/>
    </row>
    <row r="47" spans="1:20">
      <c r="T47" s="4"/>
    </row>
    <row r="48" spans="1:20">
      <c r="T48" s="4"/>
    </row>
    <row r="49" spans="5:20">
      <c r="E49" s="2" t="s">
        <v>2</v>
      </c>
      <c r="T49" s="4"/>
    </row>
    <row r="50" spans="5:20">
      <c r="T50" s="4"/>
    </row>
    <row r="51" spans="5:20">
      <c r="T51" s="4"/>
    </row>
    <row r="52" spans="5:20">
      <c r="T52" s="4"/>
    </row>
    <row r="53" spans="5:20">
      <c r="S53" s="4"/>
    </row>
    <row r="54" spans="5:20">
      <c r="S54" s="4"/>
    </row>
    <row r="55" spans="5:20">
      <c r="S55" s="4"/>
    </row>
    <row r="56" spans="5:20">
      <c r="S56" s="4"/>
    </row>
    <row r="57" spans="5:20">
      <c r="S57" s="4"/>
    </row>
    <row r="80" spans="10:10" ht="18.75" customHeight="1">
      <c r="J80" s="57"/>
    </row>
    <row r="81" spans="10:10" ht="18.75" customHeight="1">
      <c r="J81" s="57"/>
    </row>
    <row r="82" spans="10:10" ht="18.75" customHeight="1">
      <c r="J82" s="57"/>
    </row>
    <row r="83" spans="10:10" ht="18.75" customHeight="1">
      <c r="J83" s="57"/>
    </row>
    <row r="84" spans="10:10" ht="18.75" customHeight="1">
      <c r="J84" s="57"/>
    </row>
    <row r="85" spans="10:10" ht="18.75" customHeight="1">
      <c r="J85" s="57"/>
    </row>
    <row r="100" spans="8:8">
      <c r="H100" s="38"/>
    </row>
    <row r="105" spans="8:8">
      <c r="H105" s="38"/>
    </row>
    <row r="106" spans="8:8">
      <c r="H106" s="38"/>
    </row>
    <row r="109" spans="8:8" ht="19.5" customHeight="1"/>
    <row r="151" spans="19:19">
      <c r="S151" s="38"/>
    </row>
    <row r="152" spans="19:19">
      <c r="S152" s="38"/>
    </row>
    <row r="153" spans="19:19">
      <c r="S153" s="38"/>
    </row>
  </sheetData>
  <sheetProtection password="E9DC" sheet="1" objects="1" scenarios="1"/>
  <sortState ref="A12:D29">
    <sortCondition ref="A12:A29"/>
  </sortState>
  <dataValidations count="1">
    <dataValidation type="list" allowBlank="1" showInputMessage="1" showErrorMessage="1" sqref="B5">
      <formula1>$J$6:$J$8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9"/>
  <sheetViews>
    <sheetView workbookViewId="0">
      <selection activeCell="P5" sqref="P5"/>
    </sheetView>
  </sheetViews>
  <sheetFormatPr defaultRowHeight="15"/>
  <cols>
    <col min="1" max="1" width="14.28515625" bestFit="1" customWidth="1"/>
  </cols>
  <sheetData>
    <row r="1" spans="1:13" ht="15.75" thickBot="1">
      <c r="A1" s="66" t="s">
        <v>97</v>
      </c>
      <c r="B1" s="67" t="s">
        <v>63</v>
      </c>
      <c r="C1" s="67" t="s">
        <v>64</v>
      </c>
      <c r="D1" s="67" t="s">
        <v>65</v>
      </c>
      <c r="E1" s="68" t="s">
        <v>66</v>
      </c>
      <c r="F1" s="73" t="s">
        <v>67</v>
      </c>
      <c r="G1" s="73" t="s">
        <v>68</v>
      </c>
      <c r="H1" s="73" t="s">
        <v>69</v>
      </c>
      <c r="I1" s="74" t="s">
        <v>70</v>
      </c>
      <c r="J1" s="79" t="s">
        <v>71</v>
      </c>
      <c r="K1" s="79" t="s">
        <v>72</v>
      </c>
      <c r="L1" s="79" t="s">
        <v>73</v>
      </c>
      <c r="M1" s="79" t="s">
        <v>74</v>
      </c>
    </row>
    <row r="2" spans="1:13">
      <c r="A2" s="58">
        <v>1.1000000000000001</v>
      </c>
      <c r="B2" s="69">
        <v>4250</v>
      </c>
      <c r="C2" s="69">
        <v>7225</v>
      </c>
      <c r="D2" s="69">
        <v>8500</v>
      </c>
      <c r="E2" s="70">
        <v>575</v>
      </c>
      <c r="F2" s="75">
        <v>6375</v>
      </c>
      <c r="G2" s="75">
        <v>10840</v>
      </c>
      <c r="H2" s="75">
        <v>12750</v>
      </c>
      <c r="I2" s="76">
        <v>865</v>
      </c>
      <c r="J2" s="80">
        <v>8500</v>
      </c>
      <c r="K2" s="80">
        <v>14450</v>
      </c>
      <c r="L2" s="80">
        <v>17000</v>
      </c>
      <c r="M2" s="80">
        <v>1150</v>
      </c>
    </row>
    <row r="3" spans="1:13">
      <c r="A3" s="58">
        <v>1.2</v>
      </c>
      <c r="B3" s="69">
        <v>2125</v>
      </c>
      <c r="C3" s="69">
        <v>3615</v>
      </c>
      <c r="D3" s="69">
        <v>4250</v>
      </c>
      <c r="E3" s="70">
        <v>575</v>
      </c>
      <c r="F3" s="75">
        <v>3190</v>
      </c>
      <c r="G3" s="75">
        <v>5420</v>
      </c>
      <c r="H3" s="75">
        <v>6375</v>
      </c>
      <c r="I3" s="76">
        <v>865</v>
      </c>
      <c r="J3" s="80">
        <v>4250</v>
      </c>
      <c r="K3" s="80">
        <v>7225</v>
      </c>
      <c r="L3" s="80">
        <v>8500</v>
      </c>
      <c r="M3" s="80">
        <v>1150</v>
      </c>
    </row>
    <row r="4" spans="1:13">
      <c r="A4" s="58">
        <v>1.3</v>
      </c>
      <c r="B4" s="69">
        <v>1275</v>
      </c>
      <c r="C4" s="69">
        <v>2170</v>
      </c>
      <c r="D4" s="69">
        <v>2550</v>
      </c>
      <c r="E4" s="70">
        <v>575</v>
      </c>
      <c r="F4" s="75">
        <v>1915</v>
      </c>
      <c r="G4" s="75">
        <v>3250</v>
      </c>
      <c r="H4" s="75">
        <v>3825</v>
      </c>
      <c r="I4" s="76">
        <v>865</v>
      </c>
      <c r="J4" s="80">
        <v>2550</v>
      </c>
      <c r="K4" s="80">
        <v>4335</v>
      </c>
      <c r="L4" s="80">
        <v>5100</v>
      </c>
      <c r="M4" s="80">
        <v>1150</v>
      </c>
    </row>
    <row r="5" spans="1:13" ht="15.75" thickBot="1">
      <c r="A5" s="59">
        <v>1.4</v>
      </c>
      <c r="B5" s="71">
        <v>1065</v>
      </c>
      <c r="C5" s="71">
        <v>1805</v>
      </c>
      <c r="D5" s="71">
        <v>2125</v>
      </c>
      <c r="E5" s="72">
        <v>575</v>
      </c>
      <c r="F5" s="77">
        <v>1595</v>
      </c>
      <c r="G5" s="77">
        <v>2710</v>
      </c>
      <c r="H5" s="77">
        <v>3190</v>
      </c>
      <c r="I5" s="78">
        <v>865</v>
      </c>
      <c r="J5" s="81">
        <v>2125</v>
      </c>
      <c r="K5" s="81">
        <v>3615</v>
      </c>
      <c r="L5" s="81">
        <v>4250</v>
      </c>
      <c r="M5" s="81">
        <v>1150</v>
      </c>
    </row>
    <row r="6" spans="1:13">
      <c r="A6" s="58">
        <v>2.1</v>
      </c>
      <c r="B6" s="69">
        <v>4250</v>
      </c>
      <c r="C6" s="69">
        <v>7225</v>
      </c>
      <c r="D6" s="69">
        <v>8500</v>
      </c>
      <c r="E6" s="70">
        <v>575</v>
      </c>
      <c r="F6" s="75">
        <v>6375</v>
      </c>
      <c r="G6" s="75">
        <v>10840</v>
      </c>
      <c r="H6" s="75">
        <v>12750</v>
      </c>
      <c r="I6" s="76">
        <v>865</v>
      </c>
      <c r="J6" s="80">
        <v>8500</v>
      </c>
      <c r="K6" s="80">
        <v>14450</v>
      </c>
      <c r="L6" s="80">
        <v>17000</v>
      </c>
      <c r="M6" s="80">
        <v>1150</v>
      </c>
    </row>
    <row r="7" spans="1:13" ht="15.75" thickBot="1">
      <c r="A7" s="59">
        <v>2.2000000000000002</v>
      </c>
      <c r="B7" s="71">
        <v>1275</v>
      </c>
      <c r="C7" s="71">
        <v>2170</v>
      </c>
      <c r="D7" s="71">
        <v>2550</v>
      </c>
      <c r="E7" s="72">
        <v>575</v>
      </c>
      <c r="F7" s="77">
        <v>1915</v>
      </c>
      <c r="G7" s="77">
        <v>3250</v>
      </c>
      <c r="H7" s="77">
        <v>3825</v>
      </c>
      <c r="I7" s="78">
        <v>865</v>
      </c>
      <c r="J7" s="81">
        <v>2550</v>
      </c>
      <c r="K7" s="81">
        <v>4335</v>
      </c>
      <c r="L7" s="81">
        <v>5100</v>
      </c>
      <c r="M7" s="81">
        <v>1150</v>
      </c>
    </row>
    <row r="8" spans="1:13">
      <c r="A8" s="58">
        <v>3.1</v>
      </c>
      <c r="B8" s="69">
        <v>1750</v>
      </c>
      <c r="C8" s="69">
        <v>2975</v>
      </c>
      <c r="D8" s="69">
        <v>3500</v>
      </c>
      <c r="E8" s="70">
        <v>500</v>
      </c>
      <c r="F8" s="75">
        <v>2625</v>
      </c>
      <c r="G8" s="75">
        <v>4465</v>
      </c>
      <c r="H8" s="75">
        <v>5250</v>
      </c>
      <c r="I8" s="76">
        <v>750</v>
      </c>
      <c r="J8" s="80">
        <v>3500</v>
      </c>
      <c r="K8" s="80">
        <v>5950</v>
      </c>
      <c r="L8" s="80">
        <v>7000</v>
      </c>
      <c r="M8" s="80">
        <v>1000</v>
      </c>
    </row>
    <row r="9" spans="1:13">
      <c r="A9" s="58">
        <v>3.2</v>
      </c>
      <c r="B9" s="69">
        <v>1000</v>
      </c>
      <c r="C9" s="69">
        <v>1700</v>
      </c>
      <c r="D9" s="69">
        <v>2000</v>
      </c>
      <c r="E9" s="70">
        <v>500</v>
      </c>
      <c r="F9" s="75">
        <v>1500</v>
      </c>
      <c r="G9" s="75">
        <v>2550</v>
      </c>
      <c r="H9" s="75">
        <v>3000</v>
      </c>
      <c r="I9" s="76">
        <v>750</v>
      </c>
      <c r="J9" s="80">
        <v>2000</v>
      </c>
      <c r="K9" s="80">
        <v>3400</v>
      </c>
      <c r="L9" s="80">
        <v>4000</v>
      </c>
      <c r="M9" s="80">
        <v>1000</v>
      </c>
    </row>
    <row r="10" spans="1:13">
      <c r="A10" s="58">
        <v>3.3</v>
      </c>
      <c r="B10" s="69">
        <v>500</v>
      </c>
      <c r="C10" s="69">
        <v>850</v>
      </c>
      <c r="D10" s="69">
        <v>1000</v>
      </c>
      <c r="E10" s="70">
        <v>500</v>
      </c>
      <c r="F10" s="75">
        <v>750</v>
      </c>
      <c r="G10" s="75">
        <v>1275</v>
      </c>
      <c r="H10" s="75">
        <v>1500</v>
      </c>
      <c r="I10" s="76">
        <v>750</v>
      </c>
      <c r="J10" s="80">
        <v>1000</v>
      </c>
      <c r="K10" s="80">
        <v>1700</v>
      </c>
      <c r="L10" s="80">
        <v>2000</v>
      </c>
      <c r="M10" s="80">
        <v>1000</v>
      </c>
    </row>
    <row r="11" spans="1:13">
      <c r="A11" s="58">
        <v>3.4</v>
      </c>
      <c r="B11" s="69">
        <v>375</v>
      </c>
      <c r="C11" s="69">
        <v>640</v>
      </c>
      <c r="D11" s="69">
        <v>750</v>
      </c>
      <c r="E11" s="70">
        <v>500</v>
      </c>
      <c r="F11" s="75">
        <v>565</v>
      </c>
      <c r="G11" s="75">
        <v>955</v>
      </c>
      <c r="H11" s="75">
        <v>1125</v>
      </c>
      <c r="I11" s="76">
        <v>750</v>
      </c>
      <c r="J11" s="80">
        <v>750</v>
      </c>
      <c r="K11" s="80">
        <v>1275</v>
      </c>
      <c r="L11" s="80">
        <v>1500</v>
      </c>
      <c r="M11" s="80">
        <v>1000</v>
      </c>
    </row>
    <row r="12" spans="1:13" ht="15.75" thickBot="1">
      <c r="A12" s="59">
        <v>3.5</v>
      </c>
      <c r="B12" s="71">
        <v>300</v>
      </c>
      <c r="C12" s="71">
        <v>510</v>
      </c>
      <c r="D12" s="71">
        <v>600</v>
      </c>
      <c r="E12" s="72">
        <v>325</v>
      </c>
      <c r="F12" s="77">
        <v>450</v>
      </c>
      <c r="G12" s="77">
        <v>765</v>
      </c>
      <c r="H12" s="77">
        <v>900</v>
      </c>
      <c r="I12" s="78">
        <v>490</v>
      </c>
      <c r="J12" s="81">
        <v>600</v>
      </c>
      <c r="K12" s="81">
        <v>1020</v>
      </c>
      <c r="L12" s="81">
        <v>1200</v>
      </c>
      <c r="M12" s="81">
        <v>650</v>
      </c>
    </row>
    <row r="13" spans="1:13">
      <c r="A13" s="58">
        <v>4.0999999999999996</v>
      </c>
      <c r="B13" s="69">
        <v>1000</v>
      </c>
      <c r="C13" s="69">
        <v>1700</v>
      </c>
      <c r="D13" s="69">
        <v>2000</v>
      </c>
      <c r="E13" s="70">
        <v>525</v>
      </c>
      <c r="F13" s="75">
        <v>1500</v>
      </c>
      <c r="G13" s="75">
        <v>2550</v>
      </c>
      <c r="H13" s="75">
        <v>3000</v>
      </c>
      <c r="I13" s="76">
        <v>790</v>
      </c>
      <c r="J13" s="80">
        <v>2000</v>
      </c>
      <c r="K13" s="80">
        <v>3400</v>
      </c>
      <c r="L13" s="80">
        <v>4000</v>
      </c>
      <c r="M13" s="80">
        <v>1050</v>
      </c>
    </row>
    <row r="14" spans="1:13">
      <c r="A14" s="58">
        <v>4.2</v>
      </c>
      <c r="B14" s="69">
        <v>700</v>
      </c>
      <c r="C14" s="69">
        <v>1190</v>
      </c>
      <c r="D14" s="69">
        <v>1400</v>
      </c>
      <c r="E14" s="70">
        <v>500</v>
      </c>
      <c r="F14" s="75">
        <v>1050</v>
      </c>
      <c r="G14" s="75">
        <v>1785</v>
      </c>
      <c r="H14" s="75">
        <v>2100</v>
      </c>
      <c r="I14" s="76">
        <v>750</v>
      </c>
      <c r="J14" s="80">
        <v>1400</v>
      </c>
      <c r="K14" s="80">
        <v>2380</v>
      </c>
      <c r="L14" s="80">
        <v>2800</v>
      </c>
      <c r="M14" s="80">
        <v>1000</v>
      </c>
    </row>
    <row r="15" spans="1:13" ht="15.75" thickBot="1">
      <c r="A15" s="59">
        <v>4.3</v>
      </c>
      <c r="B15" s="71">
        <v>500</v>
      </c>
      <c r="C15" s="71">
        <v>850</v>
      </c>
      <c r="D15" s="71">
        <v>1000</v>
      </c>
      <c r="E15" s="72">
        <v>475</v>
      </c>
      <c r="F15" s="77">
        <v>750</v>
      </c>
      <c r="G15" s="77">
        <v>1275</v>
      </c>
      <c r="H15" s="77">
        <v>1500</v>
      </c>
      <c r="I15" s="78">
        <v>715</v>
      </c>
      <c r="J15" s="81">
        <v>1000</v>
      </c>
      <c r="K15" s="81">
        <v>1700</v>
      </c>
      <c r="L15" s="81">
        <v>2000</v>
      </c>
      <c r="M15" s="81">
        <v>950</v>
      </c>
    </row>
    <row r="16" spans="1:13">
      <c r="A16" s="58">
        <v>5.0999999999999996</v>
      </c>
      <c r="B16" s="69">
        <v>900</v>
      </c>
      <c r="C16" s="69">
        <v>1530</v>
      </c>
      <c r="D16" s="69">
        <v>1800</v>
      </c>
      <c r="E16" s="70">
        <v>525</v>
      </c>
      <c r="F16" s="75">
        <v>1350</v>
      </c>
      <c r="G16" s="75">
        <v>2295</v>
      </c>
      <c r="H16" s="75">
        <v>2700</v>
      </c>
      <c r="I16" s="76">
        <v>790</v>
      </c>
      <c r="J16" s="80">
        <v>1800</v>
      </c>
      <c r="K16" s="80">
        <v>3060</v>
      </c>
      <c r="L16" s="80">
        <v>3600</v>
      </c>
      <c r="M16" s="80">
        <v>1050</v>
      </c>
    </row>
    <row r="17" spans="1:13">
      <c r="A17" s="58">
        <v>5.2</v>
      </c>
      <c r="B17" s="69">
        <v>700</v>
      </c>
      <c r="C17" s="69">
        <v>1190</v>
      </c>
      <c r="D17" s="69">
        <v>1400</v>
      </c>
      <c r="E17" s="70">
        <v>500</v>
      </c>
      <c r="F17" s="75">
        <v>1050</v>
      </c>
      <c r="G17" s="75">
        <v>1785</v>
      </c>
      <c r="H17" s="75">
        <v>2100</v>
      </c>
      <c r="I17" s="76">
        <v>750</v>
      </c>
      <c r="J17" s="80">
        <v>1400</v>
      </c>
      <c r="K17" s="80">
        <v>2380</v>
      </c>
      <c r="L17" s="80">
        <v>2800</v>
      </c>
      <c r="M17" s="80">
        <v>1000</v>
      </c>
    </row>
    <row r="18" spans="1:13" ht="15.75" thickBot="1">
      <c r="A18" s="59">
        <v>5.3</v>
      </c>
      <c r="B18" s="71">
        <v>500</v>
      </c>
      <c r="C18" s="71">
        <v>850</v>
      </c>
      <c r="D18" s="71">
        <v>1000</v>
      </c>
      <c r="E18" s="72">
        <v>475</v>
      </c>
      <c r="F18" s="77">
        <v>750</v>
      </c>
      <c r="G18" s="77">
        <v>1275</v>
      </c>
      <c r="H18" s="77">
        <v>1500</v>
      </c>
      <c r="I18" s="78">
        <v>715</v>
      </c>
      <c r="J18" s="81">
        <v>1000</v>
      </c>
      <c r="K18" s="81">
        <v>1700</v>
      </c>
      <c r="L18" s="81">
        <v>2000</v>
      </c>
      <c r="M18" s="81">
        <v>950</v>
      </c>
    </row>
    <row r="19" spans="1:13">
      <c r="A19" s="58">
        <v>6.1</v>
      </c>
      <c r="B19" s="69">
        <v>4000</v>
      </c>
      <c r="C19" s="69">
        <v>6800</v>
      </c>
      <c r="D19" s="69">
        <v>8000</v>
      </c>
      <c r="E19" s="70">
        <v>525</v>
      </c>
      <c r="F19" s="75">
        <v>6000</v>
      </c>
      <c r="G19" s="75">
        <v>10200</v>
      </c>
      <c r="H19" s="75">
        <v>12000</v>
      </c>
      <c r="I19" s="76">
        <v>790</v>
      </c>
      <c r="J19" s="80">
        <v>8000</v>
      </c>
      <c r="K19" s="80">
        <v>13600</v>
      </c>
      <c r="L19" s="80">
        <v>16000</v>
      </c>
      <c r="M19" s="80">
        <v>1050</v>
      </c>
    </row>
    <row r="20" spans="1:13">
      <c r="A20" s="58">
        <v>6.2</v>
      </c>
      <c r="B20" s="69">
        <v>2500</v>
      </c>
      <c r="C20" s="69">
        <v>4250</v>
      </c>
      <c r="D20" s="69">
        <v>5000</v>
      </c>
      <c r="E20" s="70">
        <v>500</v>
      </c>
      <c r="F20" s="75">
        <v>3750</v>
      </c>
      <c r="G20" s="75">
        <v>6375</v>
      </c>
      <c r="H20" s="75">
        <v>7500</v>
      </c>
      <c r="I20" s="76">
        <v>750</v>
      </c>
      <c r="J20" s="80">
        <v>5000</v>
      </c>
      <c r="K20" s="80">
        <v>8500</v>
      </c>
      <c r="L20" s="80">
        <v>10000</v>
      </c>
      <c r="M20" s="80">
        <v>1000</v>
      </c>
    </row>
    <row r="21" spans="1:13">
      <c r="A21" s="58">
        <v>6.3</v>
      </c>
      <c r="B21" s="69">
        <v>1000</v>
      </c>
      <c r="C21" s="69">
        <v>1700</v>
      </c>
      <c r="D21" s="69">
        <v>2000</v>
      </c>
      <c r="E21" s="70">
        <v>400</v>
      </c>
      <c r="F21" s="75">
        <v>1500</v>
      </c>
      <c r="G21" s="75">
        <v>2550</v>
      </c>
      <c r="H21" s="75">
        <v>3000</v>
      </c>
      <c r="I21" s="76">
        <v>600</v>
      </c>
      <c r="J21" s="80">
        <v>2000</v>
      </c>
      <c r="K21" s="80">
        <v>3400</v>
      </c>
      <c r="L21" s="80">
        <v>4000</v>
      </c>
      <c r="M21" s="80">
        <v>800</v>
      </c>
    </row>
    <row r="22" spans="1:13">
      <c r="A22" s="58">
        <v>6.4</v>
      </c>
      <c r="B22" s="69">
        <v>375</v>
      </c>
      <c r="C22" s="69">
        <v>640</v>
      </c>
      <c r="D22" s="69">
        <v>750</v>
      </c>
      <c r="E22" s="70">
        <v>350</v>
      </c>
      <c r="F22" s="75">
        <v>565</v>
      </c>
      <c r="G22" s="75">
        <v>955</v>
      </c>
      <c r="H22" s="75">
        <v>1125</v>
      </c>
      <c r="I22" s="76">
        <v>525</v>
      </c>
      <c r="J22" s="80">
        <v>750</v>
      </c>
      <c r="K22" s="80">
        <v>1275</v>
      </c>
      <c r="L22" s="80">
        <v>1500</v>
      </c>
      <c r="M22" s="80">
        <v>700</v>
      </c>
    </row>
    <row r="23" spans="1:13" ht="15.75" thickBot="1">
      <c r="A23" s="59">
        <v>6.5</v>
      </c>
      <c r="B23" s="71">
        <v>325</v>
      </c>
      <c r="C23" s="71">
        <v>555</v>
      </c>
      <c r="D23" s="71">
        <v>650</v>
      </c>
      <c r="E23" s="72">
        <v>325</v>
      </c>
      <c r="F23" s="77">
        <v>490</v>
      </c>
      <c r="G23" s="77">
        <v>830</v>
      </c>
      <c r="H23" s="77">
        <v>975</v>
      </c>
      <c r="I23" s="78">
        <v>490</v>
      </c>
      <c r="J23" s="81">
        <v>650</v>
      </c>
      <c r="K23" s="81">
        <v>1105</v>
      </c>
      <c r="L23" s="81">
        <v>1300</v>
      </c>
      <c r="M23" s="81">
        <v>650</v>
      </c>
    </row>
    <row r="24" spans="1:13">
      <c r="A24" s="58">
        <v>7.1</v>
      </c>
      <c r="B24" s="69">
        <v>700</v>
      </c>
      <c r="C24" s="69">
        <v>1190</v>
      </c>
      <c r="D24" s="69">
        <v>1400</v>
      </c>
      <c r="E24" s="70">
        <v>500</v>
      </c>
      <c r="F24" s="75">
        <v>1050</v>
      </c>
      <c r="G24" s="75">
        <v>1785</v>
      </c>
      <c r="H24" s="75">
        <v>2100</v>
      </c>
      <c r="I24" s="76">
        <v>750</v>
      </c>
      <c r="J24" s="80">
        <v>1400</v>
      </c>
      <c r="K24" s="80">
        <v>2380</v>
      </c>
      <c r="L24" s="80">
        <v>2800</v>
      </c>
      <c r="M24" s="80">
        <v>1000</v>
      </c>
    </row>
    <row r="25" spans="1:13">
      <c r="A25" s="58">
        <v>7.2</v>
      </c>
      <c r="B25" s="69">
        <v>400</v>
      </c>
      <c r="C25" s="69">
        <v>680</v>
      </c>
      <c r="D25" s="69">
        <v>800</v>
      </c>
      <c r="E25" s="70">
        <v>450</v>
      </c>
      <c r="F25" s="75">
        <v>600</v>
      </c>
      <c r="G25" s="75">
        <v>1020</v>
      </c>
      <c r="H25" s="75">
        <v>1200</v>
      </c>
      <c r="I25" s="76">
        <v>675</v>
      </c>
      <c r="J25" s="80">
        <v>800</v>
      </c>
      <c r="K25" s="80">
        <v>1360</v>
      </c>
      <c r="L25" s="80">
        <v>1600</v>
      </c>
      <c r="M25" s="80">
        <v>900</v>
      </c>
    </row>
    <row r="26" spans="1:13" ht="15.75" thickBot="1">
      <c r="A26" s="59">
        <v>7.3</v>
      </c>
      <c r="B26" s="71">
        <v>375</v>
      </c>
      <c r="C26" s="71">
        <v>640</v>
      </c>
      <c r="D26" s="71">
        <v>750</v>
      </c>
      <c r="E26" s="72">
        <v>400</v>
      </c>
      <c r="F26" s="77">
        <v>565</v>
      </c>
      <c r="G26" s="77">
        <v>955</v>
      </c>
      <c r="H26" s="77">
        <v>1125</v>
      </c>
      <c r="I26" s="78">
        <v>600</v>
      </c>
      <c r="J26" s="81">
        <v>750</v>
      </c>
      <c r="K26" s="81">
        <v>1275</v>
      </c>
      <c r="L26" s="81">
        <v>1500</v>
      </c>
      <c r="M26" s="81">
        <v>800</v>
      </c>
    </row>
    <row r="27" spans="1:13" ht="15.75" thickBot="1">
      <c r="A27" s="59">
        <v>8.1</v>
      </c>
      <c r="B27" s="71">
        <v>600</v>
      </c>
      <c r="C27" s="71">
        <v>1020</v>
      </c>
      <c r="D27" s="71">
        <v>1200</v>
      </c>
      <c r="E27" s="72">
        <v>500</v>
      </c>
      <c r="F27" s="77">
        <v>900</v>
      </c>
      <c r="G27" s="77">
        <v>1530</v>
      </c>
      <c r="H27" s="77">
        <v>1800</v>
      </c>
      <c r="I27" s="78">
        <v>750</v>
      </c>
      <c r="J27" s="81">
        <v>1200</v>
      </c>
      <c r="K27" s="81">
        <v>2040</v>
      </c>
      <c r="L27" s="81">
        <v>2400</v>
      </c>
      <c r="M27" s="81">
        <v>1000</v>
      </c>
    </row>
    <row r="28" spans="1:13">
      <c r="A28" s="58">
        <v>9.1</v>
      </c>
      <c r="B28" s="69">
        <v>2500</v>
      </c>
      <c r="C28" s="69">
        <v>4250</v>
      </c>
      <c r="D28" s="69">
        <v>5000</v>
      </c>
      <c r="E28" s="70">
        <v>525</v>
      </c>
      <c r="F28" s="75">
        <v>3750</v>
      </c>
      <c r="G28" s="75">
        <v>6375</v>
      </c>
      <c r="H28" s="75">
        <v>7500</v>
      </c>
      <c r="I28" s="76">
        <v>790</v>
      </c>
      <c r="J28" s="80">
        <v>5000</v>
      </c>
      <c r="K28" s="80">
        <v>8500</v>
      </c>
      <c r="L28" s="80">
        <v>10000</v>
      </c>
      <c r="M28" s="80">
        <v>1050</v>
      </c>
    </row>
    <row r="29" spans="1:13">
      <c r="A29" s="58">
        <v>9.1999999999999993</v>
      </c>
      <c r="B29" s="69">
        <v>2000</v>
      </c>
      <c r="C29" s="69">
        <v>3400</v>
      </c>
      <c r="D29" s="69">
        <v>4000</v>
      </c>
      <c r="E29" s="70">
        <v>525</v>
      </c>
      <c r="F29" s="75">
        <v>3000</v>
      </c>
      <c r="G29" s="75">
        <v>5100</v>
      </c>
      <c r="H29" s="75">
        <v>6000</v>
      </c>
      <c r="I29" s="76">
        <v>790</v>
      </c>
      <c r="J29" s="80">
        <v>4000</v>
      </c>
      <c r="K29" s="80">
        <v>6800</v>
      </c>
      <c r="L29" s="80">
        <v>8000</v>
      </c>
      <c r="M29" s="80">
        <v>1050</v>
      </c>
    </row>
    <row r="30" spans="1:13">
      <c r="A30" s="58">
        <v>9.3000000000000007</v>
      </c>
      <c r="B30" s="69">
        <v>1500</v>
      </c>
      <c r="C30" s="69">
        <v>2550</v>
      </c>
      <c r="D30" s="69">
        <v>3000</v>
      </c>
      <c r="E30" s="70">
        <v>450</v>
      </c>
      <c r="F30" s="75">
        <v>2250</v>
      </c>
      <c r="G30" s="75">
        <v>3825</v>
      </c>
      <c r="H30" s="75">
        <v>4500</v>
      </c>
      <c r="I30" s="76">
        <v>675</v>
      </c>
      <c r="J30" s="80">
        <v>3000</v>
      </c>
      <c r="K30" s="80">
        <v>5100</v>
      </c>
      <c r="L30" s="80">
        <v>6000</v>
      </c>
      <c r="M30" s="80">
        <v>900</v>
      </c>
    </row>
    <row r="31" spans="1:13">
      <c r="A31" s="58">
        <v>9.4</v>
      </c>
      <c r="B31" s="69">
        <v>1000</v>
      </c>
      <c r="C31" s="69">
        <v>1700</v>
      </c>
      <c r="D31" s="69">
        <v>2000</v>
      </c>
      <c r="E31" s="70">
        <v>450</v>
      </c>
      <c r="F31" s="75">
        <v>1500</v>
      </c>
      <c r="G31" s="75">
        <v>2550</v>
      </c>
      <c r="H31" s="75">
        <v>3000</v>
      </c>
      <c r="I31" s="76">
        <v>675</v>
      </c>
      <c r="J31" s="80">
        <v>2000</v>
      </c>
      <c r="K31" s="80">
        <v>3400</v>
      </c>
      <c r="L31" s="80">
        <v>4000</v>
      </c>
      <c r="M31" s="80">
        <v>900</v>
      </c>
    </row>
    <row r="32" spans="1:13">
      <c r="A32" s="58">
        <v>9.5</v>
      </c>
      <c r="B32" s="69">
        <v>800</v>
      </c>
      <c r="C32" s="69">
        <v>1360</v>
      </c>
      <c r="D32" s="69">
        <v>1600</v>
      </c>
      <c r="E32" s="70">
        <v>450</v>
      </c>
      <c r="F32" s="75">
        <v>1200</v>
      </c>
      <c r="G32" s="75">
        <v>2040</v>
      </c>
      <c r="H32" s="75">
        <v>2400</v>
      </c>
      <c r="I32" s="76">
        <v>675</v>
      </c>
      <c r="J32" s="80">
        <v>1600</v>
      </c>
      <c r="K32" s="80">
        <v>2720</v>
      </c>
      <c r="L32" s="80">
        <v>3200</v>
      </c>
      <c r="M32" s="80">
        <v>900</v>
      </c>
    </row>
    <row r="33" spans="1:13">
      <c r="A33" s="58">
        <v>9.6</v>
      </c>
      <c r="B33" s="69">
        <v>600</v>
      </c>
      <c r="C33" s="69">
        <v>1020</v>
      </c>
      <c r="D33" s="69">
        <v>1200</v>
      </c>
      <c r="E33" s="70">
        <v>400</v>
      </c>
      <c r="F33" s="75">
        <v>900</v>
      </c>
      <c r="G33" s="75">
        <v>1530</v>
      </c>
      <c r="H33" s="75">
        <v>1800</v>
      </c>
      <c r="I33" s="76">
        <v>600</v>
      </c>
      <c r="J33" s="80">
        <v>1200</v>
      </c>
      <c r="K33" s="80">
        <v>2040</v>
      </c>
      <c r="L33" s="80">
        <v>2400</v>
      </c>
      <c r="M33" s="80">
        <v>800</v>
      </c>
    </row>
    <row r="34" spans="1:13" ht="15.75" thickBot="1">
      <c r="A34" s="59">
        <v>9.6999999999999993</v>
      </c>
      <c r="B34" s="71">
        <v>400</v>
      </c>
      <c r="C34" s="71">
        <v>680</v>
      </c>
      <c r="D34" s="71">
        <v>800</v>
      </c>
      <c r="E34" s="72">
        <v>350</v>
      </c>
      <c r="F34" s="77">
        <v>600</v>
      </c>
      <c r="G34" s="77">
        <v>1020</v>
      </c>
      <c r="H34" s="77">
        <v>1200</v>
      </c>
      <c r="I34" s="78">
        <v>525</v>
      </c>
      <c r="J34" s="81">
        <v>800</v>
      </c>
      <c r="K34" s="81">
        <v>1360</v>
      </c>
      <c r="L34" s="81">
        <v>1600</v>
      </c>
      <c r="M34" s="81">
        <v>700</v>
      </c>
    </row>
    <row r="35" spans="1:13" ht="15.75" thickBot="1">
      <c r="A35" s="59">
        <v>10.1</v>
      </c>
      <c r="B35" s="71">
        <v>1100</v>
      </c>
      <c r="C35" s="71">
        <v>1870</v>
      </c>
      <c r="D35" s="71">
        <v>2200</v>
      </c>
      <c r="E35" s="72">
        <v>525</v>
      </c>
      <c r="F35" s="77">
        <v>1650</v>
      </c>
      <c r="G35" s="77">
        <v>2805</v>
      </c>
      <c r="H35" s="77">
        <v>3300</v>
      </c>
      <c r="I35" s="78">
        <v>790</v>
      </c>
      <c r="J35" s="81">
        <v>2200</v>
      </c>
      <c r="K35" s="81">
        <v>3740</v>
      </c>
      <c r="L35" s="81">
        <v>4400</v>
      </c>
      <c r="M35" s="81">
        <v>1050</v>
      </c>
    </row>
    <row r="36" spans="1:13">
      <c r="A36" s="58">
        <v>11.1</v>
      </c>
      <c r="B36" s="69">
        <v>600</v>
      </c>
      <c r="C36" s="69">
        <v>1020</v>
      </c>
      <c r="D36" s="69">
        <v>1200</v>
      </c>
      <c r="E36" s="70">
        <v>450</v>
      </c>
      <c r="F36" s="75">
        <v>900</v>
      </c>
      <c r="G36" s="75">
        <v>1530</v>
      </c>
      <c r="H36" s="75">
        <v>1800</v>
      </c>
      <c r="I36" s="76">
        <v>675</v>
      </c>
      <c r="J36" s="80">
        <v>1200</v>
      </c>
      <c r="K36" s="80">
        <v>2040</v>
      </c>
      <c r="L36" s="80">
        <v>2400</v>
      </c>
      <c r="M36" s="80">
        <v>900</v>
      </c>
    </row>
    <row r="37" spans="1:13" ht="15.75" thickBot="1">
      <c r="A37" s="59">
        <v>11.2</v>
      </c>
      <c r="B37" s="71">
        <v>340</v>
      </c>
      <c r="C37" s="71">
        <v>575</v>
      </c>
      <c r="D37" s="71">
        <v>675</v>
      </c>
      <c r="E37" s="72">
        <v>360</v>
      </c>
      <c r="F37" s="77">
        <v>505</v>
      </c>
      <c r="G37" s="77">
        <v>860</v>
      </c>
      <c r="H37" s="77">
        <v>1015</v>
      </c>
      <c r="I37" s="78">
        <v>540</v>
      </c>
      <c r="J37" s="81">
        <v>675</v>
      </c>
      <c r="K37" s="81">
        <v>1150</v>
      </c>
      <c r="L37" s="81">
        <v>1350</v>
      </c>
      <c r="M37" s="81">
        <v>720</v>
      </c>
    </row>
    <row r="38" spans="1:13">
      <c r="A38" s="58">
        <v>12.1</v>
      </c>
      <c r="B38" s="69">
        <v>1000</v>
      </c>
      <c r="C38" s="69">
        <v>1700</v>
      </c>
      <c r="D38" s="69">
        <v>2000</v>
      </c>
      <c r="E38" s="70">
        <v>500</v>
      </c>
      <c r="F38" s="75">
        <v>1500</v>
      </c>
      <c r="G38" s="75">
        <v>2550</v>
      </c>
      <c r="H38" s="75">
        <v>3000</v>
      </c>
      <c r="I38" s="76">
        <v>750</v>
      </c>
      <c r="J38" s="80">
        <v>2000</v>
      </c>
      <c r="K38" s="80">
        <v>3400</v>
      </c>
      <c r="L38" s="80">
        <v>4000</v>
      </c>
      <c r="M38" s="80">
        <v>1000</v>
      </c>
    </row>
    <row r="39" spans="1:13">
      <c r="A39" s="58">
        <v>12.2</v>
      </c>
      <c r="B39" s="69">
        <v>600</v>
      </c>
      <c r="C39" s="69">
        <v>1020</v>
      </c>
      <c r="D39" s="69">
        <v>1200</v>
      </c>
      <c r="E39" s="70">
        <v>500</v>
      </c>
      <c r="F39" s="75">
        <v>900</v>
      </c>
      <c r="G39" s="75">
        <v>1530</v>
      </c>
      <c r="H39" s="75">
        <v>1800</v>
      </c>
      <c r="I39" s="76">
        <v>750</v>
      </c>
      <c r="J39" s="80">
        <v>1200</v>
      </c>
      <c r="K39" s="80">
        <v>2040</v>
      </c>
      <c r="L39" s="80">
        <v>2400</v>
      </c>
      <c r="M39" s="80">
        <v>1000</v>
      </c>
    </row>
    <row r="40" spans="1:13" ht="15.75" thickBot="1">
      <c r="A40" s="59">
        <v>12.3</v>
      </c>
      <c r="B40" s="71">
        <v>400</v>
      </c>
      <c r="C40" s="71">
        <v>680</v>
      </c>
      <c r="D40" s="71">
        <v>800</v>
      </c>
      <c r="E40" s="72">
        <v>500</v>
      </c>
      <c r="F40" s="77">
        <v>600</v>
      </c>
      <c r="G40" s="77">
        <v>1020</v>
      </c>
      <c r="H40" s="77">
        <v>1200</v>
      </c>
      <c r="I40" s="78">
        <v>750</v>
      </c>
      <c r="J40" s="81">
        <v>800</v>
      </c>
      <c r="K40" s="81">
        <v>1360</v>
      </c>
      <c r="L40" s="81">
        <v>1600</v>
      </c>
      <c r="M40" s="81">
        <v>1000</v>
      </c>
    </row>
    <row r="41" spans="1:13" ht="15.75" thickBot="1">
      <c r="A41" s="59">
        <v>13.1</v>
      </c>
      <c r="B41" s="71">
        <v>650</v>
      </c>
      <c r="C41" s="71">
        <v>1105</v>
      </c>
      <c r="D41" s="71">
        <v>1300</v>
      </c>
      <c r="E41" s="72">
        <v>500</v>
      </c>
      <c r="F41" s="77">
        <v>975</v>
      </c>
      <c r="G41" s="77">
        <v>1660</v>
      </c>
      <c r="H41" s="77">
        <v>1950</v>
      </c>
      <c r="I41" s="78">
        <v>750</v>
      </c>
      <c r="J41" s="81">
        <v>1300</v>
      </c>
      <c r="K41" s="81">
        <v>2210</v>
      </c>
      <c r="L41" s="81">
        <v>2600</v>
      </c>
      <c r="M41" s="81">
        <v>1000</v>
      </c>
    </row>
    <row r="42" spans="1:13" ht="15.75" thickBot="1">
      <c r="A42" s="59">
        <v>14.1</v>
      </c>
      <c r="B42" s="71">
        <v>750</v>
      </c>
      <c r="C42" s="71">
        <v>1275</v>
      </c>
      <c r="D42" s="71">
        <v>1500</v>
      </c>
      <c r="E42" s="72">
        <v>550</v>
      </c>
      <c r="F42" s="77">
        <v>1125</v>
      </c>
      <c r="G42" s="77">
        <v>1915</v>
      </c>
      <c r="H42" s="77">
        <v>2250</v>
      </c>
      <c r="I42" s="78">
        <v>825</v>
      </c>
      <c r="J42" s="81">
        <v>1500</v>
      </c>
      <c r="K42" s="81">
        <v>2550</v>
      </c>
      <c r="L42" s="81">
        <v>3000</v>
      </c>
      <c r="M42" s="81">
        <v>1100</v>
      </c>
    </row>
    <row r="43" spans="1:13">
      <c r="A43" s="58">
        <v>15.1</v>
      </c>
      <c r="B43" s="69">
        <v>700</v>
      </c>
      <c r="C43" s="69">
        <v>1190</v>
      </c>
      <c r="D43" s="69">
        <v>1400</v>
      </c>
      <c r="E43" s="70">
        <v>500</v>
      </c>
      <c r="F43" s="75">
        <v>1050</v>
      </c>
      <c r="G43" s="75">
        <v>1785</v>
      </c>
      <c r="H43" s="75">
        <v>2100</v>
      </c>
      <c r="I43" s="76">
        <v>750</v>
      </c>
      <c r="J43" s="80">
        <v>1400</v>
      </c>
      <c r="K43" s="80">
        <v>2380</v>
      </c>
      <c r="L43" s="80">
        <v>2800</v>
      </c>
      <c r="M43" s="80">
        <v>1000</v>
      </c>
    </row>
    <row r="44" spans="1:13">
      <c r="A44" s="58">
        <v>15.2</v>
      </c>
      <c r="B44" s="69">
        <v>375</v>
      </c>
      <c r="C44" s="69">
        <v>640</v>
      </c>
      <c r="D44" s="69">
        <v>750</v>
      </c>
      <c r="E44" s="70">
        <v>400</v>
      </c>
      <c r="F44" s="75">
        <v>565</v>
      </c>
      <c r="G44" s="75">
        <v>955</v>
      </c>
      <c r="H44" s="75">
        <v>1125</v>
      </c>
      <c r="I44" s="76">
        <v>600</v>
      </c>
      <c r="J44" s="80">
        <v>750</v>
      </c>
      <c r="K44" s="80">
        <v>1275</v>
      </c>
      <c r="L44" s="80">
        <v>1500</v>
      </c>
      <c r="M44" s="80">
        <v>800</v>
      </c>
    </row>
    <row r="45" spans="1:13" ht="15.75" thickBot="1">
      <c r="A45" s="59">
        <v>15.3</v>
      </c>
      <c r="B45" s="71">
        <v>300</v>
      </c>
      <c r="C45" s="71">
        <v>510</v>
      </c>
      <c r="D45" s="71">
        <v>600</v>
      </c>
      <c r="E45" s="72">
        <v>325</v>
      </c>
      <c r="F45" s="77">
        <v>450</v>
      </c>
      <c r="G45" s="77">
        <v>765</v>
      </c>
      <c r="H45" s="77">
        <v>900</v>
      </c>
      <c r="I45" s="78">
        <v>490</v>
      </c>
      <c r="J45" s="81">
        <v>600</v>
      </c>
      <c r="K45" s="81">
        <v>1020</v>
      </c>
      <c r="L45" s="81">
        <v>1200</v>
      </c>
      <c r="M45" s="81">
        <v>650</v>
      </c>
    </row>
    <row r="46" spans="1:13">
      <c r="A46" s="58">
        <v>16.100000000000001</v>
      </c>
      <c r="B46" s="69">
        <v>1100</v>
      </c>
      <c r="C46" s="69">
        <v>1870</v>
      </c>
      <c r="D46" s="69">
        <v>2200</v>
      </c>
      <c r="E46" s="70">
        <v>550</v>
      </c>
      <c r="F46" s="75">
        <v>1650</v>
      </c>
      <c r="G46" s="75">
        <v>2805</v>
      </c>
      <c r="H46" s="75">
        <v>3300</v>
      </c>
      <c r="I46" s="76">
        <v>825</v>
      </c>
      <c r="J46" s="80">
        <v>2200</v>
      </c>
      <c r="K46" s="80">
        <v>3740</v>
      </c>
      <c r="L46" s="80">
        <v>4400</v>
      </c>
      <c r="M46" s="80">
        <v>1100</v>
      </c>
    </row>
    <row r="47" spans="1:13">
      <c r="A47" s="58">
        <v>16.2</v>
      </c>
      <c r="B47" s="69">
        <v>800</v>
      </c>
      <c r="C47" s="69">
        <v>1360</v>
      </c>
      <c r="D47" s="69">
        <v>1600</v>
      </c>
      <c r="E47" s="70">
        <v>500</v>
      </c>
      <c r="F47" s="75">
        <v>1200</v>
      </c>
      <c r="G47" s="75">
        <v>2040</v>
      </c>
      <c r="H47" s="75">
        <v>2400</v>
      </c>
      <c r="I47" s="76">
        <v>750</v>
      </c>
      <c r="J47" s="80">
        <v>1600</v>
      </c>
      <c r="K47" s="80">
        <v>2720</v>
      </c>
      <c r="L47" s="80">
        <v>3200</v>
      </c>
      <c r="M47" s="80">
        <v>1000</v>
      </c>
    </row>
    <row r="48" spans="1:13" ht="15.75" thickBot="1">
      <c r="A48" s="59">
        <v>16.3</v>
      </c>
      <c r="B48" s="71">
        <v>500</v>
      </c>
      <c r="C48" s="71">
        <v>850</v>
      </c>
      <c r="D48" s="71">
        <v>1000</v>
      </c>
      <c r="E48" s="72">
        <v>500</v>
      </c>
      <c r="F48" s="77">
        <v>750</v>
      </c>
      <c r="G48" s="77">
        <v>1275</v>
      </c>
      <c r="H48" s="77">
        <v>1500</v>
      </c>
      <c r="I48" s="78">
        <v>750</v>
      </c>
      <c r="J48" s="81">
        <v>1000</v>
      </c>
      <c r="K48" s="81">
        <v>1700</v>
      </c>
      <c r="L48" s="81">
        <v>2000</v>
      </c>
      <c r="M48" s="81">
        <v>1000</v>
      </c>
    </row>
    <row r="49" spans="1:13" ht="15.75" thickBot="1">
      <c r="A49" s="59">
        <v>17.100000000000001</v>
      </c>
      <c r="B49" s="71">
        <v>275</v>
      </c>
      <c r="C49" s="71">
        <v>470</v>
      </c>
      <c r="D49" s="71">
        <v>550</v>
      </c>
      <c r="E49" s="72">
        <v>300</v>
      </c>
      <c r="F49" s="77">
        <v>415</v>
      </c>
      <c r="G49" s="77">
        <v>705</v>
      </c>
      <c r="H49" s="77">
        <v>825</v>
      </c>
      <c r="I49" s="78">
        <v>450</v>
      </c>
      <c r="J49" s="81">
        <v>550</v>
      </c>
      <c r="K49" s="81">
        <v>940</v>
      </c>
      <c r="L49" s="81">
        <v>1100</v>
      </c>
      <c r="M49" s="81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7"/>
  <sheetViews>
    <sheetView topLeftCell="A13" workbookViewId="0">
      <selection activeCell="I22" sqref="I22"/>
    </sheetView>
  </sheetViews>
  <sheetFormatPr defaultRowHeight="15"/>
  <cols>
    <col min="1" max="1" width="55.5703125" bestFit="1" customWidth="1"/>
    <col min="2" max="2" width="36.7109375" customWidth="1"/>
    <col min="3" max="3" width="10.7109375" bestFit="1" customWidth="1"/>
    <col min="9" max="9" width="9.5703125" customWidth="1"/>
  </cols>
  <sheetData>
    <row r="1" spans="1:9" ht="15.75" thickBot="1">
      <c r="A1" t="s">
        <v>99</v>
      </c>
      <c r="B1" s="60" t="s">
        <v>75</v>
      </c>
      <c r="C1" s="61" t="s">
        <v>76</v>
      </c>
      <c r="D1" s="61" t="s">
        <v>77</v>
      </c>
      <c r="E1" s="61" t="s">
        <v>78</v>
      </c>
    </row>
    <row r="2" spans="1:9">
      <c r="A2" t="s">
        <v>17</v>
      </c>
      <c r="B2" s="62" t="s">
        <v>100</v>
      </c>
      <c r="C2" s="63">
        <v>238</v>
      </c>
      <c r="D2" s="63">
        <v>346</v>
      </c>
      <c r="E2" s="63">
        <v>497</v>
      </c>
    </row>
    <row r="3" spans="1:9">
      <c r="A3" t="s">
        <v>19</v>
      </c>
      <c r="B3" s="62" t="s">
        <v>101</v>
      </c>
      <c r="C3" s="84">
        <v>130</v>
      </c>
      <c r="D3" s="85">
        <v>195</v>
      </c>
      <c r="E3" s="84">
        <v>260</v>
      </c>
    </row>
    <row r="4" spans="1:9">
      <c r="A4" t="s">
        <v>43</v>
      </c>
      <c r="B4" s="62" t="s">
        <v>85</v>
      </c>
      <c r="C4" s="63">
        <v>250</v>
      </c>
      <c r="D4" s="63">
        <v>375</v>
      </c>
      <c r="E4" s="63">
        <v>500</v>
      </c>
    </row>
    <row r="5" spans="1:9">
      <c r="A5" t="s">
        <v>45</v>
      </c>
      <c r="B5" s="62" t="s">
        <v>84</v>
      </c>
      <c r="C5" s="63">
        <v>150</v>
      </c>
      <c r="D5" s="63">
        <v>225</v>
      </c>
      <c r="E5" s="63">
        <v>300</v>
      </c>
    </row>
    <row r="6" spans="1:9">
      <c r="A6" t="s">
        <v>46</v>
      </c>
      <c r="B6" s="62" t="s">
        <v>83</v>
      </c>
      <c r="C6" s="63">
        <v>150</v>
      </c>
      <c r="D6" s="63">
        <v>225</v>
      </c>
      <c r="E6" s="63">
        <v>300</v>
      </c>
    </row>
    <row r="7" spans="1:9">
      <c r="A7" s="2" t="s">
        <v>21</v>
      </c>
      <c r="B7" s="62" t="s">
        <v>87</v>
      </c>
      <c r="C7" s="63">
        <v>40</v>
      </c>
      <c r="D7" s="63">
        <v>60</v>
      </c>
      <c r="E7" s="63">
        <v>80</v>
      </c>
    </row>
    <row r="8" spans="1:9">
      <c r="A8" s="86" t="s">
        <v>26</v>
      </c>
      <c r="B8" s="83" t="s">
        <v>89</v>
      </c>
      <c r="C8" s="84">
        <v>173</v>
      </c>
      <c r="D8" s="84">
        <v>238</v>
      </c>
      <c r="E8" s="84">
        <v>324</v>
      </c>
    </row>
    <row r="9" spans="1:9">
      <c r="A9" s="86" t="s">
        <v>86</v>
      </c>
      <c r="B9" s="83" t="s">
        <v>86</v>
      </c>
      <c r="C9" s="84">
        <v>194</v>
      </c>
      <c r="D9" s="84">
        <v>194</v>
      </c>
      <c r="E9" s="84">
        <v>194</v>
      </c>
    </row>
    <row r="10" spans="1:9">
      <c r="A10" s="86" t="s">
        <v>117</v>
      </c>
      <c r="B10" s="62" t="s">
        <v>82</v>
      </c>
      <c r="C10" s="63">
        <v>100</v>
      </c>
      <c r="D10" s="63">
        <v>150</v>
      </c>
      <c r="E10" s="63">
        <v>200</v>
      </c>
    </row>
    <row r="11" spans="1:9">
      <c r="A11" s="86" t="s">
        <v>94</v>
      </c>
      <c r="B11" s="62" t="s">
        <v>94</v>
      </c>
      <c r="C11" s="63">
        <v>108</v>
      </c>
      <c r="D11" s="63">
        <v>173</v>
      </c>
      <c r="E11" s="63">
        <v>260</v>
      </c>
    </row>
    <row r="12" spans="1:9">
      <c r="A12" s="86" t="s">
        <v>28</v>
      </c>
      <c r="B12" s="62" t="s">
        <v>103</v>
      </c>
      <c r="C12" s="84">
        <v>130</v>
      </c>
      <c r="D12" s="85">
        <v>195</v>
      </c>
      <c r="E12" s="84">
        <v>260</v>
      </c>
    </row>
    <row r="13" spans="1:9" ht="16.5" thickBot="1">
      <c r="A13" s="86" t="s">
        <v>121</v>
      </c>
      <c r="B13" s="62" t="s">
        <v>102</v>
      </c>
      <c r="C13" s="65">
        <v>238</v>
      </c>
      <c r="D13" s="65">
        <v>346</v>
      </c>
      <c r="E13" s="65">
        <v>497</v>
      </c>
      <c r="I13" s="6"/>
    </row>
    <row r="14" spans="1:9">
      <c r="A14" s="86" t="s">
        <v>30</v>
      </c>
      <c r="B14" s="62" t="s">
        <v>104</v>
      </c>
      <c r="C14" s="63">
        <v>238</v>
      </c>
      <c r="D14" s="63">
        <v>346</v>
      </c>
      <c r="E14" s="63">
        <v>497</v>
      </c>
    </row>
    <row r="15" spans="1:9" ht="15.75" thickBot="1">
      <c r="A15" s="86" t="s">
        <v>32</v>
      </c>
      <c r="B15" s="62" t="s">
        <v>105</v>
      </c>
      <c r="C15" s="65">
        <v>130</v>
      </c>
      <c r="D15" s="82">
        <v>195</v>
      </c>
      <c r="E15" s="65">
        <v>260</v>
      </c>
    </row>
    <row r="16" spans="1:9">
      <c r="A16" s="86" t="s">
        <v>124</v>
      </c>
      <c r="B16" s="83" t="s">
        <v>90</v>
      </c>
      <c r="C16" s="84">
        <v>300</v>
      </c>
      <c r="D16" s="84">
        <v>300</v>
      </c>
      <c r="E16" s="84">
        <v>300</v>
      </c>
    </row>
    <row r="17" spans="1:11" ht="15.75" thickBot="1">
      <c r="A17" s="86" t="s">
        <v>34</v>
      </c>
      <c r="B17" s="83" t="s">
        <v>93</v>
      </c>
      <c r="C17" s="65">
        <v>108</v>
      </c>
      <c r="D17" s="65">
        <v>108</v>
      </c>
      <c r="E17" s="65">
        <v>108</v>
      </c>
    </row>
    <row r="18" spans="1:11" ht="15.75" thickBot="1">
      <c r="A18" s="86" t="s">
        <v>120</v>
      </c>
      <c r="B18" s="64" t="s">
        <v>88</v>
      </c>
      <c r="C18" s="65">
        <v>108</v>
      </c>
      <c r="D18" s="65">
        <v>151</v>
      </c>
      <c r="E18" s="65">
        <v>216</v>
      </c>
    </row>
    <row r="19" spans="1:11" ht="15.75" thickBot="1">
      <c r="A19" s="86" t="s">
        <v>136</v>
      </c>
      <c r="B19" s="64" t="s">
        <v>81</v>
      </c>
      <c r="C19" s="65">
        <v>125</v>
      </c>
      <c r="D19" s="65">
        <v>190</v>
      </c>
      <c r="E19" s="65">
        <v>250</v>
      </c>
    </row>
    <row r="20" spans="1:11" ht="15.75" thickBot="1">
      <c r="A20" s="86" t="s">
        <v>114</v>
      </c>
      <c r="B20" s="64" t="s">
        <v>80</v>
      </c>
      <c r="C20" s="65">
        <v>125</v>
      </c>
      <c r="D20" s="65">
        <v>190</v>
      </c>
      <c r="E20" s="65">
        <v>250</v>
      </c>
    </row>
    <row r="21" spans="1:11">
      <c r="A21" s="86" t="s">
        <v>37</v>
      </c>
      <c r="B21" s="83" t="s">
        <v>91</v>
      </c>
      <c r="C21" s="84">
        <v>39</v>
      </c>
      <c r="D21" s="84">
        <v>56</v>
      </c>
      <c r="E21" s="84">
        <v>74</v>
      </c>
    </row>
    <row r="22" spans="1:11" ht="15.75" thickBot="1">
      <c r="A22" s="98" t="s">
        <v>38</v>
      </c>
      <c r="B22" s="64" t="s">
        <v>79</v>
      </c>
      <c r="C22" s="65">
        <v>90</v>
      </c>
      <c r="D22" s="65">
        <v>135</v>
      </c>
      <c r="E22" s="65">
        <v>180</v>
      </c>
    </row>
    <row r="23" spans="1:11">
      <c r="A23" t="s">
        <v>42</v>
      </c>
      <c r="B23" s="83" t="s">
        <v>92</v>
      </c>
      <c r="C23" s="84">
        <v>39</v>
      </c>
      <c r="D23" s="84">
        <v>56</v>
      </c>
      <c r="E23" s="84">
        <v>74</v>
      </c>
    </row>
    <row r="24" spans="1:11" ht="15.75">
      <c r="A24" s="93" t="s">
        <v>127</v>
      </c>
      <c r="B24" s="96" t="s">
        <v>131</v>
      </c>
      <c r="C24" s="63">
        <v>238</v>
      </c>
      <c r="D24" s="63">
        <v>346</v>
      </c>
      <c r="E24" s="63">
        <v>497</v>
      </c>
    </row>
    <row r="25" spans="1:11" ht="15.75">
      <c r="A25" s="93" t="s">
        <v>129</v>
      </c>
      <c r="B25" s="96" t="s">
        <v>131</v>
      </c>
      <c r="C25" s="63">
        <v>130</v>
      </c>
      <c r="D25" s="63">
        <v>195</v>
      </c>
      <c r="E25" s="63">
        <v>260</v>
      </c>
      <c r="H25" s="113"/>
      <c r="I25" s="114"/>
      <c r="J25" s="114"/>
      <c r="K25" s="114"/>
    </row>
    <row r="26" spans="1:11" ht="15.75">
      <c r="A26" s="93" t="s">
        <v>132</v>
      </c>
      <c r="B26" s="96" t="s">
        <v>131</v>
      </c>
      <c r="C26" s="95">
        <v>87</v>
      </c>
      <c r="D26" s="63">
        <v>130</v>
      </c>
      <c r="E26" s="95">
        <v>173</v>
      </c>
      <c r="H26" s="113"/>
      <c r="I26" s="114"/>
      <c r="J26" s="114"/>
      <c r="K26" s="114"/>
    </row>
    <row r="27" spans="1:11" ht="15.75">
      <c r="A27" s="93" t="s">
        <v>134</v>
      </c>
      <c r="B27" s="96" t="s">
        <v>131</v>
      </c>
      <c r="C27" s="95">
        <v>87</v>
      </c>
      <c r="D27" s="63">
        <v>130</v>
      </c>
      <c r="E27" s="95">
        <v>173</v>
      </c>
      <c r="H27" s="112"/>
    </row>
    <row r="28" spans="1:11" ht="15.75">
      <c r="A28" s="93" t="s">
        <v>22</v>
      </c>
      <c r="B28" s="97" t="s">
        <v>135</v>
      </c>
      <c r="C28" s="95">
        <v>238</v>
      </c>
      <c r="D28" s="63">
        <v>346</v>
      </c>
      <c r="E28" s="95">
        <v>497</v>
      </c>
    </row>
    <row r="29" spans="1:11" ht="15.75">
      <c r="A29" s="93" t="s">
        <v>24</v>
      </c>
      <c r="B29" s="97" t="s">
        <v>135</v>
      </c>
      <c r="C29" s="95">
        <v>130</v>
      </c>
      <c r="D29" s="63">
        <v>195</v>
      </c>
      <c r="E29" s="95">
        <v>260</v>
      </c>
    </row>
    <row r="30" spans="1:11" ht="15.75">
      <c r="A30" s="93" t="s">
        <v>36</v>
      </c>
      <c r="B30" s="97" t="s">
        <v>135</v>
      </c>
      <c r="C30" s="95">
        <v>40</v>
      </c>
      <c r="D30" s="63">
        <v>60</v>
      </c>
      <c r="E30" s="95">
        <v>80</v>
      </c>
    </row>
    <row r="31" spans="1:11" ht="15.75">
      <c r="A31" s="93" t="s">
        <v>50</v>
      </c>
      <c r="B31" s="97" t="s">
        <v>135</v>
      </c>
      <c r="C31" s="115">
        <v>150</v>
      </c>
      <c r="D31" s="115">
        <v>225</v>
      </c>
      <c r="E31" s="115">
        <v>300</v>
      </c>
    </row>
    <row r="32" spans="1:11" ht="15.75">
      <c r="A32" s="93" t="s">
        <v>51</v>
      </c>
      <c r="B32" s="97" t="s">
        <v>135</v>
      </c>
      <c r="C32" s="115">
        <v>100</v>
      </c>
      <c r="D32" s="115">
        <v>125</v>
      </c>
      <c r="E32" s="115">
        <v>175</v>
      </c>
    </row>
    <row r="33" spans="1:5" ht="15.75">
      <c r="A33" s="93" t="s">
        <v>35</v>
      </c>
      <c r="B33" s="97" t="s">
        <v>135</v>
      </c>
      <c r="C33" s="84">
        <v>39</v>
      </c>
      <c r="D33" s="84">
        <v>56</v>
      </c>
      <c r="E33" s="84">
        <v>74</v>
      </c>
    </row>
    <row r="34" spans="1:5" ht="15.75">
      <c r="A34" s="93" t="s">
        <v>143</v>
      </c>
      <c r="B34" s="101" t="s">
        <v>137</v>
      </c>
      <c r="C34" s="63">
        <v>238</v>
      </c>
      <c r="D34" s="63">
        <v>346</v>
      </c>
      <c r="E34" s="63">
        <v>497</v>
      </c>
    </row>
    <row r="35" spans="1:5" ht="15.75">
      <c r="A35" s="93" t="s">
        <v>144</v>
      </c>
      <c r="B35" s="101" t="s">
        <v>137</v>
      </c>
      <c r="C35" s="63">
        <v>130</v>
      </c>
      <c r="D35" s="63">
        <v>195</v>
      </c>
      <c r="E35" s="63">
        <v>260</v>
      </c>
    </row>
    <row r="36" spans="1:5" ht="15.75">
      <c r="A36" s="94" t="s">
        <v>145</v>
      </c>
      <c r="B36" s="101" t="s">
        <v>137</v>
      </c>
      <c r="C36" s="63">
        <v>238</v>
      </c>
      <c r="D36" s="63">
        <v>346</v>
      </c>
      <c r="E36" s="63">
        <v>497</v>
      </c>
    </row>
    <row r="37" spans="1:5" ht="15.75">
      <c r="A37" s="94" t="s">
        <v>146</v>
      </c>
      <c r="B37" s="101" t="s">
        <v>137</v>
      </c>
      <c r="C37" s="63">
        <v>130</v>
      </c>
      <c r="D37" s="63">
        <v>195</v>
      </c>
      <c r="E37" s="63">
        <v>260</v>
      </c>
    </row>
  </sheetData>
  <sortState ref="A2:E23">
    <sortCondition ref="A2:A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 Trial</vt:lpstr>
      <vt:lpstr>Guilty Plea</vt:lpstr>
      <vt:lpstr>Cracked Trial</vt:lpstr>
      <vt:lpstr>Fixed Fee</vt:lpstr>
      <vt:lpstr>Fees</vt:lpstr>
      <vt:lpstr>A_Fees</vt:lpstr>
      <vt:lpstr>'Full Trial'!Print_Area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Clench, Adela (LAA)</dc:creator>
  <cp:lastModifiedBy>Tinker, Rebecca (LAA)</cp:lastModifiedBy>
  <cp:lastPrinted>2018-02-06T10:45:51Z</cp:lastPrinted>
  <dcterms:created xsi:type="dcterms:W3CDTF">2018-01-23T14:44:08Z</dcterms:created>
  <dcterms:modified xsi:type="dcterms:W3CDTF">2018-12-18T16:18:20Z</dcterms:modified>
</cp:coreProperties>
</file>