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8180" windowHeight="8625" tabRatio="737" firstSheet="36" activeTab="36"/>
  </bookViews>
  <sheets>
    <sheet name="(2009-10a)" sheetId="33" state="hidden" r:id="rId1"/>
    <sheet name="(2009-10b)" sheetId="34" state="hidden" r:id="rId2"/>
    <sheet name="(2009-10c)" sheetId="35" state="hidden" r:id="rId3"/>
    <sheet name="(2009-10d)" sheetId="36" state="hidden" r:id="rId4"/>
    <sheet name="(2010-11a)" sheetId="29" state="hidden" r:id="rId5"/>
    <sheet name="(2010-11b)" sheetId="30" state="hidden" r:id="rId6"/>
    <sheet name="(2010-11c)" sheetId="31" state="hidden" r:id="rId7"/>
    <sheet name="(2010-11d)" sheetId="32" state="hidden" r:id="rId8"/>
    <sheet name="(2011-12a)" sheetId="25" state="hidden" r:id="rId9"/>
    <sheet name="(2011-12b)" sheetId="26" state="hidden" r:id="rId10"/>
    <sheet name="(2011-12c)" sheetId="27" state="hidden" r:id="rId11"/>
    <sheet name="(2011-12d)" sheetId="28" state="hidden" r:id="rId12"/>
    <sheet name="(2012-13a)" sheetId="21" state="hidden" r:id="rId13"/>
    <sheet name="(2012-13b)" sheetId="22" state="hidden" r:id="rId14"/>
    <sheet name="(2012-13c)" sheetId="23" state="hidden" r:id="rId15"/>
    <sheet name="(2012-13d)" sheetId="24" state="hidden" r:id="rId16"/>
    <sheet name="(2013-14a)" sheetId="17" state="hidden" r:id="rId17"/>
    <sheet name="(2013-14b)" sheetId="18" state="hidden" r:id="rId18"/>
    <sheet name="(2013-14c)" sheetId="19" state="hidden" r:id="rId19"/>
    <sheet name="(2013-14d)" sheetId="20" state="hidden" r:id="rId20"/>
    <sheet name="(2014-15a)" sheetId="1" state="hidden" r:id="rId21"/>
    <sheet name="(2014-15b)" sheetId="2" state="hidden" r:id="rId22"/>
    <sheet name="(2014-15c)" sheetId="3" state="hidden" r:id="rId23"/>
    <sheet name="(2014-15d)" sheetId="4" state="hidden" r:id="rId24"/>
    <sheet name="(2015-16a)" sheetId="5" state="hidden" r:id="rId25"/>
    <sheet name="(2015-16b)" sheetId="6" state="hidden" r:id="rId26"/>
    <sheet name="(2015-16c)" sheetId="7" state="hidden" r:id="rId27"/>
    <sheet name="(2015-16d)" sheetId="8" state="hidden" r:id="rId28"/>
    <sheet name="(2016-17a)" sheetId="40" state="hidden" r:id="rId29"/>
    <sheet name="(2016-17b)" sheetId="39" state="hidden" r:id="rId30"/>
    <sheet name="(2016-17c)" sheetId="38" state="hidden" r:id="rId31"/>
    <sheet name="(2016-17d)" sheetId="37" state="hidden" r:id="rId32"/>
    <sheet name="FIRE0508a raw" sheetId="9" state="hidden" r:id="rId33"/>
    <sheet name="FIRE0508b raw" sheetId="10" state="hidden" r:id="rId34"/>
    <sheet name="FIRE0508c raw" sheetId="13" state="hidden" r:id="rId35"/>
    <sheet name="FIRE0508d raw" sheetId="15" state="hidden" r:id="rId36"/>
    <sheet name="FIRE0508a" sheetId="11" r:id="rId37"/>
    <sheet name="FIRE0508b" sheetId="12" r:id="rId38"/>
    <sheet name="FIRE0508c" sheetId="14" r:id="rId39"/>
    <sheet name="FIRE0508d" sheetId="16" r:id="rId40"/>
  </sheets>
  <definedNames>
    <definedName name="_xlnm.Print_Area" localSheetId="0">'(2009-10a)'!$B$1:$F$65</definedName>
    <definedName name="_xlnm.Print_Area" localSheetId="1">'(2009-10b)'!$B$1:$J$65</definedName>
    <definedName name="_xlnm.Print_Area" localSheetId="2">'(2009-10c)'!$B$1:$F$64</definedName>
    <definedName name="_xlnm.Print_Area" localSheetId="3">'(2009-10d)'!$B$1:$F$64</definedName>
    <definedName name="_xlnm.Print_Area" localSheetId="4">'(2010-11a)'!$B$1:$F$64</definedName>
    <definedName name="_xlnm.Print_Area" localSheetId="5">'(2010-11b)'!$B$1:$J$65</definedName>
    <definedName name="_xlnm.Print_Area" localSheetId="6">'(2010-11c)'!$B$1:$F$63</definedName>
    <definedName name="_xlnm.Print_Area" localSheetId="7">'(2010-11d)'!$B$1:$F$63</definedName>
    <definedName name="_xlnm.Print_Area" localSheetId="8">'(2011-12a)'!$B$1:$F$64</definedName>
    <definedName name="_xlnm.Print_Area" localSheetId="9">'(2011-12b)'!$B$1:$J$65</definedName>
    <definedName name="_xlnm.Print_Area" localSheetId="10">'(2011-12c)'!$B$1:$F$63</definedName>
    <definedName name="_xlnm.Print_Area" localSheetId="11">'(2011-12d)'!$B$1:$F$63</definedName>
    <definedName name="_xlnm.Print_Area" localSheetId="12">'(2012-13a)'!$B$1:$F$64</definedName>
    <definedName name="_xlnm.Print_Area" localSheetId="13">'(2012-13b)'!$B$1:$J$65</definedName>
    <definedName name="_xlnm.Print_Area" localSheetId="14">'(2012-13c)'!$B$1:$F$63</definedName>
    <definedName name="_xlnm.Print_Area" localSheetId="15">'(2012-13d)'!$B$1:$F$63</definedName>
    <definedName name="_xlnm.Print_Area" localSheetId="16">'(2013-14a)'!$B$1:$F$64</definedName>
    <definedName name="_xlnm.Print_Area" localSheetId="17">'(2013-14b)'!$B$1:$J$65</definedName>
    <definedName name="_xlnm.Print_Area" localSheetId="18">'(2013-14c)'!$B$1:$F$63</definedName>
    <definedName name="_xlnm.Print_Area" localSheetId="19">'(2013-14d)'!$B$1:$F$63</definedName>
    <definedName name="_xlnm.Print_Area" localSheetId="20">'(2014-15a)'!$B$1:$F$64</definedName>
    <definedName name="_xlnm.Print_Area" localSheetId="21">'(2014-15b)'!$B$1:$J$65</definedName>
    <definedName name="_xlnm.Print_Area" localSheetId="22">'(2014-15c)'!$B$1:$F$63</definedName>
    <definedName name="_xlnm.Print_Area" localSheetId="23">'(2014-15d)'!$B$1:$F$63</definedName>
    <definedName name="_xlnm.Print_Area" localSheetId="24">'(2015-16a)'!$B$1:$F$64</definedName>
    <definedName name="_xlnm.Print_Area" localSheetId="25">'(2015-16b)'!$B$1:$J$65</definedName>
    <definedName name="_xlnm.Print_Area" localSheetId="26">'(2015-16c)'!$B$1:$F$63</definedName>
    <definedName name="_xlnm.Print_Area" localSheetId="27">'(2015-16d)'!$B$1:$F$63</definedName>
    <definedName name="_xlnm.Print_Area" localSheetId="28">'(2016-17a)'!$B$1:$F$64</definedName>
    <definedName name="_xlnm.Print_Area" localSheetId="29">'(2016-17b)'!$B$1:$J$65</definedName>
    <definedName name="_xlnm.Print_Area" localSheetId="30">'(2016-17c)'!$B$1:$F$63</definedName>
    <definedName name="_xlnm.Print_Area" localSheetId="31">'(2016-17d)'!$B$1:$F$63</definedName>
    <definedName name="qrychiefrepspecservrtaother" localSheetId="20">#REF!</definedName>
    <definedName name="qrychiefrepspecservrtaother" localSheetId="21">#REF!</definedName>
    <definedName name="qrychiefrepspecservrtaother" localSheetId="22">#REF!</definedName>
    <definedName name="qrychiefrepspecservrtaother" localSheetId="23">#REF!</definedName>
    <definedName name="qrychiefrepspecservrtaother" localSheetId="24">#REF!</definedName>
    <definedName name="qrychiefrepspecservrtaother" localSheetId="25">#REF!</definedName>
    <definedName name="qrychiefrepspecservrtaother" localSheetId="26">#REF!</definedName>
    <definedName name="qrychiefrepspecservrtaother" localSheetId="27">#REF!</definedName>
    <definedName name="qrychiefrepspecservrtaother" localSheetId="28">#REF!</definedName>
    <definedName name="qrychiefrepspecservrtaother" localSheetId="29">#REF!</definedName>
    <definedName name="qrychiefrepspecservrtaother" localSheetId="30">#REF!</definedName>
    <definedName name="qrychiefrepspecservrtaother" localSheetId="31">#REF!</definedName>
    <definedName name="qrychiefrepspecservrtaother" localSheetId="33">#REF!</definedName>
    <definedName name="qrychiefrepspecservrtaother" localSheetId="34">#REF!</definedName>
    <definedName name="qrychiefrepspecservrtaother" localSheetId="35">#REF!</definedName>
    <definedName name="qrychiefrepsuccretireresig" localSheetId="2">#REF!</definedName>
    <definedName name="qrychiefrepsuccretireresig" localSheetId="3">#REF!</definedName>
    <definedName name="qrychiefrepsuccretireresig" localSheetId="6">#REF!</definedName>
    <definedName name="qrychiefrepsuccretireresig" localSheetId="7">#REF!</definedName>
    <definedName name="qrychiefrepsuccretireresig" localSheetId="10">#REF!</definedName>
    <definedName name="qrychiefrepsuccretireresig" localSheetId="11">#REF!</definedName>
    <definedName name="qrychiefrepsuccretireresig" localSheetId="14">#REF!</definedName>
    <definedName name="qrychiefrepsuccretireresig" localSheetId="15">#REF!</definedName>
    <definedName name="qrychiefrepsuccretireresig" localSheetId="18">#REF!</definedName>
    <definedName name="qrychiefrepsuccretireresig" localSheetId="19">#REF!</definedName>
    <definedName name="qrychiefrepsuccretireresig" localSheetId="20">#REF!</definedName>
    <definedName name="qrychiefrepsuccretireresig" localSheetId="21">#REF!</definedName>
    <definedName name="qrychiefrepsuccretireresig" localSheetId="22">#REF!</definedName>
    <definedName name="qrychiefrepsuccretireresig" localSheetId="23">#REF!</definedName>
    <definedName name="qrychiefrepsuccretireresig" localSheetId="24">#REF!</definedName>
    <definedName name="qrychiefrepsuccretireresig" localSheetId="25">#REF!</definedName>
    <definedName name="qrychiefrepsuccretireresig" localSheetId="26">#REF!</definedName>
    <definedName name="qrychiefrepsuccretireresig" localSheetId="27">#REF!</definedName>
    <definedName name="qrychiefrepsuccretireresig" localSheetId="28">#REF!</definedName>
    <definedName name="qrychiefrepsuccretireresig" localSheetId="29">#REF!</definedName>
    <definedName name="qrychiefrepsuccretireresig" localSheetId="30">#REF!</definedName>
    <definedName name="qrychiefrepsuccretireresig" localSheetId="31">#REF!</definedName>
    <definedName name="qrychiefrepsuccretireresig" localSheetId="33">#REF!</definedName>
    <definedName name="qrychiefrepsuccretireresig" localSheetId="34">#REF!</definedName>
    <definedName name="qrychiefrepsuccretireresig" localSheetId="35">#REF!</definedName>
    <definedName name="qrychiefrepwteststr" localSheetId="2">#REF!</definedName>
    <definedName name="qrychiefrepwteststr" localSheetId="3">#REF!</definedName>
    <definedName name="qrychiefrepwteststr" localSheetId="6">#REF!</definedName>
    <definedName name="qrychiefrepwteststr" localSheetId="7">#REF!</definedName>
    <definedName name="qrychiefrepwteststr" localSheetId="10">#REF!</definedName>
    <definedName name="qrychiefrepwteststr" localSheetId="11">#REF!</definedName>
    <definedName name="qrychiefrepwteststr" localSheetId="14">#REF!</definedName>
    <definedName name="qrychiefrepwteststr" localSheetId="15">#REF!</definedName>
    <definedName name="qrychiefrepwteststr" localSheetId="18">#REF!</definedName>
    <definedName name="qrychiefrepwteststr" localSheetId="19">#REF!</definedName>
    <definedName name="qrychiefrepwteststr" localSheetId="20">#REF!</definedName>
    <definedName name="qrychiefrepwteststr" localSheetId="21">#REF!</definedName>
    <definedName name="qrychiefrepwteststr" localSheetId="22">#REF!</definedName>
    <definedName name="qrychiefrepwteststr" localSheetId="23">#REF!</definedName>
    <definedName name="qrychiefrepwteststr" localSheetId="24">#REF!</definedName>
    <definedName name="qrychiefrepwteststr" localSheetId="25">#REF!</definedName>
    <definedName name="qrychiefrepwteststr" localSheetId="26">#REF!</definedName>
    <definedName name="qrychiefrepwteststr" localSheetId="27">#REF!</definedName>
    <definedName name="qrychiefrepwteststr" localSheetId="28">#REF!</definedName>
    <definedName name="qrychiefrepwteststr" localSheetId="29">#REF!</definedName>
    <definedName name="qrychiefrepwteststr" localSheetId="30">#REF!</definedName>
    <definedName name="qrychiefrepwteststr" localSheetId="31">#REF!</definedName>
    <definedName name="qrychiefrepwteststr" localSheetId="33">#REF!</definedName>
    <definedName name="qrychiefrepwteststr" localSheetId="34">#REF!</definedName>
    <definedName name="qrychiefrepwteststr" localSheetId="35">#REF!</definedName>
    <definedName name="qrychiefrepwtgeneth" localSheetId="20">#REF!</definedName>
    <definedName name="qrychiefrepwtgeneth" localSheetId="21">#REF!</definedName>
    <definedName name="qrychiefrepwtgeneth" localSheetId="22">#REF!</definedName>
    <definedName name="qrychiefrepwtgeneth" localSheetId="23">#REF!</definedName>
    <definedName name="qrychiefrepwtgeneth" localSheetId="24">#REF!</definedName>
    <definedName name="qrychiefrepwtgeneth" localSheetId="25">#REF!</definedName>
    <definedName name="qrychiefrepwtgeneth" localSheetId="26">#REF!</definedName>
    <definedName name="qrychiefrepwtgeneth" localSheetId="27">#REF!</definedName>
    <definedName name="qrychiefrepwtgeneth" localSheetId="28">#REF!</definedName>
    <definedName name="qrychiefrepwtgeneth" localSheetId="29">#REF!</definedName>
    <definedName name="qrychiefrepwtgeneth" localSheetId="30">#REF!</definedName>
    <definedName name="qrychiefrepwtgeneth" localSheetId="31">#REF!</definedName>
    <definedName name="qrychiefrepwtgeneth" localSheetId="33">#REF!</definedName>
    <definedName name="qrychiefrepwtgeneth" localSheetId="34">#REF!</definedName>
    <definedName name="qrychiefrepwtgeneth" localSheetId="35">#REF!</definedName>
    <definedName name="qryffinjuries9900" localSheetId="20">#REF!</definedName>
    <definedName name="qryffinjuries9900" localSheetId="21">#REF!</definedName>
    <definedName name="qryffinjuries9900" localSheetId="22">#REF!</definedName>
    <definedName name="qryffinjuries9900" localSheetId="23">#REF!</definedName>
    <definedName name="qryffinjuries9900" localSheetId="24">#REF!</definedName>
    <definedName name="qryffinjuries9900" localSheetId="25">#REF!</definedName>
    <definedName name="qryffinjuries9900" localSheetId="26">#REF!</definedName>
    <definedName name="qryffinjuries9900" localSheetId="27">#REF!</definedName>
    <definedName name="qryffinjuries9900" localSheetId="28">#REF!</definedName>
    <definedName name="qryffinjuries9900" localSheetId="29">#REF!</definedName>
    <definedName name="qryffinjuries9900" localSheetId="30">#REF!</definedName>
    <definedName name="qryffinjuries9900" localSheetId="31">#REF!</definedName>
    <definedName name="qryffinjuries9900" localSheetId="33">#REF!</definedName>
    <definedName name="qryffinjuries9900" localSheetId="34">#REF!</definedName>
    <definedName name="qryffinjuries9900" localSheetId="35">#REF!</definedName>
    <definedName name="qryPI15" localSheetId="2">#REF!</definedName>
    <definedName name="qryPI15" localSheetId="3">#REF!</definedName>
    <definedName name="qryPI15" localSheetId="6">#REF!</definedName>
    <definedName name="qryPI15" localSheetId="7">#REF!</definedName>
    <definedName name="qryPI15" localSheetId="10">#REF!</definedName>
    <definedName name="qryPI15" localSheetId="11">#REF!</definedName>
    <definedName name="qryPI15" localSheetId="14">#REF!</definedName>
    <definedName name="qryPI15" localSheetId="15">#REF!</definedName>
    <definedName name="qryPI15" localSheetId="18">#REF!</definedName>
    <definedName name="qryPI15" localSheetId="19">#REF!</definedName>
    <definedName name="qryPI15" localSheetId="20">#REF!</definedName>
    <definedName name="qryPI15" localSheetId="21">#REF!</definedName>
    <definedName name="qryPI15" localSheetId="22">#REF!</definedName>
    <definedName name="qryPI15" localSheetId="23">#REF!</definedName>
    <definedName name="qryPI15" localSheetId="24">#REF!</definedName>
    <definedName name="qryPI15" localSheetId="25">#REF!</definedName>
    <definedName name="qryPI15" localSheetId="26">#REF!</definedName>
    <definedName name="qryPI15" localSheetId="27">#REF!</definedName>
    <definedName name="qryPI15" localSheetId="28">#REF!</definedName>
    <definedName name="qryPI15" localSheetId="29">#REF!</definedName>
    <definedName name="qryPI15" localSheetId="30">#REF!</definedName>
    <definedName name="qryPI15" localSheetId="31">#REF!</definedName>
    <definedName name="qryPI15" localSheetId="33">#REF!</definedName>
    <definedName name="qryPI15" localSheetId="34">#REF!</definedName>
    <definedName name="qryPI15" localSheetId="35">#REF!</definedName>
    <definedName name="qryPI16" localSheetId="2">#REF!</definedName>
    <definedName name="qryPI16" localSheetId="3">#REF!</definedName>
    <definedName name="qryPI16" localSheetId="6">#REF!</definedName>
    <definedName name="qryPI16" localSheetId="7">#REF!</definedName>
    <definedName name="qryPI16" localSheetId="10">#REF!</definedName>
    <definedName name="qryPI16" localSheetId="11">#REF!</definedName>
    <definedName name="qryPI16" localSheetId="14">#REF!</definedName>
    <definedName name="qryPI16" localSheetId="15">#REF!</definedName>
    <definedName name="qryPI16" localSheetId="18">#REF!</definedName>
    <definedName name="qryPI16" localSheetId="19">#REF!</definedName>
    <definedName name="qryPI16" localSheetId="20">#REF!</definedName>
    <definedName name="qryPI16" localSheetId="21">#REF!</definedName>
    <definedName name="qryPI16" localSheetId="22">#REF!</definedName>
    <definedName name="qryPI16" localSheetId="23">#REF!</definedName>
    <definedName name="qryPI16" localSheetId="24">#REF!</definedName>
    <definedName name="qryPI16" localSheetId="25">#REF!</definedName>
    <definedName name="qryPI16" localSheetId="26">#REF!</definedName>
    <definedName name="qryPI16" localSheetId="27">#REF!</definedName>
    <definedName name="qryPI16" localSheetId="28">#REF!</definedName>
    <definedName name="qryPI16" localSheetId="29">#REF!</definedName>
    <definedName name="qryPI16" localSheetId="30">#REF!</definedName>
    <definedName name="qryPI16" localSheetId="31">#REF!</definedName>
    <definedName name="qryPI16" localSheetId="33">#REF!</definedName>
    <definedName name="qryPI16" localSheetId="34">#REF!</definedName>
    <definedName name="qryPI16" localSheetId="35">#REF!</definedName>
    <definedName name="qryPIBV145a" localSheetId="2">#REF!</definedName>
    <definedName name="qryPIBV145a" localSheetId="3">#REF!</definedName>
    <definedName name="qryPIBV145a" localSheetId="6">#REF!</definedName>
    <definedName name="qryPIBV145a" localSheetId="7">#REF!</definedName>
    <definedName name="qryPIBV145a" localSheetId="10">#REF!</definedName>
    <definedName name="qryPIBV145a" localSheetId="11">#REF!</definedName>
    <definedName name="qryPIBV145a" localSheetId="14">#REF!</definedName>
    <definedName name="qryPIBV145a" localSheetId="15">#REF!</definedName>
    <definedName name="qryPIBV145a" localSheetId="18">#REF!</definedName>
    <definedName name="qryPIBV145a" localSheetId="19">#REF!</definedName>
    <definedName name="qryPIBV145a" localSheetId="20">#REF!</definedName>
    <definedName name="qryPIBV145a" localSheetId="21">#REF!</definedName>
    <definedName name="qryPIBV145a" localSheetId="22">#REF!</definedName>
    <definedName name="qryPIBV145a" localSheetId="23">#REF!</definedName>
    <definedName name="qryPIBV145a" localSheetId="24">#REF!</definedName>
    <definedName name="qryPIBV145a" localSheetId="25">#REF!</definedName>
    <definedName name="qryPIBV145a" localSheetId="26">#REF!</definedName>
    <definedName name="qryPIBV145a" localSheetId="27">#REF!</definedName>
    <definedName name="qryPIBV145a" localSheetId="28">#REF!</definedName>
    <definedName name="qryPIBV145a" localSheetId="29">#REF!</definedName>
    <definedName name="qryPIBV145a" localSheetId="30">#REF!</definedName>
    <definedName name="qryPIBV145a" localSheetId="31">#REF!</definedName>
    <definedName name="qryPIBV145a" localSheetId="33">#REF!</definedName>
    <definedName name="qryPIBV145a" localSheetId="34">#REF!</definedName>
    <definedName name="qryPIBV145a" localSheetId="35">#REF!</definedName>
    <definedName name="qryPIBV145b" localSheetId="2">#REF!</definedName>
    <definedName name="qryPIBV145b" localSheetId="3">#REF!</definedName>
    <definedName name="qryPIBV145b" localSheetId="6">#REF!</definedName>
    <definedName name="qryPIBV145b" localSheetId="7">#REF!</definedName>
    <definedName name="qryPIBV145b" localSheetId="10">#REF!</definedName>
    <definedName name="qryPIBV145b" localSheetId="11">#REF!</definedName>
    <definedName name="qryPIBV145b" localSheetId="14">#REF!</definedName>
    <definedName name="qryPIBV145b" localSheetId="15">#REF!</definedName>
    <definedName name="qryPIBV145b" localSheetId="18">#REF!</definedName>
    <definedName name="qryPIBV145b" localSheetId="19">#REF!</definedName>
    <definedName name="qryPIBV145b" localSheetId="20">#REF!</definedName>
    <definedName name="qryPIBV145b" localSheetId="21">#REF!</definedName>
    <definedName name="qryPIBV145b" localSheetId="22">#REF!</definedName>
    <definedName name="qryPIBV145b" localSheetId="23">#REF!</definedName>
    <definedName name="qryPIBV145b" localSheetId="24">#REF!</definedName>
    <definedName name="qryPIBV145b" localSheetId="25">#REF!</definedName>
    <definedName name="qryPIBV145b" localSheetId="26">#REF!</definedName>
    <definedName name="qryPIBV145b" localSheetId="27">#REF!</definedName>
    <definedName name="qryPIBV145b" localSheetId="28">#REF!</definedName>
    <definedName name="qryPIBV145b" localSheetId="29">#REF!</definedName>
    <definedName name="qryPIBV145b" localSheetId="30">#REF!</definedName>
    <definedName name="qryPIBV145b" localSheetId="31">#REF!</definedName>
    <definedName name="qryPIBV145b" localSheetId="33">#REF!</definedName>
    <definedName name="qryPIBV145b" localSheetId="34">#REF!</definedName>
    <definedName name="qryPIBV145b" localSheetId="35">#REF!</definedName>
    <definedName name="qryPIBV145c" localSheetId="2">#REF!</definedName>
    <definedName name="qryPIBV145c" localSheetId="3">#REF!</definedName>
    <definedName name="qryPIBV145c" localSheetId="6">#REF!</definedName>
    <definedName name="qryPIBV145c" localSheetId="7">#REF!</definedName>
    <definedName name="qryPIBV145c" localSheetId="10">#REF!</definedName>
    <definedName name="qryPIBV145c" localSheetId="11">#REF!</definedName>
    <definedName name="qryPIBV145c" localSheetId="14">#REF!</definedName>
    <definedName name="qryPIBV145c" localSheetId="15">#REF!</definedName>
    <definedName name="qryPIBV145c" localSheetId="18">#REF!</definedName>
    <definedName name="qryPIBV145c" localSheetId="19">#REF!</definedName>
    <definedName name="qryPIBV145c" localSheetId="20">#REF!</definedName>
    <definedName name="qryPIBV145c" localSheetId="21">#REF!</definedName>
    <definedName name="qryPIBV145c" localSheetId="22">#REF!</definedName>
    <definedName name="qryPIBV145c" localSheetId="23">#REF!</definedName>
    <definedName name="qryPIBV145c" localSheetId="24">#REF!</definedName>
    <definedName name="qryPIBV145c" localSheetId="25">#REF!</definedName>
    <definedName name="qryPIBV145c" localSheetId="26">#REF!</definedName>
    <definedName name="qryPIBV145c" localSheetId="27">#REF!</definedName>
    <definedName name="qryPIBV145c" localSheetId="28">#REF!</definedName>
    <definedName name="qryPIBV145c" localSheetId="29">#REF!</definedName>
    <definedName name="qryPIBV145c" localSheetId="30">#REF!</definedName>
    <definedName name="qryPIBV145c" localSheetId="31">#REF!</definedName>
    <definedName name="qryPIBV145c" localSheetId="33">#REF!</definedName>
    <definedName name="qryPIBV145c" localSheetId="34">#REF!</definedName>
    <definedName name="qryPIBV145c" localSheetId="35">#REF!</definedName>
    <definedName name="qryPIBV15i" localSheetId="2">#REF!</definedName>
    <definedName name="qryPIBV15i" localSheetId="3">#REF!</definedName>
    <definedName name="qryPIBV15i" localSheetId="6">#REF!</definedName>
    <definedName name="qryPIBV15i" localSheetId="7">#REF!</definedName>
    <definedName name="qryPIBV15i" localSheetId="10">#REF!</definedName>
    <definedName name="qryPIBV15i" localSheetId="11">#REF!</definedName>
    <definedName name="qryPIBV15i" localSheetId="14">#REF!</definedName>
    <definedName name="qryPIBV15i" localSheetId="15">#REF!</definedName>
    <definedName name="qryPIBV15i" localSheetId="18">#REF!</definedName>
    <definedName name="qryPIBV15i" localSheetId="19">#REF!</definedName>
    <definedName name="qryPIBV15i" localSheetId="20">#REF!</definedName>
    <definedName name="qryPIBV15i" localSheetId="21">#REF!</definedName>
    <definedName name="qryPIBV15i" localSheetId="22">#REF!</definedName>
    <definedName name="qryPIBV15i" localSheetId="23">#REF!</definedName>
    <definedName name="qryPIBV15i" localSheetId="24">#REF!</definedName>
    <definedName name="qryPIBV15i" localSheetId="25">#REF!</definedName>
    <definedName name="qryPIBV15i" localSheetId="26">#REF!</definedName>
    <definedName name="qryPIBV15i" localSheetId="27">#REF!</definedName>
    <definedName name="qryPIBV15i" localSheetId="28">#REF!</definedName>
    <definedName name="qryPIBV15i" localSheetId="29">#REF!</definedName>
    <definedName name="qryPIBV15i" localSheetId="30">#REF!</definedName>
    <definedName name="qryPIBV15i" localSheetId="31">#REF!</definedName>
    <definedName name="qryPIBV15i" localSheetId="33">#REF!</definedName>
    <definedName name="qryPIBV15i" localSheetId="34">#REF!</definedName>
    <definedName name="qryPIBV15i" localSheetId="35">#REF!</definedName>
    <definedName name="qryPIBV15ii" localSheetId="2">#REF!</definedName>
    <definedName name="qryPIBV15ii" localSheetId="3">#REF!</definedName>
    <definedName name="qryPIBV15ii" localSheetId="6">#REF!</definedName>
    <definedName name="qryPIBV15ii" localSheetId="7">#REF!</definedName>
    <definedName name="qryPIBV15ii" localSheetId="10">#REF!</definedName>
    <definedName name="qryPIBV15ii" localSheetId="11">#REF!</definedName>
    <definedName name="qryPIBV15ii" localSheetId="14">#REF!</definedName>
    <definedName name="qryPIBV15ii" localSheetId="15">#REF!</definedName>
    <definedName name="qryPIBV15ii" localSheetId="18">#REF!</definedName>
    <definedName name="qryPIBV15ii" localSheetId="19">#REF!</definedName>
    <definedName name="qryPIBV15ii" localSheetId="20">#REF!</definedName>
    <definedName name="qryPIBV15ii" localSheetId="21">#REF!</definedName>
    <definedName name="qryPIBV15ii" localSheetId="22">#REF!</definedName>
    <definedName name="qryPIBV15ii" localSheetId="23">#REF!</definedName>
    <definedName name="qryPIBV15ii" localSheetId="24">#REF!</definedName>
    <definedName name="qryPIBV15ii" localSheetId="25">#REF!</definedName>
    <definedName name="qryPIBV15ii" localSheetId="26">#REF!</definedName>
    <definedName name="qryPIBV15ii" localSheetId="27">#REF!</definedName>
    <definedName name="qryPIBV15ii" localSheetId="28">#REF!</definedName>
    <definedName name="qryPIBV15ii" localSheetId="29">#REF!</definedName>
    <definedName name="qryPIBV15ii" localSheetId="30">#REF!</definedName>
    <definedName name="qryPIBV15ii" localSheetId="31">#REF!</definedName>
    <definedName name="qryPIBV15ii" localSheetId="33">#REF!</definedName>
    <definedName name="qryPIBV15ii" localSheetId="34">#REF!</definedName>
    <definedName name="qryPIBV15ii" localSheetId="35">#REF!</definedName>
    <definedName name="qryPIctsickness" localSheetId="2">#REF!</definedName>
    <definedName name="qryPIctsickness" localSheetId="3">#REF!</definedName>
    <definedName name="qryPIctsickness" localSheetId="6">#REF!</definedName>
    <definedName name="qryPIctsickness" localSheetId="7">#REF!</definedName>
    <definedName name="qryPIctsickness" localSheetId="10">#REF!</definedName>
    <definedName name="qryPIctsickness" localSheetId="11">#REF!</definedName>
    <definedName name="qryPIctsickness" localSheetId="14">#REF!</definedName>
    <definedName name="qryPIctsickness" localSheetId="15">#REF!</definedName>
    <definedName name="qryPIctsickness" localSheetId="18">#REF!</definedName>
    <definedName name="qryPIctsickness" localSheetId="19">#REF!</definedName>
    <definedName name="qryPIctsickness" localSheetId="20">#REF!</definedName>
    <definedName name="qryPIctsickness" localSheetId="21">#REF!</definedName>
    <definedName name="qryPIctsickness" localSheetId="22">#REF!</definedName>
    <definedName name="qryPIctsickness" localSheetId="23">#REF!</definedName>
    <definedName name="qryPIctsickness" localSheetId="24">#REF!</definedName>
    <definedName name="qryPIctsickness" localSheetId="25">#REF!</definedName>
    <definedName name="qryPIctsickness" localSheetId="26">#REF!</definedName>
    <definedName name="qryPIctsickness" localSheetId="27">#REF!</definedName>
    <definedName name="qryPIctsickness" localSheetId="28">#REF!</definedName>
    <definedName name="qryPIctsickness" localSheetId="29">#REF!</definedName>
    <definedName name="qryPIctsickness" localSheetId="30">#REF!</definedName>
    <definedName name="qryPIctsickness" localSheetId="31">#REF!</definedName>
    <definedName name="qryPIctsickness" localSheetId="33">#REF!</definedName>
    <definedName name="qryPIctsickness" localSheetId="34">#REF!</definedName>
    <definedName name="qryPIctsickness" localSheetId="35">#REF!</definedName>
    <definedName name="qryPIriderfactleave" localSheetId="2">#REF!</definedName>
    <definedName name="qryPIriderfactleave" localSheetId="3">#REF!</definedName>
    <definedName name="qryPIriderfactleave" localSheetId="6">#REF!</definedName>
    <definedName name="qryPIriderfactleave" localSheetId="7">#REF!</definedName>
    <definedName name="qryPIriderfactleave" localSheetId="10">#REF!</definedName>
    <definedName name="qryPIriderfactleave" localSheetId="11">#REF!</definedName>
    <definedName name="qryPIriderfactleave" localSheetId="14">#REF!</definedName>
    <definedName name="qryPIriderfactleave" localSheetId="15">#REF!</definedName>
    <definedName name="qryPIriderfactleave" localSheetId="18">#REF!</definedName>
    <definedName name="qryPIriderfactleave" localSheetId="19">#REF!</definedName>
    <definedName name="qryPIriderfactleave" localSheetId="20">#REF!</definedName>
    <definedName name="qryPIriderfactleave" localSheetId="21">#REF!</definedName>
    <definedName name="qryPIriderfactleave" localSheetId="22">#REF!</definedName>
    <definedName name="qryPIriderfactleave" localSheetId="23">#REF!</definedName>
    <definedName name="qryPIriderfactleave" localSheetId="24">#REF!</definedName>
    <definedName name="qryPIriderfactleave" localSheetId="25">#REF!</definedName>
    <definedName name="qryPIriderfactleave" localSheetId="26">#REF!</definedName>
    <definedName name="qryPIriderfactleave" localSheetId="27">#REF!</definedName>
    <definedName name="qryPIriderfactleave" localSheetId="28">#REF!</definedName>
    <definedName name="qryPIriderfactleave" localSheetId="29">#REF!</definedName>
    <definedName name="qryPIriderfactleave" localSheetId="30">#REF!</definedName>
    <definedName name="qryPIriderfactleave" localSheetId="31">#REF!</definedName>
    <definedName name="qryPIriderfactleave" localSheetId="33">#REF!</definedName>
    <definedName name="qryPIriderfactleave" localSheetId="34">#REF!</definedName>
    <definedName name="qryPIriderfactleave" localSheetId="35">#REF!</definedName>
    <definedName name="qryPIriderfactsick" localSheetId="2">#REF!</definedName>
    <definedName name="qryPIriderfactsick" localSheetId="3">#REF!</definedName>
    <definedName name="qryPIriderfactsick" localSheetId="6">#REF!</definedName>
    <definedName name="qryPIriderfactsick" localSheetId="7">#REF!</definedName>
    <definedName name="qryPIriderfactsick" localSheetId="10">#REF!</definedName>
    <definedName name="qryPIriderfactsick" localSheetId="11">#REF!</definedName>
    <definedName name="qryPIriderfactsick" localSheetId="14">#REF!</definedName>
    <definedName name="qryPIriderfactsick" localSheetId="15">#REF!</definedName>
    <definedName name="qryPIriderfactsick" localSheetId="18">#REF!</definedName>
    <definedName name="qryPIriderfactsick" localSheetId="19">#REF!</definedName>
    <definedName name="qryPIriderfactsick" localSheetId="20">#REF!</definedName>
    <definedName name="qryPIriderfactsick" localSheetId="21">#REF!</definedName>
    <definedName name="qryPIriderfactsick" localSheetId="22">#REF!</definedName>
    <definedName name="qryPIriderfactsick" localSheetId="23">#REF!</definedName>
    <definedName name="qryPIriderfactsick" localSheetId="24">#REF!</definedName>
    <definedName name="qryPIriderfactsick" localSheetId="25">#REF!</definedName>
    <definedName name="qryPIriderfactsick" localSheetId="26">#REF!</definedName>
    <definedName name="qryPIriderfactsick" localSheetId="27">#REF!</definedName>
    <definedName name="qryPIriderfactsick" localSheetId="28">#REF!</definedName>
    <definedName name="qryPIriderfactsick" localSheetId="29">#REF!</definedName>
    <definedName name="qryPIriderfactsick" localSheetId="30">#REF!</definedName>
    <definedName name="qryPIriderfactsick" localSheetId="31">#REF!</definedName>
    <definedName name="qryPIriderfactsick" localSheetId="33">#REF!</definedName>
    <definedName name="qryPIriderfactsick" localSheetId="34">#REF!</definedName>
    <definedName name="qryPIriderfactsick" localSheetId="35">#REF!</definedName>
    <definedName name="Query1" localSheetId="20">#REF!</definedName>
    <definedName name="Query1" localSheetId="21">#REF!</definedName>
    <definedName name="Query1" localSheetId="22">#REF!</definedName>
    <definedName name="Query1" localSheetId="23">#REF!</definedName>
    <definedName name="Query1" localSheetId="24">#REF!</definedName>
    <definedName name="Query1" localSheetId="25">#REF!</definedName>
    <definedName name="Query1" localSheetId="26">#REF!</definedName>
    <definedName name="Query1" localSheetId="27">#REF!</definedName>
    <definedName name="Query1" localSheetId="28">#REF!</definedName>
    <definedName name="Query1" localSheetId="29">#REF!</definedName>
    <definedName name="Query1" localSheetId="30">#REF!</definedName>
    <definedName name="Query1" localSheetId="31">#REF!</definedName>
    <definedName name="Query1" localSheetId="33">#REF!</definedName>
    <definedName name="Query1" localSheetId="34">#REF!</definedName>
    <definedName name="Query1" localSheetId="35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39"/>
  <c r="D47"/>
  <c r="J47"/>
  <c r="I47"/>
  <c r="H47"/>
  <c r="F47"/>
  <c r="E47"/>
  <c r="J6"/>
  <c r="J5" s="1"/>
  <c r="I6"/>
  <c r="H6"/>
  <c r="G6"/>
  <c r="F6"/>
  <c r="E6"/>
  <c r="D6"/>
  <c r="C6"/>
  <c r="F5" l="1"/>
  <c r="H5"/>
  <c r="D5"/>
  <c r="E5"/>
  <c r="I5"/>
  <c r="C47"/>
  <c r="C5" s="1"/>
  <c r="G5"/>
  <c r="F46" i="38"/>
  <c r="E46"/>
  <c r="C46"/>
  <c r="F5"/>
  <c r="E5"/>
  <c r="E4" s="1"/>
  <c r="F17" i="40"/>
  <c r="E17"/>
  <c r="D17"/>
  <c r="C17"/>
  <c r="C53"/>
  <c r="C51"/>
  <c r="C50"/>
  <c r="C49"/>
  <c r="F19" l="1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5"/>
  <c r="F49"/>
  <c r="F50"/>
  <c r="F53"/>
  <c r="E20"/>
  <c r="E22"/>
  <c r="E24"/>
  <c r="E26"/>
  <c r="E28"/>
  <c r="E30"/>
  <c r="E32"/>
  <c r="E34"/>
  <c r="E36"/>
  <c r="E38"/>
  <c r="E40"/>
  <c r="E42"/>
  <c r="E45"/>
  <c r="E50"/>
  <c r="E51"/>
  <c r="E53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5"/>
  <c r="C48"/>
  <c r="C52"/>
  <c r="E19"/>
  <c r="E21"/>
  <c r="E23"/>
  <c r="E25"/>
  <c r="E27"/>
  <c r="E29"/>
  <c r="E31"/>
  <c r="E33"/>
  <c r="E35"/>
  <c r="E37"/>
  <c r="E39"/>
  <c r="E41"/>
  <c r="E43"/>
  <c r="D48"/>
  <c r="D49"/>
  <c r="D50"/>
  <c r="D51"/>
  <c r="D52"/>
  <c r="D53"/>
  <c r="E48"/>
  <c r="E49"/>
  <c r="E52"/>
  <c r="C47"/>
  <c r="E47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5"/>
  <c r="F48"/>
  <c r="F51"/>
  <c r="F52"/>
  <c r="C5" i="38"/>
  <c r="C4" s="1"/>
  <c r="D47" i="40"/>
  <c r="D46" i="38"/>
  <c r="D5"/>
  <c r="F47" i="40"/>
  <c r="F4" i="38"/>
  <c r="F16" i="40"/>
  <c r="E16"/>
  <c r="D16"/>
  <c r="C16"/>
  <c r="F15"/>
  <c r="E15"/>
  <c r="D15"/>
  <c r="C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7"/>
  <c r="E7"/>
  <c r="D7"/>
  <c r="C7"/>
  <c r="F6"/>
  <c r="E6"/>
  <c r="D6"/>
  <c r="C5" i="37"/>
  <c r="C46"/>
  <c r="F46"/>
  <c r="E46"/>
  <c r="D46"/>
  <c r="F5"/>
  <c r="C46" i="40" l="1"/>
  <c r="E5" i="37"/>
  <c r="E46" i="40"/>
  <c r="D4" i="38"/>
  <c r="D46" i="40"/>
  <c r="F5"/>
  <c r="D5"/>
  <c r="F46"/>
  <c r="E5"/>
  <c r="C6"/>
  <c r="C5" s="1"/>
  <c r="F4" i="37"/>
  <c r="E4"/>
  <c r="D5"/>
  <c r="D4" s="1"/>
  <c r="C4"/>
  <c r="C4" i="40" l="1"/>
  <c r="D4"/>
  <c r="E4"/>
  <c r="F4"/>
  <c r="A4" i="15"/>
  <c r="D57"/>
  <c r="G57"/>
  <c r="E57"/>
  <c r="B21"/>
  <c r="B57"/>
  <c r="G57" i="16" l="1"/>
  <c r="E57"/>
  <c r="D57"/>
  <c r="B21"/>
  <c r="B57"/>
  <c r="A4" i="13"/>
  <c r="A4" i="10"/>
  <c r="A4" i="9"/>
  <c r="I58" i="10"/>
  <c r="D57" i="13"/>
  <c r="B58" i="10"/>
  <c r="E57" i="13"/>
  <c r="L58" i="10"/>
  <c r="E58"/>
  <c r="H58"/>
  <c r="K58"/>
  <c r="C58"/>
  <c r="G57" i="13"/>
  <c r="F58" i="10"/>
  <c r="B57" i="13"/>
  <c r="G57" i="14" l="1"/>
  <c r="E57"/>
  <c r="D57"/>
  <c r="B57"/>
  <c r="L58" i="12"/>
  <c r="K58"/>
  <c r="I58"/>
  <c r="H58"/>
  <c r="F58"/>
  <c r="E58"/>
  <c r="C58"/>
  <c r="B58"/>
  <c r="D46" i="8"/>
  <c r="D46" i="7"/>
  <c r="E5" i="8"/>
  <c r="F46"/>
  <c r="E46"/>
  <c r="F46" i="7"/>
  <c r="E46"/>
  <c r="C46" i="8" l="1"/>
  <c r="F5"/>
  <c r="F4" s="1"/>
  <c r="D5"/>
  <c r="C5"/>
  <c r="E4"/>
  <c r="C46" i="7"/>
  <c r="D5"/>
  <c r="C5"/>
  <c r="E5"/>
  <c r="F5"/>
  <c r="E4" l="1"/>
  <c r="C4"/>
  <c r="C4" i="8"/>
  <c r="D4"/>
  <c r="D4" i="7"/>
  <c r="F4"/>
  <c r="E47" i="5" l="1"/>
  <c r="E49"/>
  <c r="C51"/>
  <c r="E52"/>
  <c r="C7"/>
  <c r="C8"/>
  <c r="E9"/>
  <c r="E10"/>
  <c r="C12"/>
  <c r="C14"/>
  <c r="E15"/>
  <c r="E16"/>
  <c r="C19"/>
  <c r="E20"/>
  <c r="C22"/>
  <c r="E23"/>
  <c r="E25"/>
  <c r="C27"/>
  <c r="E28"/>
  <c r="C30"/>
  <c r="C31"/>
  <c r="C32"/>
  <c r="E33"/>
  <c r="C35"/>
  <c r="E36"/>
  <c r="C38"/>
  <c r="C39"/>
  <c r="E40"/>
  <c r="C42"/>
  <c r="E42"/>
  <c r="E43"/>
  <c r="E44"/>
  <c r="E45"/>
  <c r="C47"/>
  <c r="E48"/>
  <c r="C50"/>
  <c r="E51"/>
  <c r="C53"/>
  <c r="E7"/>
  <c r="C9"/>
  <c r="C11"/>
  <c r="C13"/>
  <c r="E14"/>
  <c r="C16"/>
  <c r="E18"/>
  <c r="C20"/>
  <c r="E21"/>
  <c r="C23"/>
  <c r="E24"/>
  <c r="C26"/>
  <c r="E27"/>
  <c r="C29"/>
  <c r="E30"/>
  <c r="C33"/>
  <c r="E34"/>
  <c r="C36"/>
  <c r="E37"/>
  <c r="E38"/>
  <c r="E39"/>
  <c r="C41"/>
  <c r="E41"/>
  <c r="C43"/>
  <c r="C44"/>
  <c r="C45"/>
  <c r="D47"/>
  <c r="F47"/>
  <c r="D48"/>
  <c r="F48"/>
  <c r="D49"/>
  <c r="F49"/>
  <c r="D50"/>
  <c r="F50"/>
  <c r="D51"/>
  <c r="F51"/>
  <c r="D52"/>
  <c r="F52"/>
  <c r="D53"/>
  <c r="F53"/>
  <c r="D7"/>
  <c r="F7"/>
  <c r="D8"/>
  <c r="F8"/>
  <c r="D9"/>
  <c r="F9"/>
  <c r="D10"/>
  <c r="F10"/>
  <c r="D11"/>
  <c r="F11"/>
  <c r="D12"/>
  <c r="F12"/>
  <c r="D13"/>
  <c r="F13"/>
  <c r="D14"/>
  <c r="F14"/>
  <c r="D15"/>
  <c r="F15"/>
  <c r="D16"/>
  <c r="F16"/>
  <c r="D18"/>
  <c r="F18"/>
  <c r="D19"/>
  <c r="F19"/>
  <c r="D20"/>
  <c r="F20"/>
  <c r="D21"/>
  <c r="F21"/>
  <c r="D22"/>
  <c r="F22"/>
  <c r="D23"/>
  <c r="F23"/>
  <c r="D24"/>
  <c r="F24"/>
  <c r="D25"/>
  <c r="F25"/>
  <c r="D26"/>
  <c r="F26"/>
  <c r="D27"/>
  <c r="F27"/>
  <c r="D28"/>
  <c r="F28"/>
  <c r="D29"/>
  <c r="F29"/>
  <c r="D30"/>
  <c r="F30"/>
  <c r="D31"/>
  <c r="F31"/>
  <c r="D32"/>
  <c r="F32"/>
  <c r="D33"/>
  <c r="F33"/>
  <c r="D34"/>
  <c r="F34"/>
  <c r="D35"/>
  <c r="F35"/>
  <c r="D36"/>
  <c r="F36"/>
  <c r="D37"/>
  <c r="F37"/>
  <c r="D38"/>
  <c r="F38"/>
  <c r="D39"/>
  <c r="F39"/>
  <c r="D40"/>
  <c r="F40"/>
  <c r="D41"/>
  <c r="F41"/>
  <c r="D42"/>
  <c r="F42"/>
  <c r="D43"/>
  <c r="F43"/>
  <c r="D44"/>
  <c r="F44"/>
  <c r="D45"/>
  <c r="F45"/>
  <c r="C48"/>
  <c r="C49"/>
  <c r="E50"/>
  <c r="C52"/>
  <c r="E53"/>
  <c r="E8"/>
  <c r="C10"/>
  <c r="E11"/>
  <c r="E12"/>
  <c r="E13"/>
  <c r="C15"/>
  <c r="C18"/>
  <c r="E19"/>
  <c r="C21"/>
  <c r="E22"/>
  <c r="C24"/>
  <c r="C25"/>
  <c r="E26"/>
  <c r="C28"/>
  <c r="E29"/>
  <c r="E31"/>
  <c r="E32"/>
  <c r="C34"/>
  <c r="E35"/>
  <c r="C37"/>
  <c r="C40"/>
  <c r="G57" i="9"/>
  <c r="E57"/>
  <c r="D57"/>
  <c r="B57"/>
  <c r="E57" i="11" l="1"/>
  <c r="G57"/>
  <c r="B57"/>
  <c r="D57"/>
  <c r="F6" i="5"/>
  <c r="F5" s="1"/>
  <c r="D6"/>
  <c r="E6"/>
  <c r="E5" s="1"/>
  <c r="C6"/>
  <c r="C5" s="1"/>
  <c r="D6" i="6"/>
  <c r="E6"/>
  <c r="F6"/>
  <c r="G6"/>
  <c r="H6"/>
  <c r="I6"/>
  <c r="J6"/>
  <c r="C6"/>
  <c r="D47"/>
  <c r="E47"/>
  <c r="F47"/>
  <c r="G47"/>
  <c r="H47"/>
  <c r="I47"/>
  <c r="J47"/>
  <c r="C47"/>
  <c r="D46" i="5"/>
  <c r="E46"/>
  <c r="F46"/>
  <c r="C46"/>
  <c r="F4" l="1"/>
  <c r="E4"/>
  <c r="D5"/>
  <c r="D4" s="1"/>
  <c r="E5" i="6"/>
  <c r="H5"/>
  <c r="D5"/>
  <c r="C5"/>
  <c r="G5"/>
  <c r="I5"/>
  <c r="J5"/>
  <c r="F5"/>
  <c r="C4" i="5"/>
  <c r="C51" i="10"/>
  <c r="K10"/>
  <c r="I10"/>
  <c r="B15" i="13"/>
  <c r="B38" i="9"/>
  <c r="D41"/>
  <c r="B42" i="13"/>
  <c r="B47"/>
  <c r="L57" i="10"/>
  <c r="L45"/>
  <c r="D56" i="13"/>
  <c r="K19" i="10"/>
  <c r="E32"/>
  <c r="D37" i="9"/>
  <c r="C14" i="10"/>
  <c r="G23" i="9"/>
  <c r="H16" i="10"/>
  <c r="B53"/>
  <c r="I18"/>
  <c r="B28"/>
  <c r="G41" i="13"/>
  <c r="C55" i="10"/>
  <c r="D18" i="15"/>
  <c r="G20" i="9"/>
  <c r="D17" i="13"/>
  <c r="D42" i="15"/>
  <c r="D20" i="9"/>
  <c r="L51" i="10"/>
  <c r="I41"/>
  <c r="D22" i="9"/>
  <c r="E25"/>
  <c r="B48" i="10"/>
  <c r="B55"/>
  <c r="B54" i="9"/>
  <c r="G50" i="15"/>
  <c r="B8" i="13"/>
  <c r="E53" i="15"/>
  <c r="E13" i="13"/>
  <c r="E40" i="15"/>
  <c r="B32" i="13"/>
  <c r="B9" i="9"/>
  <c r="G8" i="15"/>
  <c r="E34" i="9"/>
  <c r="D53"/>
  <c r="G46" i="13"/>
  <c r="G27" i="15"/>
  <c r="C49" i="10"/>
  <c r="G42" i="13"/>
  <c r="C57" i="10"/>
  <c r="D40" i="15"/>
  <c r="G12" i="13"/>
  <c r="H25" i="10"/>
  <c r="D51" i="13"/>
  <c r="L53" i="10"/>
  <c r="D10" i="13"/>
  <c r="D48" i="9"/>
  <c r="G23" i="15"/>
  <c r="B49" i="9"/>
  <c r="B42" i="10"/>
  <c r="F10"/>
  <c r="D26" i="9"/>
  <c r="F27" i="10"/>
  <c r="B23" i="9"/>
  <c r="G26" i="13"/>
  <c r="G39"/>
  <c r="D35" i="9"/>
  <c r="D21" i="15"/>
  <c r="E11" i="9"/>
  <c r="E38" i="15"/>
  <c r="D31" i="9"/>
  <c r="E35" i="10"/>
  <c r="G18" i="9"/>
  <c r="B33"/>
  <c r="B49" i="15"/>
  <c r="H14" i="10"/>
  <c r="E56" i="9"/>
  <c r="D25" i="15"/>
  <c r="E27" i="10"/>
  <c r="G42" i="15"/>
  <c r="B14" i="10"/>
  <c r="G15" i="13"/>
  <c r="G44" i="15"/>
  <c r="L22" i="10"/>
  <c r="B12" i="9"/>
  <c r="E40" i="10"/>
  <c r="B22" i="13"/>
  <c r="E42" i="15"/>
  <c r="B31" i="9"/>
  <c r="B39" i="10"/>
  <c r="D36" i="13"/>
  <c r="B45" i="9"/>
  <c r="K42" i="10"/>
  <c r="G38" i="13"/>
  <c r="E47" i="9"/>
  <c r="B11" i="15"/>
  <c r="D46" i="9"/>
  <c r="B51" i="15"/>
  <c r="D9" i="9"/>
  <c r="B40" i="10"/>
  <c r="E53" i="9"/>
  <c r="H41" i="10"/>
  <c r="L13"/>
  <c r="I36"/>
  <c r="E9" i="15"/>
  <c r="L32" i="10"/>
  <c r="G56" i="13"/>
  <c r="G25"/>
  <c r="D33"/>
  <c r="E43" i="9"/>
  <c r="H37" i="10"/>
  <c r="E37" i="9"/>
  <c r="E11" i="10"/>
  <c r="E55" i="9"/>
  <c r="E43" i="13"/>
  <c r="B49" i="10"/>
  <c r="H27"/>
  <c r="G32" i="15"/>
  <c r="D20"/>
  <c r="H11" i="10"/>
  <c r="D35" i="13"/>
  <c r="E24" i="10"/>
  <c r="L11"/>
  <c r="G24" i="9"/>
  <c r="B19" i="10"/>
  <c r="I44"/>
  <c r="B44"/>
  <c r="E32" i="13"/>
  <c r="G48" i="15"/>
  <c r="H32" i="10"/>
  <c r="B24" i="15"/>
  <c r="B55"/>
  <c r="F18" i="10"/>
  <c r="I23"/>
  <c r="G14" i="13"/>
  <c r="I17" i="10"/>
  <c r="F49"/>
  <c r="B44" i="13"/>
  <c r="E24"/>
  <c r="G8" i="9"/>
  <c r="K55" i="10"/>
  <c r="B26" i="13"/>
  <c r="B51"/>
  <c r="F15" i="10"/>
  <c r="C30"/>
  <c r="I28"/>
  <c r="D52" i="9"/>
  <c r="G29"/>
  <c r="B19" i="13"/>
  <c r="B15" i="15"/>
  <c r="B45" i="10"/>
  <c r="E52" i="13"/>
  <c r="I22" i="10"/>
  <c r="F28"/>
  <c r="G50" i="9"/>
  <c r="G34"/>
  <c r="H52" i="10"/>
  <c r="G15" i="9"/>
  <c r="D8" i="15"/>
  <c r="E36"/>
  <c r="K43" i="10"/>
  <c r="F48"/>
  <c r="E14" i="15"/>
  <c r="I15" i="10"/>
  <c r="G12" i="15"/>
  <c r="G45" i="9"/>
  <c r="D17" i="15"/>
  <c r="E45" i="9"/>
  <c r="F30" i="10"/>
  <c r="C34"/>
  <c r="B50"/>
  <c r="F39"/>
  <c r="G26" i="9"/>
  <c r="D45"/>
  <c r="G23" i="13"/>
  <c r="G17" i="15"/>
  <c r="B36" i="9"/>
  <c r="B24" i="10"/>
  <c r="B17" i="13"/>
  <c r="D44"/>
  <c r="E9"/>
  <c r="E10"/>
  <c r="L43" i="10"/>
  <c r="E18" i="13"/>
  <c r="G17" i="9"/>
  <c r="B19" i="15"/>
  <c r="E50"/>
  <c r="C19" i="10"/>
  <c r="G14" i="9"/>
  <c r="K29" i="10"/>
  <c r="L9"/>
  <c r="D55" i="13"/>
  <c r="B56" i="10"/>
  <c r="I12"/>
  <c r="L10"/>
  <c r="D16" i="15"/>
  <c r="E34"/>
  <c r="G16" i="13"/>
  <c r="H21" i="10"/>
  <c r="G19" i="15"/>
  <c r="B10" i="9"/>
  <c r="L34" i="10"/>
  <c r="B23"/>
  <c r="B26" i="15"/>
  <c r="I57" i="10"/>
  <c r="H55"/>
  <c r="K45"/>
  <c r="B37" i="9"/>
  <c r="D12" i="15"/>
  <c r="D18" i="9"/>
  <c r="B22" i="15"/>
  <c r="D32"/>
  <c r="B41"/>
  <c r="I39" i="10"/>
  <c r="B38" i="15"/>
  <c r="K20" i="10"/>
  <c r="G15" i="15"/>
  <c r="E55"/>
  <c r="E13"/>
  <c r="D39" i="9"/>
  <c r="L41" i="10"/>
  <c r="G30" i="15"/>
  <c r="B40" i="9"/>
  <c r="E20" i="13"/>
  <c r="L40" i="10"/>
  <c r="G55" i="13"/>
  <c r="K46" i="10"/>
  <c r="C17"/>
  <c r="D55" i="15"/>
  <c r="L24" i="10"/>
  <c r="D34" i="15"/>
  <c r="G22" i="13"/>
  <c r="B29" i="15"/>
  <c r="D11" i="13"/>
  <c r="E41" i="10"/>
  <c r="B21"/>
  <c r="B17" i="9"/>
  <c r="E49"/>
  <c r="D39" i="13"/>
  <c r="E23" i="9"/>
  <c r="D56"/>
  <c r="E36"/>
  <c r="E56" i="10"/>
  <c r="D29" i="15"/>
  <c r="E32" i="9"/>
  <c r="C21" i="10"/>
  <c r="E20"/>
  <c r="C46"/>
  <c r="I19"/>
  <c r="B46" i="15"/>
  <c r="F50" i="10"/>
  <c r="G36" i="9"/>
  <c r="E43" i="15"/>
  <c r="E37" i="10"/>
  <c r="D28" i="9"/>
  <c r="L28" i="10"/>
  <c r="B55" i="13"/>
  <c r="E33" i="15"/>
  <c r="D16" i="13"/>
  <c r="G38" i="15"/>
  <c r="B54" i="10"/>
  <c r="G55" i="9"/>
  <c r="B23" i="15"/>
  <c r="E50" i="13"/>
  <c r="B14" i="15"/>
  <c r="E17" i="13"/>
  <c r="E23" i="10"/>
  <c r="B34" i="15"/>
  <c r="L54" i="10"/>
  <c r="H17"/>
  <c r="D38" i="15"/>
  <c r="D46" i="13"/>
  <c r="E16"/>
  <c r="G37" i="15"/>
  <c r="B30" i="9"/>
  <c r="E13" i="10"/>
  <c r="B52"/>
  <c r="C10"/>
  <c r="G45" i="15"/>
  <c r="E53" i="13"/>
  <c r="E25" i="15"/>
  <c r="D48" i="13"/>
  <c r="D22" i="15"/>
  <c r="D32" i="9"/>
  <c r="D30"/>
  <c r="E46" i="13"/>
  <c r="G51" i="9"/>
  <c r="G40" i="15"/>
  <c r="I53" i="10"/>
  <c r="B43" i="9"/>
  <c r="E23" i="13"/>
  <c r="D31"/>
  <c r="E33" i="10"/>
  <c r="G32" i="13"/>
  <c r="B52" i="9"/>
  <c r="F16" i="10"/>
  <c r="B34"/>
  <c r="H31"/>
  <c r="D28" i="15"/>
  <c r="F33" i="10"/>
  <c r="D37" i="13"/>
  <c r="G21"/>
  <c r="E27" i="15"/>
  <c r="D43"/>
  <c r="I42" i="10"/>
  <c r="G29" i="13"/>
  <c r="I33" i="10"/>
  <c r="L12"/>
  <c r="G31" i="15"/>
  <c r="B25" i="10"/>
  <c r="E10"/>
  <c r="G48" i="13"/>
  <c r="L52" i="10"/>
  <c r="G40" i="9"/>
  <c r="B11"/>
  <c r="F42" i="10"/>
  <c r="G46" i="15"/>
  <c r="G19" i="9"/>
  <c r="G55" i="15"/>
  <c r="G33"/>
  <c r="B25" i="13"/>
  <c r="G31"/>
  <c r="B38" i="10"/>
  <c r="B50" i="9"/>
  <c r="K50" i="10"/>
  <c r="D50" i="13"/>
  <c r="G26" i="15"/>
  <c r="D51"/>
  <c r="I30" i="10"/>
  <c r="C15"/>
  <c r="G12" i="9"/>
  <c r="C39" i="10"/>
  <c r="B51" i="9"/>
  <c r="B54" i="15"/>
  <c r="E40" i="13"/>
  <c r="K18" i="10"/>
  <c r="B30" i="15"/>
  <c r="I11" i="10"/>
  <c r="G24" i="15"/>
  <c r="G54" i="13"/>
  <c r="D24"/>
  <c r="B56" i="9"/>
  <c r="B56" i="13"/>
  <c r="B30"/>
  <c r="D27" i="9"/>
  <c r="B17" i="10"/>
  <c r="E18"/>
  <c r="E38" i="9"/>
  <c r="E30" i="13"/>
  <c r="D9" i="15"/>
  <c r="E38" i="13"/>
  <c r="B30" i="10"/>
  <c r="G35" i="15"/>
  <c r="L26" i="10"/>
  <c r="D34" i="9"/>
  <c r="G27"/>
  <c r="C32" i="10"/>
  <c r="I25"/>
  <c r="I26"/>
  <c r="E50"/>
  <c r="G20" i="15"/>
  <c r="G45" i="13"/>
  <c r="F22" i="10"/>
  <c r="C9"/>
  <c r="B42" i="15"/>
  <c r="E45"/>
  <c r="G41" i="9"/>
  <c r="B47"/>
  <c r="E35" i="15"/>
  <c r="D15"/>
  <c r="C54" i="10"/>
  <c r="B12"/>
  <c r="K13"/>
  <c r="G30" i="13"/>
  <c r="G44" i="9"/>
  <c r="I24" i="10"/>
  <c r="I27"/>
  <c r="E12" i="15"/>
  <c r="H15" i="10"/>
  <c r="E28" i="15"/>
  <c r="D28" i="13"/>
  <c r="B35" i="10"/>
  <c r="C42"/>
  <c r="H18"/>
  <c r="B32" i="9"/>
  <c r="F24" i="10"/>
  <c r="B23" i="13"/>
  <c r="E55"/>
  <c r="D20"/>
  <c r="K27" i="10"/>
  <c r="B10" i="15"/>
  <c r="B28"/>
  <c r="L35" i="10"/>
  <c r="H56"/>
  <c r="L16"/>
  <c r="B47" i="15"/>
  <c r="D52"/>
  <c r="C29" i="10"/>
  <c r="G41" i="15"/>
  <c r="E52" i="9"/>
  <c r="D39" i="15"/>
  <c r="E36" i="10"/>
  <c r="K9"/>
  <c r="C26"/>
  <c r="E21" i="9"/>
  <c r="H19" i="10"/>
  <c r="E51"/>
  <c r="E17" i="15"/>
  <c r="B21" i="13"/>
  <c r="D49" i="9"/>
  <c r="I38" i="10"/>
  <c r="L37"/>
  <c r="H49"/>
  <c r="G46" i="9"/>
  <c r="E12"/>
  <c r="G10"/>
  <c r="G11" i="15"/>
  <c r="B21" i="9"/>
  <c r="E31"/>
  <c r="E44" i="15"/>
  <c r="K30" i="10"/>
  <c r="E32" i="15"/>
  <c r="C44" i="10"/>
  <c r="B24" i="13"/>
  <c r="B29"/>
  <c r="B28" i="9"/>
  <c r="E11" i="13"/>
  <c r="G29" i="15"/>
  <c r="E46"/>
  <c r="E54" i="13"/>
  <c r="B14" i="9"/>
  <c r="D33" i="15"/>
  <c r="K11" i="10"/>
  <c r="E56" i="13"/>
  <c r="G11"/>
  <c r="K52" i="10"/>
  <c r="D42" i="9"/>
  <c r="B32" i="15"/>
  <c r="C43" i="10"/>
  <c r="B53" i="9"/>
  <c r="D41" i="15"/>
  <c r="G16"/>
  <c r="E8" i="9"/>
  <c r="E26" i="13"/>
  <c r="G54" i="9"/>
  <c r="C28" i="10"/>
  <c r="D44" i="15"/>
  <c r="G52"/>
  <c r="G39" i="9"/>
  <c r="E31" i="13"/>
  <c r="G25" i="9"/>
  <c r="K44" i="10"/>
  <c r="B39" i="15"/>
  <c r="I43" i="10"/>
  <c r="H12"/>
  <c r="H20"/>
  <c r="D54" i="13"/>
  <c r="B41"/>
  <c r="E44" i="10"/>
  <c r="D46" i="15"/>
  <c r="B12" i="13"/>
  <c r="D16" i="9"/>
  <c r="E48"/>
  <c r="D29" i="13"/>
  <c r="E40" i="9"/>
  <c r="L46" i="10"/>
  <c r="C53"/>
  <c r="F25"/>
  <c r="G37" i="13"/>
  <c r="D19" i="15"/>
  <c r="D14"/>
  <c r="B11" i="10"/>
  <c r="E47" i="13"/>
  <c r="E33"/>
  <c r="B46" i="9"/>
  <c r="B53" i="13"/>
  <c r="B36" i="10"/>
  <c r="L50"/>
  <c r="L44"/>
  <c r="B19" i="9"/>
  <c r="C37" i="10"/>
  <c r="G37" i="9"/>
  <c r="I37" i="10"/>
  <c r="H34"/>
  <c r="K53"/>
  <c r="L23"/>
  <c r="G34" i="15"/>
  <c r="B41" i="10"/>
  <c r="D13" i="13"/>
  <c r="B44" i="9"/>
  <c r="B32" i="10"/>
  <c r="H39"/>
  <c r="B36" i="15"/>
  <c r="D36" i="9"/>
  <c r="K22" i="10"/>
  <c r="E52" i="15"/>
  <c r="B25"/>
  <c r="L17" i="10"/>
  <c r="B47"/>
  <c r="L38"/>
  <c r="D47" i="9"/>
  <c r="I31" i="10"/>
  <c r="E21" i="13"/>
  <c r="G16" i="9"/>
  <c r="B43" i="13"/>
  <c r="G53" i="9"/>
  <c r="B28" i="13"/>
  <c r="G13" i="9"/>
  <c r="E10"/>
  <c r="D22" i="13"/>
  <c r="G50"/>
  <c r="I55" i="10"/>
  <c r="D52" i="13"/>
  <c r="E22" i="15"/>
  <c r="H43" i="10"/>
  <c r="G24" i="13"/>
  <c r="G49" i="9"/>
  <c r="D45" i="15"/>
  <c r="E16" i="10"/>
  <c r="E12"/>
  <c r="L27"/>
  <c r="G47" i="13"/>
  <c r="D12" i="9"/>
  <c r="E24"/>
  <c r="E23" i="15"/>
  <c r="B51" i="10"/>
  <c r="E16" i="15"/>
  <c r="G18" i="13"/>
  <c r="L42" i="10"/>
  <c r="G36" i="13"/>
  <c r="E51" i="15"/>
  <c r="K37" i="10"/>
  <c r="G43" i="9"/>
  <c r="C35" i="10"/>
  <c r="E31" i="15"/>
  <c r="B10" i="13"/>
  <c r="E22" i="10"/>
  <c r="D27" i="13"/>
  <c r="G49" i="15"/>
  <c r="B18"/>
  <c r="K56" i="10"/>
  <c r="E41" i="15"/>
  <c r="D19" i="9"/>
  <c r="G35"/>
  <c r="I16" i="10"/>
  <c r="G54" i="15"/>
  <c r="G28" i="9"/>
  <c r="B17" i="15"/>
  <c r="K23" i="10"/>
  <c r="H48"/>
  <c r="D24" i="15"/>
  <c r="B31"/>
  <c r="D14" i="13"/>
  <c r="D12"/>
  <c r="B15" i="10"/>
  <c r="B29" i="9"/>
  <c r="B52" i="15"/>
  <c r="E22" i="9"/>
  <c r="D38" i="13"/>
  <c r="F47" i="10"/>
  <c r="H40"/>
  <c r="B35" i="15"/>
  <c r="F31" i="10"/>
  <c r="L14"/>
  <c r="F37"/>
  <c r="D34" i="13"/>
  <c r="G34"/>
  <c r="E45" i="10"/>
  <c r="B35" i="13"/>
  <c r="H51" i="10"/>
  <c r="C12"/>
  <c r="B12" i="15"/>
  <c r="E11"/>
  <c r="E47"/>
  <c r="G48" i="9"/>
  <c r="E28"/>
  <c r="H9" i="10"/>
  <c r="D41" i="13"/>
  <c r="I14" i="10"/>
  <c r="K16"/>
  <c r="D15" i="13"/>
  <c r="E54" i="9"/>
  <c r="B31" i="10"/>
  <c r="E46" i="9"/>
  <c r="H10" i="10"/>
  <c r="K34"/>
  <c r="B20" i="15"/>
  <c r="D49" i="13"/>
  <c r="B18" i="10"/>
  <c r="D48" i="15"/>
  <c r="B20" i="9"/>
  <c r="H47" i="10"/>
  <c r="K24"/>
  <c r="D13" i="15"/>
  <c r="B48"/>
  <c r="E46" i="10"/>
  <c r="B37" i="15"/>
  <c r="D24" i="9"/>
  <c r="D23" i="13"/>
  <c r="F20" i="10"/>
  <c r="K32"/>
  <c r="F11"/>
  <c r="G52" i="13"/>
  <c r="L39" i="10"/>
  <c r="B42" i="9"/>
  <c r="D13"/>
  <c r="C48" i="10"/>
  <c r="D8" i="9"/>
  <c r="K21" i="10"/>
  <c r="E57"/>
  <c r="F52"/>
  <c r="E12" i="13"/>
  <c r="D42"/>
  <c r="E34" i="10"/>
  <c r="E42" i="13"/>
  <c r="C24" i="10"/>
  <c r="E50" i="9"/>
  <c r="C13" i="10"/>
  <c r="E42"/>
  <c r="F26"/>
  <c r="B26"/>
  <c r="G49" i="13"/>
  <c r="H30" i="10"/>
  <c r="B52" i="13"/>
  <c r="B27" i="9"/>
  <c r="D33"/>
  <c r="D38"/>
  <c r="F19" i="10"/>
  <c r="B37" i="13"/>
  <c r="I32" i="10"/>
  <c r="E13" i="9"/>
  <c r="G33"/>
  <c r="L48" i="10"/>
  <c r="L55"/>
  <c r="D43" i="13"/>
  <c r="D54" i="9"/>
  <c r="D31" i="15"/>
  <c r="K31" i="10"/>
  <c r="K14"/>
  <c r="E53"/>
  <c r="G43" i="13"/>
  <c r="B20"/>
  <c r="D40" i="9"/>
  <c r="E28" i="10"/>
  <c r="E25" i="13"/>
  <c r="E26" i="15"/>
  <c r="E29"/>
  <c r="E28" i="13"/>
  <c r="E30" i="15"/>
  <c r="E39" i="10"/>
  <c r="G31" i="9"/>
  <c r="B43" i="15"/>
  <c r="E19" i="13"/>
  <c r="F43" i="10"/>
  <c r="D17" i="9"/>
  <c r="H45" i="10"/>
  <c r="E18" i="9"/>
  <c r="E15"/>
  <c r="I49" i="10"/>
  <c r="D18" i="13"/>
  <c r="E9" i="9"/>
  <c r="C27" i="10"/>
  <c r="E36" i="13"/>
  <c r="E42" i="9"/>
  <c r="G14" i="15"/>
  <c r="D11" i="9"/>
  <c r="F9" i="10"/>
  <c r="L21"/>
  <c r="B9"/>
  <c r="G53" i="15"/>
  <c r="D25" i="9"/>
  <c r="D10" i="15"/>
  <c r="B53"/>
  <c r="G22"/>
  <c r="E20" i="9"/>
  <c r="E48" i="10"/>
  <c r="I50"/>
  <c r="D37" i="15"/>
  <c r="B13" i="10"/>
  <c r="I54"/>
  <c r="F54"/>
  <c r="G21" i="9"/>
  <c r="E14"/>
  <c r="B38" i="13"/>
  <c r="B9" i="15"/>
  <c r="F23" i="10"/>
  <c r="I21"/>
  <c r="K17"/>
  <c r="F53"/>
  <c r="F29"/>
  <c r="B40" i="13"/>
  <c r="B18"/>
  <c r="L15" i="10"/>
  <c r="F17"/>
  <c r="B45" i="13"/>
  <c r="E30" i="10"/>
  <c r="F41"/>
  <c r="B48" i="13"/>
  <c r="D49" i="15"/>
  <c r="B55" i="9"/>
  <c r="H28" i="10"/>
  <c r="B35" i="9"/>
  <c r="L20" i="10"/>
  <c r="C52"/>
  <c r="E48" i="13"/>
  <c r="H38" i="10"/>
  <c r="B8" i="9"/>
  <c r="D47" i="13"/>
  <c r="D23" i="15"/>
  <c r="D44" i="9"/>
  <c r="B16" i="15"/>
  <c r="E14" i="10"/>
  <c r="B11" i="13"/>
  <c r="F45" i="10"/>
  <c r="D47" i="15"/>
  <c r="E38" i="10"/>
  <c r="H29"/>
  <c r="G47" i="9"/>
  <c r="D11" i="15"/>
  <c r="F14" i="10"/>
  <c r="D8" i="13"/>
  <c r="G17"/>
  <c r="G28" i="15"/>
  <c r="B27" i="10"/>
  <c r="E54"/>
  <c r="D9" i="13"/>
  <c r="F55" i="10"/>
  <c r="F44"/>
  <c r="B27" i="15"/>
  <c r="E55" i="10"/>
  <c r="B50" i="13"/>
  <c r="E17" i="9"/>
  <c r="B39"/>
  <c r="L56" i="10"/>
  <c r="G9" i="15"/>
  <c r="L33" i="10"/>
  <c r="B16"/>
  <c r="B57"/>
  <c r="D26" i="15"/>
  <c r="C33" i="10"/>
  <c r="E21"/>
  <c r="G27" i="13"/>
  <c r="K28" i="10"/>
  <c r="G8" i="13"/>
  <c r="E43" i="10"/>
  <c r="C45"/>
  <c r="E19"/>
  <c r="I34"/>
  <c r="G35" i="13"/>
  <c r="K36" i="10"/>
  <c r="D26" i="13"/>
  <c r="D50" i="15"/>
  <c r="B36" i="13"/>
  <c r="K35" i="10"/>
  <c r="K57"/>
  <c r="L49"/>
  <c r="G44" i="13"/>
  <c r="D25"/>
  <c r="E48" i="15"/>
  <c r="E29" i="9"/>
  <c r="E54" i="15"/>
  <c r="E37" i="13"/>
  <c r="L19" i="10"/>
  <c r="B44" i="15"/>
  <c r="B45"/>
  <c r="D55" i="9"/>
  <c r="B37" i="10"/>
  <c r="B10"/>
  <c r="H54"/>
  <c r="G38" i="9"/>
  <c r="E18" i="15"/>
  <c r="E41" i="9"/>
  <c r="E39" i="15"/>
  <c r="F46" i="10"/>
  <c r="D56" i="15"/>
  <c r="B49" i="13"/>
  <c r="E33" i="9"/>
  <c r="K25" i="10"/>
  <c r="E25"/>
  <c r="D36" i="15"/>
  <c r="H53" i="10"/>
  <c r="I29"/>
  <c r="I51"/>
  <c r="E39" i="9"/>
  <c r="L18" i="10"/>
  <c r="L36"/>
  <c r="K39"/>
  <c r="D43" i="9"/>
  <c r="F38" i="10"/>
  <c r="E49" i="15"/>
  <c r="I13" i="10"/>
  <c r="C47"/>
  <c r="K47"/>
  <c r="F56"/>
  <c r="D50" i="9"/>
  <c r="I48" i="10"/>
  <c r="B34" i="9"/>
  <c r="G51" i="13"/>
  <c r="D40"/>
  <c r="E20" i="15"/>
  <c r="H50" i="10"/>
  <c r="D53" i="15"/>
  <c r="G13"/>
  <c r="K26" i="10"/>
  <c r="G18" i="15"/>
  <c r="D54"/>
  <c r="E51" i="9"/>
  <c r="B43" i="10"/>
  <c r="I46"/>
  <c r="G20" i="13"/>
  <c r="E51"/>
  <c r="E52" i="10"/>
  <c r="H33"/>
  <c r="G10" i="15"/>
  <c r="L31" i="10"/>
  <c r="H42"/>
  <c r="H35"/>
  <c r="B33" i="15"/>
  <c r="B16" i="9"/>
  <c r="D10"/>
  <c r="D21" i="13"/>
  <c r="E19" i="15"/>
  <c r="C25" i="10"/>
  <c r="E15" i="13"/>
  <c r="C40" i="10"/>
  <c r="B33" i="13"/>
  <c r="C20" i="10"/>
  <c r="K41"/>
  <c r="F57"/>
  <c r="C11"/>
  <c r="E24" i="15"/>
  <c r="E8" i="13"/>
  <c r="B24" i="9"/>
  <c r="G33" i="13"/>
  <c r="E31" i="10"/>
  <c r="G32" i="9"/>
  <c r="E39" i="13"/>
  <c r="D19"/>
  <c r="H57" i="10"/>
  <c r="D30" i="15"/>
  <c r="I20" i="10"/>
  <c r="E26" i="9"/>
  <c r="G30"/>
  <c r="E47" i="10"/>
  <c r="E44" i="13"/>
  <c r="B40" i="15"/>
  <c r="D27"/>
  <c r="G56"/>
  <c r="D30" i="13"/>
  <c r="K51" i="10"/>
  <c r="B15" i="9"/>
  <c r="E26" i="10"/>
  <c r="E44" i="9"/>
  <c r="K38" i="10"/>
  <c r="E27" i="9"/>
  <c r="B22"/>
  <c r="C56" i="10"/>
  <c r="B34" i="13"/>
  <c r="G36" i="15"/>
  <c r="C18" i="10"/>
  <c r="F12"/>
  <c r="K40"/>
  <c r="E10" i="15"/>
  <c r="G9" i="9"/>
  <c r="G28" i="13"/>
  <c r="G11" i="9"/>
  <c r="E9" i="10"/>
  <c r="G10" i="13"/>
  <c r="B27"/>
  <c r="E16" i="9"/>
  <c r="B20" i="10"/>
  <c r="H22"/>
  <c r="E14" i="13"/>
  <c r="C31" i="10"/>
  <c r="F35"/>
  <c r="G39" i="15"/>
  <c r="B25" i="9"/>
  <c r="G21" i="15"/>
  <c r="K54" i="10"/>
  <c r="E49" i="13"/>
  <c r="I47" i="10"/>
  <c r="B54" i="13"/>
  <c r="G19"/>
  <c r="B39"/>
  <c r="C41" i="10"/>
  <c r="B18" i="9"/>
  <c r="C36" i="10"/>
  <c r="F21"/>
  <c r="L25"/>
  <c r="D21" i="9"/>
  <c r="B50" i="15"/>
  <c r="D15" i="9"/>
  <c r="G25" i="15"/>
  <c r="K49" i="10"/>
  <c r="D29" i="9"/>
  <c r="B29" i="10"/>
  <c r="D51" i="9"/>
  <c r="G53" i="13"/>
  <c r="C22" i="10"/>
  <c r="E17"/>
  <c r="D45" i="13"/>
  <c r="K48" i="10"/>
  <c r="G47" i="15"/>
  <c r="B9" i="13"/>
  <c r="H13" i="10"/>
  <c r="G40" i="13"/>
  <c r="E37" i="15"/>
  <c r="B13" i="9"/>
  <c r="E8" i="15"/>
  <c r="G51"/>
  <c r="I40" i="10"/>
  <c r="I9"/>
  <c r="F32"/>
  <c r="E41" i="13"/>
  <c r="B22" i="10"/>
  <c r="B13" i="15"/>
  <c r="E15" i="10"/>
  <c r="E27" i="13"/>
  <c r="E49" i="10"/>
  <c r="C38"/>
  <c r="H36"/>
  <c r="H26"/>
  <c r="B48" i="9"/>
  <c r="E45" i="13"/>
  <c r="D53"/>
  <c r="E56" i="15"/>
  <c r="B56"/>
  <c r="B26" i="9"/>
  <c r="E15" i="15"/>
  <c r="D32" i="13"/>
  <c r="G13"/>
  <c r="B33" i="10"/>
  <c r="I56"/>
  <c r="D23" i="9"/>
  <c r="L29" i="10"/>
  <c r="E29" i="13"/>
  <c r="B8" i="15"/>
  <c r="G42" i="9"/>
  <c r="E35" i="13"/>
  <c r="F34" i="10"/>
  <c r="B46"/>
  <c r="I52"/>
  <c r="B41" i="9"/>
  <c r="D14"/>
  <c r="E22" i="13"/>
  <c r="G56" i="9"/>
  <c r="K15" i="10"/>
  <c r="H46"/>
  <c r="I45"/>
  <c r="D35" i="15"/>
  <c r="E30" i="9"/>
  <c r="F36" i="10"/>
  <c r="C23"/>
  <c r="E35" i="9"/>
  <c r="E19"/>
  <c r="E29" i="10"/>
  <c r="H23"/>
  <c r="F40"/>
  <c r="G22" i="9"/>
  <c r="B16" i="13"/>
  <c r="C50" i="10"/>
  <c r="C16"/>
  <c r="K12"/>
  <c r="B31" i="13"/>
  <c r="E21" i="15"/>
  <c r="I35" i="10"/>
  <c r="H44"/>
  <c r="G43" i="15"/>
  <c r="B46" i="13"/>
  <c r="H24" i="10"/>
  <c r="E34" i="13"/>
  <c r="K33" i="10"/>
  <c r="B14" i="13"/>
  <c r="L30" i="10"/>
  <c r="F51"/>
  <c r="F13"/>
  <c r="B13" i="13"/>
  <c r="L47" i="10"/>
  <c r="G9" i="13"/>
  <c r="G52" i="9"/>
  <c r="I15" i="12" l="1"/>
  <c r="E50" i="14"/>
  <c r="D34" i="11"/>
  <c r="K44" i="12"/>
  <c r="D14" i="14"/>
  <c r="D45" i="11"/>
  <c r="B43" i="16"/>
  <c r="D25"/>
  <c r="E47" i="14"/>
  <c r="H9" i="12"/>
  <c r="D46" i="11"/>
  <c r="B33" i="14"/>
  <c r="G53"/>
  <c r="B46"/>
  <c r="H39" i="12"/>
  <c r="D26" i="11"/>
  <c r="E14" i="16"/>
  <c r="B23"/>
  <c r="L26" i="12"/>
  <c r="G25" i="11"/>
  <c r="B31" i="16"/>
  <c r="D31" i="11"/>
  <c r="G31"/>
  <c r="E9" i="14"/>
  <c r="G44" i="16"/>
  <c r="K29" i="12"/>
  <c r="B45" i="16"/>
  <c r="C40" i="12"/>
  <c r="D51" i="11"/>
  <c r="G43" i="16"/>
  <c r="E33" i="12"/>
  <c r="F10"/>
  <c r="F48"/>
  <c r="G55" i="11"/>
  <c r="G35" i="16"/>
  <c r="E31" i="14"/>
  <c r="D24" i="16"/>
  <c r="E45"/>
  <c r="E39" i="12"/>
  <c r="B35" i="14"/>
  <c r="B19" i="16"/>
  <c r="B22" i="14"/>
  <c r="B20" i="16"/>
  <c r="E15" i="14"/>
  <c r="B29" i="12"/>
  <c r="H44"/>
  <c r="B10" i="16"/>
  <c r="B42" i="12"/>
  <c r="K43"/>
  <c r="B54"/>
  <c r="B30"/>
  <c r="G39" i="11"/>
  <c r="H48" i="12"/>
  <c r="D16" i="11"/>
  <c r="E30" i="16"/>
  <c r="F25" i="12"/>
  <c r="D9" i="14"/>
  <c r="B36" i="12"/>
  <c r="B18" i="14"/>
  <c r="C25" i="12"/>
  <c r="D29" i="11"/>
  <c r="I35" i="12"/>
  <c r="H41"/>
  <c r="B49" i="11"/>
  <c r="E36" i="16"/>
  <c r="G38"/>
  <c r="E38" i="14"/>
  <c r="G52" i="16"/>
  <c r="K23" i="12"/>
  <c r="F31"/>
  <c r="E28" i="14"/>
  <c r="E25" i="16"/>
  <c r="G44" i="11"/>
  <c r="G40" i="16"/>
  <c r="G34"/>
  <c r="E19"/>
  <c r="K49" i="12"/>
  <c r="E21" i="16"/>
  <c r="E30" i="12"/>
  <c r="G23" i="16"/>
  <c r="D8"/>
  <c r="D16" i="14"/>
  <c r="D9" i="16"/>
  <c r="D44"/>
  <c r="B17"/>
  <c r="G26" i="11"/>
  <c r="E29" i="16"/>
  <c r="C54" i="12"/>
  <c r="D30" i="11"/>
  <c r="E12" i="16"/>
  <c r="G16" i="14"/>
  <c r="D21"/>
  <c r="G25" i="16"/>
  <c r="B31" i="14"/>
  <c r="B20" i="11"/>
  <c r="D48"/>
  <c r="G15"/>
  <c r="E33" i="16"/>
  <c r="E30" i="14"/>
  <c r="C28" i="12"/>
  <c r="G28" i="11"/>
  <c r="B30"/>
  <c r="E26" i="16"/>
  <c r="E56" i="11"/>
  <c r="E11" i="16"/>
  <c r="E14" i="11"/>
  <c r="B11" i="16"/>
  <c r="D10" i="11"/>
  <c r="D15"/>
  <c r="K12" i="12"/>
  <c r="L34"/>
  <c r="D10" i="14"/>
  <c r="H52" i="12"/>
  <c r="B55" i="14"/>
  <c r="E38" i="11"/>
  <c r="G54"/>
  <c r="G54" i="16"/>
  <c r="E38"/>
  <c r="E25" i="14"/>
  <c r="D44"/>
  <c r="I54" i="12"/>
  <c r="E28" i="11"/>
  <c r="B23" i="14"/>
  <c r="B16" i="11"/>
  <c r="B50" i="16"/>
  <c r="C16" i="12"/>
  <c r="B32"/>
  <c r="L53"/>
  <c r="G34" i="11"/>
  <c r="L28" i="12"/>
  <c r="E18"/>
  <c r="E26" i="14"/>
  <c r="I16" i="12"/>
  <c r="B42" i="16"/>
  <c r="E28" i="12"/>
  <c r="E48"/>
  <c r="B11"/>
  <c r="L19"/>
  <c r="K34"/>
  <c r="B33" i="16"/>
  <c r="D21" i="11"/>
  <c r="C50" i="12"/>
  <c r="D31" i="14"/>
  <c r="D51"/>
  <c r="G50" i="11"/>
  <c r="D28"/>
  <c r="B17" i="12"/>
  <c r="E8" i="11"/>
  <c r="G35"/>
  <c r="B12" i="14"/>
  <c r="D40" i="11"/>
  <c r="E45" i="12"/>
  <c r="G17" i="11"/>
  <c r="G14"/>
  <c r="L23" i="12"/>
  <c r="H35"/>
  <c r="L25"/>
  <c r="B16" i="14"/>
  <c r="E53" i="11"/>
  <c r="H25" i="12"/>
  <c r="F28"/>
  <c r="E37"/>
  <c r="D27" i="11"/>
  <c r="G16" i="16"/>
  <c r="D19" i="11"/>
  <c r="B35" i="16"/>
  <c r="B20" i="14"/>
  <c r="C53" i="12"/>
  <c r="G15" i="14"/>
  <c r="E40" i="12"/>
  <c r="B40" i="14"/>
  <c r="H42" i="12"/>
  <c r="F21"/>
  <c r="G22" i="11"/>
  <c r="K27" i="12"/>
  <c r="G12" i="14"/>
  <c r="I22" i="12"/>
  <c r="E43" i="16"/>
  <c r="B30" i="14"/>
  <c r="D41" i="16"/>
  <c r="E41"/>
  <c r="F39" i="12"/>
  <c r="G43" i="14"/>
  <c r="E53"/>
  <c r="D32" i="11"/>
  <c r="B53" i="14"/>
  <c r="E47" i="11"/>
  <c r="L31" i="12"/>
  <c r="C36"/>
  <c r="F40"/>
  <c r="B45" i="14"/>
  <c r="D40" i="16"/>
  <c r="E52" i="14"/>
  <c r="G36" i="11"/>
  <c r="B56" i="14"/>
  <c r="B53" i="11"/>
  <c r="K56" i="12"/>
  <c r="G37" i="16"/>
  <c r="E53" i="12"/>
  <c r="D15" i="16"/>
  <c r="G30" i="14"/>
  <c r="G51" i="11"/>
  <c r="E34" i="16"/>
  <c r="G10"/>
  <c r="B18" i="11"/>
  <c r="H23" i="12"/>
  <c r="G52" i="11"/>
  <c r="C57" i="12"/>
  <c r="B45"/>
  <c r="F50"/>
  <c r="B56" i="11"/>
  <c r="C43" i="12"/>
  <c r="B18" i="16"/>
  <c r="E11" i="11"/>
  <c r="K14" i="12"/>
  <c r="H14"/>
  <c r="B12" i="16"/>
  <c r="I27" i="12"/>
  <c r="F24"/>
  <c r="H33"/>
  <c r="C41"/>
  <c r="E29"/>
  <c r="D48" i="16"/>
  <c r="G42" i="14"/>
  <c r="B15" i="16"/>
  <c r="B46"/>
  <c r="D24" i="14"/>
  <c r="B32" i="16"/>
  <c r="G49"/>
  <c r="C9" i="12"/>
  <c r="K31"/>
  <c r="B17" i="14"/>
  <c r="B13" i="12"/>
  <c r="G21" i="11"/>
  <c r="H10" i="12"/>
  <c r="E52"/>
  <c r="B39" i="14"/>
  <c r="E19" i="11"/>
  <c r="B44"/>
  <c r="C49" i="12"/>
  <c r="B19" i="14"/>
  <c r="I19" i="12"/>
  <c r="G54" i="14"/>
  <c r="D42" i="11"/>
  <c r="D27" i="14"/>
  <c r="D46" i="16"/>
  <c r="D31"/>
  <c r="G34" i="14"/>
  <c r="D14" i="16"/>
  <c r="G48" i="11"/>
  <c r="K53" i="12"/>
  <c r="E51" i="14"/>
  <c r="G19"/>
  <c r="E35" i="11"/>
  <c r="B10"/>
  <c r="G27" i="16"/>
  <c r="G29" i="11"/>
  <c r="C46" i="12"/>
  <c r="G24" i="16"/>
  <c r="K52" i="12"/>
  <c r="E22"/>
  <c r="H40"/>
  <c r="D54" i="11"/>
  <c r="L46" i="12"/>
  <c r="E18" i="14"/>
  <c r="C19" i="12"/>
  <c r="B43" i="11"/>
  <c r="G20" i="14"/>
  <c r="B54"/>
  <c r="C23" i="12"/>
  <c r="E39" i="14"/>
  <c r="G46"/>
  <c r="D52" i="11"/>
  <c r="E20" i="12"/>
  <c r="I11"/>
  <c r="G11" i="14"/>
  <c r="B10"/>
  <c r="B50" i="12"/>
  <c r="D43" i="14"/>
  <c r="G45" i="16"/>
  <c r="B14" i="12"/>
  <c r="B12" i="11"/>
  <c r="G38" i="14"/>
  <c r="I46" i="12"/>
  <c r="I47"/>
  <c r="F36"/>
  <c r="B40"/>
  <c r="D53" i="11"/>
  <c r="I28" i="12"/>
  <c r="C21"/>
  <c r="B30" i="16"/>
  <c r="E56" i="14"/>
  <c r="E31" i="16"/>
  <c r="E16" i="14"/>
  <c r="L55" i="12"/>
  <c r="E20" i="11"/>
  <c r="K13" i="12"/>
  <c r="B46" i="11"/>
  <c r="F29" i="12"/>
  <c r="B43"/>
  <c r="E49" i="14"/>
  <c r="E30" i="11"/>
  <c r="B13"/>
  <c r="E34"/>
  <c r="C30" i="12"/>
  <c r="E32" i="11"/>
  <c r="K18" i="12"/>
  <c r="K11"/>
  <c r="C35"/>
  <c r="D21" i="16"/>
  <c r="L48" i="12"/>
  <c r="B49" i="16"/>
  <c r="D22"/>
  <c r="E37" i="14"/>
  <c r="B32" i="11"/>
  <c r="E51"/>
  <c r="K54" i="12"/>
  <c r="D35" i="16"/>
  <c r="F17" i="12"/>
  <c r="G8" i="16"/>
  <c r="F15" i="12"/>
  <c r="D29" i="16"/>
  <c r="E40" i="14"/>
  <c r="D33" i="16"/>
  <c r="G43" i="11"/>
  <c r="F22" i="12"/>
  <c r="G33" i="11"/>
  <c r="E35" i="16"/>
  <c r="C12" i="12"/>
  <c r="L22"/>
  <c r="D16" i="16"/>
  <c r="D54"/>
  <c r="G21"/>
  <c r="I45" i="12"/>
  <c r="E23" i="14"/>
  <c r="B9" i="11"/>
  <c r="B51" i="14"/>
  <c r="E56" i="12"/>
  <c r="B54" i="16"/>
  <c r="B14" i="11"/>
  <c r="K37" i="12"/>
  <c r="E44"/>
  <c r="E13" i="11"/>
  <c r="B24" i="12"/>
  <c r="D37" i="16"/>
  <c r="E50"/>
  <c r="E46" i="11"/>
  <c r="G18" i="16"/>
  <c r="B25" i="11"/>
  <c r="H46" i="12"/>
  <c r="D13" i="14"/>
  <c r="B32"/>
  <c r="B26"/>
  <c r="E36" i="11"/>
  <c r="B51"/>
  <c r="E54" i="14"/>
  <c r="E51" i="16"/>
  <c r="F47" i="12"/>
  <c r="I32"/>
  <c r="D34" i="14"/>
  <c r="L43" i="12"/>
  <c r="E33" i="14"/>
  <c r="H34" i="12"/>
  <c r="K26"/>
  <c r="G39" i="16"/>
  <c r="K15" i="12"/>
  <c r="D20" i="14"/>
  <c r="E40" i="16"/>
  <c r="K55" i="12"/>
  <c r="D56" i="11"/>
  <c r="C39" i="12"/>
  <c r="E46" i="16"/>
  <c r="G36" i="14"/>
  <c r="C34" i="12"/>
  <c r="B37" i="14"/>
  <c r="E40" i="11"/>
  <c r="D19" i="16"/>
  <c r="I24" i="12"/>
  <c r="K42"/>
  <c r="G13" i="16"/>
  <c r="F35" i="12"/>
  <c r="G56" i="11"/>
  <c r="B18" i="12"/>
  <c r="E13" i="14"/>
  <c r="G8" i="11"/>
  <c r="E23"/>
  <c r="G12"/>
  <c r="G29" i="16"/>
  <c r="L42" i="12"/>
  <c r="D46" i="14"/>
  <c r="F19" i="12"/>
  <c r="B33" i="11"/>
  <c r="G42" i="16"/>
  <c r="E46" i="14"/>
  <c r="F53" i="12"/>
  <c r="D53" i="16"/>
  <c r="C31" i="12"/>
  <c r="E22" i="14"/>
  <c r="G19" i="16"/>
  <c r="E53"/>
  <c r="E24" i="14"/>
  <c r="D39"/>
  <c r="C15" i="12"/>
  <c r="E11" i="14"/>
  <c r="G18"/>
  <c r="D35" i="11"/>
  <c r="D38"/>
  <c r="C10" i="12"/>
  <c r="E54"/>
  <c r="F54"/>
  <c r="H18"/>
  <c r="H50"/>
  <c r="E14" i="14"/>
  <c r="D14" i="11"/>
  <c r="D9"/>
  <c r="B8" i="14"/>
  <c r="B44"/>
  <c r="E49" i="11"/>
  <c r="I30" i="12"/>
  <c r="B28" i="11"/>
  <c r="E16" i="16"/>
  <c r="G45" i="14"/>
  <c r="D33" i="11"/>
  <c r="B36"/>
  <c r="I50" i="12"/>
  <c r="E47" i="16"/>
  <c r="L10" i="12"/>
  <c r="E20" i="16"/>
  <c r="H22" i="12"/>
  <c r="B41" i="11"/>
  <c r="G9" i="14"/>
  <c r="G50" i="16"/>
  <c r="F49" i="12"/>
  <c r="B17" i="11"/>
  <c r="D51" i="16"/>
  <c r="B29" i="14"/>
  <c r="B51" i="12"/>
  <c r="B41" i="14"/>
  <c r="B27" i="11"/>
  <c r="G22" i="16"/>
  <c r="E27" i="12"/>
  <c r="E54" i="16"/>
  <c r="B31" i="12"/>
  <c r="D40" i="14"/>
  <c r="B20" i="12"/>
  <c r="I52"/>
  <c r="G32" i="11"/>
  <c r="B54"/>
  <c r="I17" i="12"/>
  <c r="B21"/>
  <c r="G26" i="16"/>
  <c r="B24" i="14"/>
  <c r="E23" i="16"/>
  <c r="D38" i="14"/>
  <c r="B52"/>
  <c r="B47" i="11"/>
  <c r="E10" i="14"/>
  <c r="E29" i="11"/>
  <c r="I37" i="12"/>
  <c r="G51" i="14"/>
  <c r="E16" i="11"/>
  <c r="B46" i="12"/>
  <c r="B51" i="16"/>
  <c r="B55" i="12"/>
  <c r="G14" i="14"/>
  <c r="E41" i="12"/>
  <c r="D50" i="14"/>
  <c r="C44" i="12"/>
  <c r="E24" i="11"/>
  <c r="F30" i="12"/>
  <c r="H30"/>
  <c r="F37"/>
  <c r="G37" i="14"/>
  <c r="E48" i="16"/>
  <c r="B45" i="11"/>
  <c r="B34"/>
  <c r="B27" i="14"/>
  <c r="F34" i="12"/>
  <c r="E37" i="16"/>
  <c r="B48" i="12"/>
  <c r="I23"/>
  <c r="D11" i="14"/>
  <c r="K50" i="12"/>
  <c r="E32" i="16"/>
  <c r="D12" i="11"/>
  <c r="D38" i="16"/>
  <c r="G49" i="14"/>
  <c r="D29"/>
  <c r="H51" i="12"/>
  <c r="D25" i="14"/>
  <c r="C42" i="12"/>
  <c r="I48"/>
  <c r="G10" i="14"/>
  <c r="E35"/>
  <c r="L15" i="12"/>
  <c r="E25" i="11"/>
  <c r="F18" i="12"/>
  <c r="B29" i="16"/>
  <c r="B50" i="11"/>
  <c r="K30" i="12"/>
  <c r="G47" i="14"/>
  <c r="G39"/>
  <c r="B26" i="12"/>
  <c r="G18" i="11"/>
  <c r="D48" i="14"/>
  <c r="G44"/>
  <c r="K17" i="12"/>
  <c r="D50" i="11"/>
  <c r="E9" i="12"/>
  <c r="G42" i="11"/>
  <c r="H21" i="12"/>
  <c r="D22" i="11"/>
  <c r="B55" i="16"/>
  <c r="G22" i="14"/>
  <c r="B38" i="12"/>
  <c r="E44" i="16"/>
  <c r="L27" i="12"/>
  <c r="G20" i="16"/>
  <c r="F26" i="12"/>
  <c r="B52"/>
  <c r="B12"/>
  <c r="L49"/>
  <c r="I12"/>
  <c r="F56"/>
  <c r="G11" i="11"/>
  <c r="B8" i="16"/>
  <c r="D49" i="14"/>
  <c r="I41" i="12"/>
  <c r="B24" i="16"/>
  <c r="D34"/>
  <c r="G31" i="14"/>
  <c r="E31" i="11"/>
  <c r="E12" i="12"/>
  <c r="D54" i="14"/>
  <c r="E42" i="12"/>
  <c r="G17" i="16"/>
  <c r="B27" i="12"/>
  <c r="K57"/>
  <c r="G37" i="11"/>
  <c r="K47" i="12"/>
  <c r="G28" i="14"/>
  <c r="E29"/>
  <c r="E55"/>
  <c r="L51" i="12"/>
  <c r="H32"/>
  <c r="L24"/>
  <c r="B25" i="14"/>
  <c r="B21" i="11"/>
  <c r="E16" i="12"/>
  <c r="E22" i="11"/>
  <c r="C13" i="12"/>
  <c r="B53" i="16"/>
  <c r="G28"/>
  <c r="K35" i="12"/>
  <c r="E54" i="11"/>
  <c r="C47" i="12"/>
  <c r="G9" i="11"/>
  <c r="L29" i="12"/>
  <c r="B41"/>
  <c r="D20" i="11"/>
  <c r="G48" i="16"/>
  <c r="D55"/>
  <c r="G33"/>
  <c r="G11"/>
  <c r="D45"/>
  <c r="E45" i="11"/>
  <c r="E50"/>
  <c r="D10" i="16"/>
  <c r="G17" i="14"/>
  <c r="B36"/>
  <c r="D36"/>
  <c r="I13" i="12"/>
  <c r="E10" i="16"/>
  <c r="D23" i="11"/>
  <c r="L47" i="12"/>
  <c r="D42" i="16"/>
  <c r="E32" i="14"/>
  <c r="C17" i="12"/>
  <c r="G55" i="16"/>
  <c r="G10" i="11"/>
  <c r="G49"/>
  <c r="H17" i="12"/>
  <c r="C24"/>
  <c r="D25" i="11"/>
  <c r="D8" i="14"/>
  <c r="D50" i="16"/>
  <c r="B35" i="12"/>
  <c r="E49" i="16"/>
  <c r="K40" i="12"/>
  <c r="I56"/>
  <c r="E31"/>
  <c r="D17" i="14"/>
  <c r="B44" i="12"/>
  <c r="K46"/>
  <c r="G19" i="11"/>
  <c r="E12"/>
  <c r="G24" i="14"/>
  <c r="G26"/>
  <c r="E42"/>
  <c r="G23"/>
  <c r="F14" i="12"/>
  <c r="D26" i="14"/>
  <c r="I21" i="12"/>
  <c r="F38"/>
  <c r="F12"/>
  <c r="B33"/>
  <c r="G40" i="14"/>
  <c r="G20" i="11"/>
  <c r="I44" i="12"/>
  <c r="G55" i="14"/>
  <c r="G46" i="16"/>
  <c r="G46" i="11"/>
  <c r="H43" i="12"/>
  <c r="E50"/>
  <c r="E34"/>
  <c r="E35"/>
  <c r="D11" i="16"/>
  <c r="K36" i="12"/>
  <c r="C37"/>
  <c r="D43" i="11"/>
  <c r="C18" i="12"/>
  <c r="G13" i="14"/>
  <c r="B13"/>
  <c r="D18" i="16"/>
  <c r="B19" i="12"/>
  <c r="L40"/>
  <c r="F42"/>
  <c r="H49"/>
  <c r="E22" i="16"/>
  <c r="H20" i="12"/>
  <c r="D42" i="14"/>
  <c r="E13" i="12"/>
  <c r="G47" i="11"/>
  <c r="G35" i="14"/>
  <c r="B56" i="12"/>
  <c r="K39"/>
  <c r="G36" i="16"/>
  <c r="D32" i="14"/>
  <c r="G33"/>
  <c r="C55" i="12"/>
  <c r="G24" i="11"/>
  <c r="E20" i="14"/>
  <c r="B11" i="11"/>
  <c r="L37" i="12"/>
  <c r="D52" i="14"/>
  <c r="B52" i="16"/>
  <c r="E12" i="14"/>
  <c r="E48" i="11"/>
  <c r="H29" i="12"/>
  <c r="I34"/>
  <c r="D15" i="14"/>
  <c r="L36" i="12"/>
  <c r="B34" i="14"/>
  <c r="E15" i="16"/>
  <c r="H13" i="12"/>
  <c r="G41" i="14"/>
  <c r="L11" i="12"/>
  <c r="B40" i="11"/>
  <c r="G40"/>
  <c r="I38" i="12"/>
  <c r="I55"/>
  <c r="D17" i="16"/>
  <c r="F52" i="12"/>
  <c r="L14"/>
  <c r="E38"/>
  <c r="E19"/>
  <c r="B39"/>
  <c r="L18"/>
  <c r="C56"/>
  <c r="B26" i="11"/>
  <c r="F13" i="12"/>
  <c r="B28"/>
  <c r="E24"/>
  <c r="G30" i="16"/>
  <c r="L52" i="12"/>
  <c r="D49" i="11"/>
  <c r="G50" i="14"/>
  <c r="L54" i="12"/>
  <c r="E57"/>
  <c r="G41" i="11"/>
  <c r="D47" i="16"/>
  <c r="C45" i="12"/>
  <c r="D28" i="14"/>
  <c r="E39" i="11"/>
  <c r="B22"/>
  <c r="B56" i="16"/>
  <c r="B24" i="11"/>
  <c r="I18" i="12"/>
  <c r="D35" i="14"/>
  <c r="L41" i="12"/>
  <c r="G48" i="14"/>
  <c r="B21"/>
  <c r="D22"/>
  <c r="B23" i="11"/>
  <c r="K21" i="12"/>
  <c r="G53" i="16"/>
  <c r="F45" i="12"/>
  <c r="E43"/>
  <c r="F23"/>
  <c r="I51"/>
  <c r="E27" i="11"/>
  <c r="E56" i="16"/>
  <c r="B9" i="14"/>
  <c r="B53" i="12"/>
  <c r="H11"/>
  <c r="D39" i="11"/>
  <c r="E10" i="12"/>
  <c r="E17" i="16"/>
  <c r="E10" i="11"/>
  <c r="I26" i="12"/>
  <c r="D8" i="11"/>
  <c r="B9" i="12"/>
  <c r="B11" i="14"/>
  <c r="G8"/>
  <c r="B19" i="11"/>
  <c r="I29" i="12"/>
  <c r="K38"/>
  <c r="D53" i="14"/>
  <c r="F51" i="12"/>
  <c r="H16"/>
  <c r="D20" i="16"/>
  <c r="E13"/>
  <c r="B25" i="12"/>
  <c r="E51"/>
  <c r="G13" i="11"/>
  <c r="H12" i="12"/>
  <c r="C48"/>
  <c r="L21"/>
  <c r="E14"/>
  <c r="K28"/>
  <c r="D55" i="14"/>
  <c r="H53" i="12"/>
  <c r="E44" i="11"/>
  <c r="E45" i="14"/>
  <c r="E8"/>
  <c r="G23" i="11"/>
  <c r="G32" i="16"/>
  <c r="E55"/>
  <c r="G31"/>
  <c r="H19" i="12"/>
  <c r="B28" i="14"/>
  <c r="B29" i="11"/>
  <c r="D13"/>
  <c r="F9" i="12"/>
  <c r="B16" i="16"/>
  <c r="G27" i="14"/>
  <c r="K16" i="12"/>
  <c r="D36" i="16"/>
  <c r="E26" i="12"/>
  <c r="B48" i="11"/>
  <c r="G47" i="16"/>
  <c r="C14" i="12"/>
  <c r="H27"/>
  <c r="G15" i="16"/>
  <c r="L12" i="12"/>
  <c r="E21" i="11"/>
  <c r="G53"/>
  <c r="B34" i="16"/>
  <c r="B42" i="11"/>
  <c r="D11"/>
  <c r="D44"/>
  <c r="E21" i="12"/>
  <c r="E28" i="16"/>
  <c r="E25" i="12"/>
  <c r="B15" i="11"/>
  <c r="H26" i="12"/>
  <c r="L30"/>
  <c r="D37" i="11"/>
  <c r="B49" i="12"/>
  <c r="K20"/>
  <c r="I33"/>
  <c r="C26"/>
  <c r="B43" i="14"/>
  <c r="G45" i="11"/>
  <c r="L39" i="12"/>
  <c r="G14" i="16"/>
  <c r="D23"/>
  <c r="C33" i="12"/>
  <c r="B31" i="11"/>
  <c r="K25" i="12"/>
  <c r="K51"/>
  <c r="H36"/>
  <c r="E24" i="16"/>
  <c r="E32" i="12"/>
  <c r="E43" i="14"/>
  <c r="B38" i="16"/>
  <c r="G29" i="14"/>
  <c r="K9" i="12"/>
  <c r="G16" i="11"/>
  <c r="I25" i="12"/>
  <c r="G52" i="14"/>
  <c r="E42" i="11"/>
  <c r="D47" i="14"/>
  <c r="D26" i="16"/>
  <c r="B9"/>
  <c r="E33" i="11"/>
  <c r="D30" i="14"/>
  <c r="C38" i="12"/>
  <c r="K48"/>
  <c r="K19"/>
  <c r="E55" i="11"/>
  <c r="I39" i="12"/>
  <c r="I42"/>
  <c r="E36"/>
  <c r="E21" i="14"/>
  <c r="F27" i="12"/>
  <c r="F11"/>
  <c r="E36" i="14"/>
  <c r="B8" i="11"/>
  <c r="B57" i="12"/>
  <c r="L44"/>
  <c r="B49" i="14"/>
  <c r="G56" i="16"/>
  <c r="E49" i="12"/>
  <c r="B14" i="14"/>
  <c r="D56"/>
  <c r="E11" i="12"/>
  <c r="B41" i="16"/>
  <c r="D43"/>
  <c r="D39"/>
  <c r="I31" i="12"/>
  <c r="I43"/>
  <c r="K32"/>
  <c r="C27"/>
  <c r="H38"/>
  <c r="B16"/>
  <c r="I14"/>
  <c r="D56" i="16"/>
  <c r="D27"/>
  <c r="E27" i="14"/>
  <c r="C11" i="12"/>
  <c r="L45"/>
  <c r="E37" i="11"/>
  <c r="D32" i="16"/>
  <c r="E27"/>
  <c r="E52" i="11"/>
  <c r="D47"/>
  <c r="B15" i="12"/>
  <c r="F20"/>
  <c r="E9" i="11"/>
  <c r="E48" i="14"/>
  <c r="L33" i="12"/>
  <c r="L9"/>
  <c r="F46"/>
  <c r="B40" i="16"/>
  <c r="E15" i="12"/>
  <c r="D45" i="14"/>
  <c r="L57" i="12"/>
  <c r="H37"/>
  <c r="B22" i="16"/>
  <c r="G21" i="14"/>
  <c r="G41" i="16"/>
  <c r="L38" i="12"/>
  <c r="E23"/>
  <c r="D23" i="14"/>
  <c r="D18"/>
  <c r="C52" i="12"/>
  <c r="G9" i="16"/>
  <c r="F55" i="12"/>
  <c r="E39" i="16"/>
  <c r="E44" i="14"/>
  <c r="B13" i="16"/>
  <c r="K33" i="12"/>
  <c r="B47" i="14"/>
  <c r="E43" i="11"/>
  <c r="D18"/>
  <c r="D37" i="14"/>
  <c r="C29" i="12"/>
  <c r="B47"/>
  <c r="C32"/>
  <c r="D24" i="11"/>
  <c r="I49" i="12"/>
  <c r="L20"/>
  <c r="L56"/>
  <c r="B44" i="16"/>
  <c r="E41" i="11"/>
  <c r="E47" i="12"/>
  <c r="B22"/>
  <c r="F57"/>
  <c r="B42" i="14"/>
  <c r="D33"/>
  <c r="D12" i="16"/>
  <c r="F33" i="12"/>
  <c r="D52" i="16"/>
  <c r="L17" i="12"/>
  <c r="E17" i="14"/>
  <c r="B37" i="16"/>
  <c r="E15" i="11"/>
  <c r="B35"/>
  <c r="B39"/>
  <c r="D41" i="14"/>
  <c r="E18" i="16"/>
  <c r="G30" i="11"/>
  <c r="E41" i="14"/>
  <c r="E17" i="12"/>
  <c r="D41" i="11"/>
  <c r="G25" i="14"/>
  <c r="B37" i="11"/>
  <c r="D28" i="16"/>
  <c r="B47"/>
  <c r="B25"/>
  <c r="B14"/>
  <c r="E46" i="12"/>
  <c r="E18" i="11"/>
  <c r="H28" i="12"/>
  <c r="E17" i="11"/>
  <c r="B38" i="14"/>
  <c r="G38" i="11"/>
  <c r="E26"/>
  <c r="F32" i="12"/>
  <c r="E34" i="14"/>
  <c r="B38" i="11"/>
  <c r="G56" i="14"/>
  <c r="K45" i="12"/>
  <c r="H31"/>
  <c r="L16"/>
  <c r="E52" i="16"/>
  <c r="G27" i="11"/>
  <c r="B48" i="16"/>
  <c r="H45" i="12"/>
  <c r="B55" i="11"/>
  <c r="B50" i="14"/>
  <c r="H15" i="12"/>
  <c r="H54"/>
  <c r="I20"/>
  <c r="I9"/>
  <c r="K41"/>
  <c r="B15" i="14"/>
  <c r="L32" i="12"/>
  <c r="H55"/>
  <c r="B34"/>
  <c r="H56"/>
  <c r="K22"/>
  <c r="D12" i="14"/>
  <c r="D13" i="16"/>
  <c r="D17" i="11"/>
  <c r="D49" i="16"/>
  <c r="E55" i="12"/>
  <c r="I53"/>
  <c r="B10"/>
  <c r="D30" i="16"/>
  <c r="I40" i="12"/>
  <c r="C22"/>
  <c r="I10"/>
  <c r="E9" i="16"/>
  <c r="I57" i="12"/>
  <c r="F16"/>
  <c r="L35"/>
  <c r="D36" i="11"/>
  <c r="B39" i="16"/>
  <c r="K24" i="12"/>
  <c r="F43"/>
  <c r="B48" i="14"/>
  <c r="B27" i="16"/>
  <c r="L50" i="12"/>
  <c r="B37"/>
  <c r="H57"/>
  <c r="G51" i="16"/>
  <c r="H24" i="12"/>
  <c r="K10"/>
  <c r="I36"/>
  <c r="B26" i="16"/>
  <c r="B52" i="11"/>
  <c r="B28" i="16"/>
  <c r="B36"/>
  <c r="G12"/>
  <c r="H47" i="12"/>
  <c r="E19" i="14"/>
  <c r="F41" i="12"/>
  <c r="F44"/>
  <c r="E42" i="16"/>
  <c r="D55" i="11"/>
  <c r="D19" i="14"/>
  <c r="E8" i="16"/>
  <c r="C20" i="12"/>
  <c r="C51"/>
  <c r="L13"/>
  <c r="B23"/>
  <c r="G32" i="14"/>
</calcChain>
</file>

<file path=xl/sharedStrings.xml><?xml version="1.0" encoding="utf-8"?>
<sst xmlns="http://schemas.openxmlformats.org/spreadsheetml/2006/main" count="2717" uniqueCount="132">
  <si>
    <t>Appendix 9a. Total injuries sustained by wholetime and retained duty system firefighters during operational activities, training for operational incidents and routine activities in England at 31 March 2015</t>
  </si>
  <si>
    <t>Total number of personnel injured</t>
  </si>
  <si>
    <r>
      <t>RIDDOR injuries</t>
    </r>
    <r>
      <rPr>
        <vertAlign val="superscript"/>
        <sz val="10"/>
        <rFont val="Arial"/>
        <family val="2"/>
      </rPr>
      <t>1</t>
    </r>
  </si>
  <si>
    <t>Number of 'over 3 day' injuries</t>
  </si>
  <si>
    <r>
      <t>Number of major injuries</t>
    </r>
    <r>
      <rPr>
        <vertAlign val="superscript"/>
        <sz val="10"/>
        <rFont val="Arial"/>
        <family val="2"/>
      </rPr>
      <t>2</t>
    </r>
  </si>
  <si>
    <t>Number of fatal injuries</t>
  </si>
  <si>
    <t>England</t>
  </si>
  <si>
    <t>Non-Metropolitan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</si>
  <si>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</si>
  <si>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</si>
  <si>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</si>
  <si>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</si>
  <si>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</si>
  <si>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</si>
  <si>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</si>
  <si>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</si>
  <si>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</si>
  <si>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</si>
  <si>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&amp; Somerset</t>
  </si>
  <si>
    <t>Dorset</t>
  </si>
  <si>
    <t>Durham</t>
  </si>
  <si>
    <t>East Sussex</t>
  </si>
  <si>
    <t>Essex</t>
  </si>
  <si>
    <t>Gloucestershire</t>
  </si>
  <si>
    <t>Hampshire</t>
  </si>
  <si>
    <t>Hereford &amp; Worcester</t>
  </si>
  <si>
    <t>Hertfordshire</t>
  </si>
  <si>
    <t>Humberside</t>
  </si>
  <si>
    <t>Isle of Wight</t>
  </si>
  <si>
    <t>Kent</t>
  </si>
  <si>
    <t>Lancashire</t>
  </si>
  <si>
    <t>Leicestershire</t>
  </si>
  <si>
    <t>Lincolnshire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</si>
  <si>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</si>
  <si>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</si>
  <si>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</si>
  <si>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</si>
  <si>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</si>
  <si>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</si>
  <si>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</si>
  <si>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Staffordshire</t>
  </si>
  <si>
    <t>Suffolk</t>
  </si>
  <si>
    <t>Surrey</t>
  </si>
  <si>
    <t>Warwickshire</t>
  </si>
  <si>
    <t>West Sussex</t>
  </si>
  <si>
    <t>Wiltshire</t>
  </si>
  <si>
    <t>Isles of Scilly</t>
  </si>
  <si>
    <t>Metropolitan</t>
  </si>
  <si>
    <t>Greater Manchester</t>
  </si>
  <si>
    <t>Merseyside</t>
  </si>
  <si>
    <t>South Yorkshire</t>
  </si>
  <si>
    <t>Tyne &amp; Wear</t>
  </si>
  <si>
    <t>West Midlands</t>
  </si>
  <si>
    <t>West Yorkshire</t>
  </si>
  <si>
    <t>Greater London</t>
  </si>
  <si>
    <t>1. Reporting of Injuries, Diseases and Dangerous Occurrences Regulations (RIDDOR)</t>
  </si>
  <si>
    <t>2. Reportable major injuries are: fracture other than to fingers, thumbs or toes; amputation; dislocation of the shoulder, hip, knee or spine; loss of sight (temporary or permanent); chemical or hot metal burn to the eye or any penetrating injury to the eye;  injury resulting from an electric shock or electrical burn leading to unconsciousness or requiring resuscitation or admittance to hospital for more than 24 hours; any other injury: leading to hypothermia, heat-induced illness or unconsciousness; or requiring resuscitation; or requiring admittance to hospital for more than 24 hours; unconsciousness caused by asphyxia or exposure to harmful substance or biological agent; acute illness requiring medical treatment, or loss of consciousness arising from absorption of any substance by inhalation, ingestion or through the skin; acute illness requiring medical treatment where there is reason to believe that this resulted from exposure to a biological agent or its toxins or infected material.</t>
  </si>
  <si>
    <t>Source: DCLG Annual Returns</t>
  </si>
  <si>
    <t>Appendix 9b. Injuries sustained by wholetime and retained duty system firefighters during operational incidents in England at 31 March 2015</t>
  </si>
  <si>
    <t>At fires</t>
  </si>
  <si>
    <r>
      <t>At special service incidents</t>
    </r>
    <r>
      <rPr>
        <vertAlign val="superscript"/>
        <sz val="10"/>
        <rFont val="Arial"/>
        <family val="2"/>
      </rPr>
      <t>3</t>
    </r>
  </si>
  <si>
    <t>3. Including road traffic accidents</t>
  </si>
  <si>
    <t>Source:  DCLG Annual Returns</t>
  </si>
  <si>
    <t>Appendix 9c. Injuries sustained by wholetime and retained duty system firefighters during training in England at 31 March 2015</t>
  </si>
  <si>
    <t>Appendix 9d. Injuries sustained by wholetime and retained duty system firefighters during routine activities in England at 31 March 2015</t>
  </si>
  <si>
    <r>
      <t>2. Reportable major injuries are: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fracture other than to fingers, thumbs or toes; amputation; dislocation of the shoulder, hip, knee or spine; loss of sight (temporary or permanent); chemical or hot metal burn to the eye or any penetrating injury to the eye;  injury resulting from an electric shock or electrical burn leading to unconsciousness or requiring resuscitation or admittance to hospital for more than 24 hours; any other injury: leading to hypothermia, heat-induced illness or unconsciousness; or requiring resuscitation; or requiring admittance to hospital for more than 24 hours; unconsciousness caused by asphyxia or exposure to harmful substance or biological agent; acute illness requiring medical treatment, or loss of consciousness arising from absorption of any substance by inhalation, ingestion or through the skin; acute illness requiring medical treatment where there is reason to believe that this resulted from exposure to a biological agent or its toxins or infected material.</t>
    </r>
  </si>
  <si>
    <t>Select a year from the drop-down list in the orange box below:</t>
  </si>
  <si>
    <t>FRA</t>
  </si>
  <si>
    <t>Non Metropolitan fire and rescue authorities</t>
  </si>
  <si>
    <t>Metropolitan fire and rescue authorities</t>
  </si>
  <si>
    <t>2009-10</t>
  </si>
  <si>
    <t>2010-11</t>
  </si>
  <si>
    <t>2011-12</t>
  </si>
  <si>
    <t>2012-13</t>
  </si>
  <si>
    <t>2013-14</t>
  </si>
  <si>
    <t>2014-15</t>
  </si>
  <si>
    <t>2015-16</t>
  </si>
  <si>
    <t>RIDDOR injuries1</t>
  </si>
  <si>
    <t>Number of major injuries2</t>
  </si>
  <si>
    <r>
      <t>RIDDOR injuries</t>
    </r>
    <r>
      <rPr>
        <vertAlign val="superscript"/>
        <sz val="11"/>
        <rFont val="Calibri"/>
        <family val="2"/>
        <scheme val="minor"/>
      </rPr>
      <t>1</t>
    </r>
  </si>
  <si>
    <r>
      <t>Number of major injuries</t>
    </r>
    <r>
      <rPr>
        <vertAlign val="superscript"/>
        <sz val="11"/>
        <rFont val="Calibri"/>
        <family val="2"/>
        <scheme val="minor"/>
      </rPr>
      <t>2</t>
    </r>
  </si>
  <si>
    <t>1 Reporting of Injuries, Diseases and Dangerous Occurrences Regulations (RIDDOR)</t>
  </si>
  <si>
    <t>2 Reportable major injuries are: fracture other than to fingers, thumbs or toes; amputation; dislocation of the shoulder, hip, knee or spine; loss of sight (temporary or permanent); chemical or hot metal burn to the eye or any penetrating injury to the eye;  injury resulting from an electric shock or electrical burn leading to unconsciousness or requiring resuscitation or admittance to hospital for more than 24 hours; any other injury: leading to hypothermia, heat-induced illness or unconsciousness; or requiring resuscitation; or requiring admittance to hospital for more than 24 hours; unconsciousness caused by asphyxia or exposure to harmful substance or biological agent; acute illness requiring medical treatment, or loss of consciousness arising from absorption of any substance by inhalation, ingestion or through the skin; acute illness requiring medical treatment where there is reason to believe that this resulted from exposure to a biological agent or its toxins or infected material.</t>
  </si>
  <si>
    <t>The full set of fire statistics releases, tables and guidance can be found on our landing page, here-</t>
  </si>
  <si>
    <t>https://www.gov.uk/government/collections/fire-statistics</t>
  </si>
  <si>
    <t>The statistics in this table are Official Statistics.</t>
  </si>
  <si>
    <t>Source: Home Office Operational Statistics Data Collection, figures supplied by fire and rescue authorities.</t>
  </si>
  <si>
    <t>Contact: FireStatistics@homeoffice.gsi.gov.uk</t>
  </si>
  <si>
    <t>At special service incidents3</t>
  </si>
  <si>
    <r>
      <t>At special service incidents</t>
    </r>
    <r>
      <rPr>
        <vertAlign val="superscript"/>
        <sz val="11"/>
        <rFont val="Calibri"/>
        <family val="2"/>
        <scheme val="minor"/>
      </rPr>
      <t>3</t>
    </r>
  </si>
  <si>
    <t>3 Including road traffic accidents</t>
  </si>
  <si>
    <t>Appendix 9a. Total injuries sustained by wholetime and retained duty system firefighters during operational activities, training for operational incidents and routine activities in England at 31 March 2014</t>
  </si>
  <si>
    <t>Appendix 9b. Injuries sustained by wholetime and retained duty system firefighters during operational incidents in England at 31 March 2014</t>
  </si>
  <si>
    <t>Appendix 9c. Injuries sustained by wholetime and retained duty system firefighers during training in England at 31 March 2014</t>
  </si>
  <si>
    <t>Appendix 9d. Injuries sustained by wholetime and retained duty system firefighers during routine activities in England at 31 March 2014</t>
  </si>
  <si>
    <t>Appendix 9a. Total injuries sustained by wholetime and retained duty system firefighters during operational activities, training for operational incidents and routine activities in England at 31 March 2013</t>
  </si>
  <si>
    <t>Appendix 9b. Injuries sustained by wholetime and retained duty system firefighters during operational incidents in England at 31 March 2013</t>
  </si>
  <si>
    <t>Appendix 9c. Injuries sustained by wholetime and retained duty system firefighers during training in England at 31 March 2013</t>
  </si>
  <si>
    <t>Appendix 9d. Injuries sustained by wholetime and retained duty system firefighers during routine activities in England at 31 March 2013</t>
  </si>
  <si>
    <t>Appendix 9a. Total injuries sustained by wholetime and retained duty system firefighters during operational activities, training for operational incidents and routine activities in England, 2011-12</t>
  </si>
  <si>
    <t>Appendix 9b. Injuries sustained by wholetime and retained duty system firefighters during operational incidents in England, 2011-12</t>
  </si>
  <si>
    <t>Appendix 9c. Injuries sustained by wholetime and retained duty system firefighers during training in England, 2011-12</t>
  </si>
  <si>
    <t>Appendix 9d. Injuries sustained by wholetime and retained duty system firefighers during routine activities in England, 2011-12</t>
  </si>
  <si>
    <t>Appendix 9a. Total injuries sustained by wholetime and retained duty system firefighters during operational activities, training for operational incidents and routine activities in England at 31 March 2011</t>
  </si>
  <si>
    <t>Appendix 9b. Injuries sustained by wholetime and retained duty system firefighters during operational incidents in England at 31 March 2011</t>
  </si>
  <si>
    <t>Appendix 9c. Injuries sustained by wholetime and retained duty system firefighers during training in England at 31 March 2011</t>
  </si>
  <si>
    <t>Appendix 9d. Injuries sustained by wholetime and retained duty system firefighers during routine activities in England at 31 March 2011</t>
  </si>
  <si>
    <t xml:space="preserve">Appendix 11a. Total injuries sustained by wholetime and retained duty system firefighters during operational activities, training for operational  incidents and routine activities in England in 2009/10  </t>
  </si>
  <si>
    <t>Number of major injuries</t>
  </si>
  <si>
    <r>
      <t>Hampshire</t>
    </r>
    <r>
      <rPr>
        <vertAlign val="superscript"/>
        <sz val="10"/>
        <rFont val="Arial"/>
        <family val="2"/>
      </rPr>
      <t>2</t>
    </r>
  </si>
  <si>
    <t>2. Figures for major and over 3 days injuries are estimates</t>
  </si>
  <si>
    <t>Reportable major injuries are: fracture other than to fingers, thumbs or toes; amputation; dislocation of the shoulder, hip, knee or spine; loss of sight (temporary or permanent); chemical or hot metal burn to the eye or any penetrating injury to the eye;  injury resulting from an electric shock or electrical burn leading to unconsciousness or requiring resuscitation or admittance to hospital for more than 24 hours; any other injury: leading to hypothermia, heat-induced illness or unconsciousness; or requiring resuscitation; or requiring admittance to hospital for more than 24 hours; unconsciousness caused by asphyxia or exposure to harmful substance or biological agent; acute illness requiring medical treatment, or loss of consciousness arising from absorption of any substance by inhalation, ingestion or through the skin; acute illness requiring medical treatment where there is reason to believe that this resulted from exposure to a biological agent or its toxins or infected material.</t>
  </si>
  <si>
    <t>Source: CLG Annual Returns</t>
  </si>
  <si>
    <t>Appendix 11b. Injuries sustained by wholetime and retained duty system firefighters during operational incidents in England in 2009/10</t>
  </si>
  <si>
    <r>
      <t>At special service incidents</t>
    </r>
    <r>
      <rPr>
        <vertAlign val="superscript"/>
        <sz val="10"/>
        <rFont val="Arial"/>
        <family val="2"/>
      </rPr>
      <t>2</t>
    </r>
  </si>
  <si>
    <t>2. Including road traffic accidents</t>
  </si>
  <si>
    <t>Source:  CLG Annual Returns</t>
  </si>
  <si>
    <t>Appendix 11c. Injuries sustained by wholetime and retained duty system firefighers during training in England in 2009/10</t>
  </si>
  <si>
    <t>Appendix 11d. Injuries sustained by wholetime and retained duty system firefighers during routine activities in England in 2009/10</t>
  </si>
  <si>
    <r>
      <t>Reportable major injuries are: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fracture other than to fingers, thumbs or toes; amputation; dislocation of the shoulder, hip, knee or spine; loss of sight (temporary or permanent); chemical or hot metal burn to the eye or any penetrating injury to the eye;  injury resulting from an electric shock or electrical burn leading to unconsciousness or requiring resuscitation or admittance to hospital for more than 24 hours; any other injury: leading to hypothermia, heat-induced illness or unconsciousness; or requiring resuscitation; or requiring admittance to hospital for more than 24 hours; unconsciousness caused by asphyxia or exposure to harmful substance or biological agent; acute illness requiring medical treatment, or loss of consciousness arising from absorption of any substance by inhalation, ingestion or through the skin; acute illness requiring medical treatment where there is reason to believe that this resulted from exposure to a biological agent or its toxins or infected material.</t>
    </r>
  </si>
  <si>
    <t>Fatalities</t>
  </si>
  <si>
    <t>FIRE STATISTICS TABLE 0508d: Injuries sustained by firefighters and firefighter fatalities, during routine activities, by fire and rescue authority</t>
  </si>
  <si>
    <t>FIRE STATISTICS TABLE 0508c: Injuries sustained by firefighters and firefighter fatalities, during training incidents, by fire and rescue authority</t>
  </si>
  <si>
    <t>FIRE STATISTICS TABLE 0508b: Injuries sustained by firefighters and firefighter fatalities, during operational incidents, by fire and rescue authority</t>
  </si>
  <si>
    <t>FIRE STATISTICS TABLE 0508a: Injuries sustained by firefighters and firefighter fatalities, by fire and rescue authority</t>
  </si>
  <si>
    <t>Dorset &amp; Wiltshire</t>
  </si>
  <si>
    <t>..</t>
  </si>
  <si>
    <t>2016-17</t>
  </si>
  <si>
    <t>Next Update: Autumn 2018</t>
  </si>
  <si>
    <r>
      <t>Greater London</t>
    </r>
    <r>
      <rPr>
        <vertAlign val="superscript"/>
        <sz val="11"/>
        <rFont val="Calibri"/>
        <family val="2"/>
        <scheme val="minor"/>
      </rPr>
      <t>4</t>
    </r>
  </si>
  <si>
    <t>4 Greater London were unable to provide a breakdown of whether personel injuries were sustained at fires or special service incidents in 2016/17, so the total number has been presented here split by the proportions as reported for 2015/16.</t>
  </si>
  <si>
    <t>Updated alongside Fire and rescue workforce and pensions statistics</t>
  </si>
</sst>
</file>

<file path=xl/styles.xml><?xml version="1.0" encoding="utf-8"?>
<styleSheet xmlns="http://schemas.openxmlformats.org/spreadsheetml/2006/main">
  <numFmts count="4">
    <numFmt numFmtId="164" formatCode="#,##0_ ;\-#,##0\ "/>
    <numFmt numFmtId="165" formatCode="0.0%"/>
    <numFmt numFmtId="166" formatCode="#,##0.0000"/>
    <numFmt numFmtId="167" formatCode="0.0"/>
  </numFmts>
  <fonts count="26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43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b/>
      <sz val="11"/>
      <color rgb="FF000000"/>
      <name val="Calibri"/>
      <family val="2"/>
    </font>
    <font>
      <u/>
      <sz val="11"/>
      <color rgb="FF0563C1"/>
      <name val="Calibri"/>
      <family val="2"/>
    </font>
    <font>
      <b/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rgb="FFFFC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14">
    <xf numFmtId="0" fontId="0" fillId="0" borderId="0"/>
    <xf numFmtId="9" fontId="10" fillId="0" borderId="0" applyFont="0" applyFill="0" applyBorder="0" applyAlignment="0" applyProtection="0"/>
    <xf numFmtId="0" fontId="4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15" fillId="0" borderId="0" applyNumberFormat="0" applyFill="0" applyBorder="0" applyAlignment="0" applyProtection="0"/>
    <xf numFmtId="0" fontId="24" fillId="0" borderId="0"/>
    <xf numFmtId="0" fontId="23" fillId="0" borderId="0"/>
    <xf numFmtId="0" fontId="24" fillId="0" borderId="0"/>
    <xf numFmtId="9" fontId="23" fillId="0" borderId="0" applyFont="0" applyFill="0" applyBorder="0" applyAlignment="0" applyProtection="0"/>
    <xf numFmtId="0" fontId="24" fillId="0" borderId="0"/>
    <xf numFmtId="0" fontId="24" fillId="0" borderId="0"/>
  </cellStyleXfs>
  <cellXfs count="246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4" xfId="2" applyFont="1" applyBorder="1" applyAlignment="1">
      <alignment horizontal="right" vertical="center" wrapText="1"/>
    </xf>
    <xf numFmtId="0" fontId="8" fillId="0" borderId="0" xfId="2" applyNumberFormat="1" applyFont="1" applyBorder="1" applyAlignment="1">
      <alignment vertical="center"/>
    </xf>
    <xf numFmtId="164" fontId="8" fillId="0" borderId="0" xfId="2" applyNumberFormat="1" applyFont="1" applyBorder="1" applyAlignment="1">
      <alignment vertical="center" wrapText="1"/>
    </xf>
    <xf numFmtId="164" fontId="4" fillId="0" borderId="0" xfId="2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2" applyNumberFormat="1" applyFont="1" applyBorder="1" applyAlignment="1">
      <alignment horizontal="left" vertical="center"/>
    </xf>
    <xf numFmtId="0" fontId="8" fillId="0" borderId="0" xfId="2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2" applyNumberFormat="1" applyFont="1" applyBorder="1" applyAlignment="1">
      <alignment horizontal="left" vertical="center"/>
    </xf>
    <xf numFmtId="164" fontId="4" fillId="0" borderId="0" xfId="2" applyNumberFormat="1" applyFont="1" applyBorder="1" applyAlignment="1">
      <alignment horizontal="right" vertical="center" wrapText="1"/>
    </xf>
    <xf numFmtId="0" fontId="4" fillId="0" borderId="0" xfId="3" applyNumberFormat="1" applyFont="1" applyBorder="1" applyAlignment="1">
      <alignment horizontal="left" vertical="center"/>
    </xf>
    <xf numFmtId="0" fontId="4" fillId="0" borderId="0" xfId="4" applyNumberFormat="1" applyFont="1" applyBorder="1" applyAlignment="1">
      <alignment horizontal="left" vertical="center"/>
    </xf>
    <xf numFmtId="164" fontId="4" fillId="3" borderId="0" xfId="2" applyNumberFormat="1" applyFont="1" applyFill="1" applyBorder="1" applyAlignment="1">
      <alignment horizontal="right" vertical="center" wrapText="1"/>
    </xf>
    <xf numFmtId="164" fontId="8" fillId="0" borderId="0" xfId="2" applyNumberFormat="1" applyFont="1" applyBorder="1" applyAlignment="1">
      <alignment horizontal="right" vertical="center" wrapText="1"/>
    </xf>
    <xf numFmtId="0" fontId="4" fillId="0" borderId="0" xfId="2" applyNumberFormat="1" applyFont="1" applyBorder="1" applyAlignment="1">
      <alignment vertical="center"/>
    </xf>
    <xf numFmtId="0" fontId="4" fillId="0" borderId="4" xfId="2" applyNumberFormat="1" applyFont="1" applyBorder="1" applyAlignment="1">
      <alignment horizontal="left" vertical="center"/>
    </xf>
    <xf numFmtId="164" fontId="4" fillId="0" borderId="4" xfId="2" applyNumberFormat="1" applyFont="1" applyBorder="1" applyAlignment="1">
      <alignment horizontal="right" vertical="center" wrapText="1"/>
    </xf>
    <xf numFmtId="165" fontId="4" fillId="0" borderId="0" xfId="1" applyNumberFormat="1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4" fillId="0" borderId="0" xfId="5" applyFont="1" applyBorder="1" applyAlignment="1">
      <alignment vertical="center"/>
    </xf>
    <xf numFmtId="3" fontId="4" fillId="0" borderId="0" xfId="2" applyNumberFormat="1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0" xfId="6" applyFont="1" applyBorder="1" applyAlignment="1">
      <alignment vertical="center"/>
    </xf>
    <xf numFmtId="0" fontId="7" fillId="0" borderId="0" xfId="6" applyFont="1" applyBorder="1" applyAlignment="1">
      <alignment vertical="center"/>
    </xf>
    <xf numFmtId="0" fontId="4" fillId="0" borderId="4" xfId="2" applyFont="1" applyBorder="1" applyAlignment="1">
      <alignment horizontal="centerContinuous" vertical="center" wrapText="1"/>
    </xf>
    <xf numFmtId="0" fontId="4" fillId="0" borderId="2" xfId="2" applyFont="1" applyBorder="1" applyAlignment="1">
      <alignment horizontal="right" vertical="center" wrapText="1"/>
    </xf>
    <xf numFmtId="0" fontId="10" fillId="0" borderId="2" xfId="6" applyFont="1" applyBorder="1" applyAlignment="1">
      <alignment horizontal="right" vertical="center" wrapText="1"/>
    </xf>
    <xf numFmtId="0" fontId="9" fillId="0" borderId="0" xfId="6" applyFont="1" applyAlignment="1">
      <alignment vertical="center"/>
    </xf>
    <xf numFmtId="3" fontId="8" fillId="0" borderId="0" xfId="2" applyNumberFormat="1" applyFont="1" applyFill="1" applyBorder="1" applyAlignment="1">
      <alignment horizontal="right" vertical="center"/>
    </xf>
    <xf numFmtId="0" fontId="4" fillId="0" borderId="0" xfId="6" applyFont="1" applyAlignment="1">
      <alignment vertical="center"/>
    </xf>
    <xf numFmtId="3" fontId="4" fillId="0" borderId="0" xfId="2" applyNumberFormat="1" applyFont="1" applyFill="1" applyBorder="1" applyAlignment="1">
      <alignment horizontal="right" vertical="center"/>
    </xf>
    <xf numFmtId="3" fontId="4" fillId="0" borderId="0" xfId="2" applyNumberFormat="1" applyFont="1" applyBorder="1" applyAlignment="1">
      <alignment horizontal="right" vertical="center"/>
    </xf>
    <xf numFmtId="0" fontId="4" fillId="0" borderId="0" xfId="3" applyFont="1" applyBorder="1" applyAlignment="1">
      <alignment vertical="center"/>
    </xf>
    <xf numFmtId="0" fontId="4" fillId="0" borderId="0" xfId="4" applyFont="1" applyBorder="1" applyAlignment="1">
      <alignment vertical="center"/>
    </xf>
    <xf numFmtId="3" fontId="4" fillId="3" borderId="0" xfId="2" applyNumberFormat="1" applyFont="1" applyFill="1" applyBorder="1" applyAlignment="1">
      <alignment horizontal="right" vertical="center"/>
    </xf>
    <xf numFmtId="0" fontId="7" fillId="0" borderId="0" xfId="2" applyFont="1" applyBorder="1" applyAlignment="1">
      <alignment vertical="center"/>
    </xf>
    <xf numFmtId="3" fontId="8" fillId="0" borderId="0" xfId="2" applyNumberFormat="1" applyFont="1" applyBorder="1" applyAlignment="1">
      <alignment horizontal="right" vertical="center"/>
    </xf>
    <xf numFmtId="0" fontId="4" fillId="0" borderId="4" xfId="2" applyFont="1" applyBorder="1" applyAlignment="1">
      <alignment vertical="center"/>
    </xf>
    <xf numFmtId="3" fontId="4" fillId="0" borderId="4" xfId="2" applyNumberFormat="1" applyFont="1" applyFill="1" applyBorder="1" applyAlignment="1">
      <alignment horizontal="right" vertical="center"/>
    </xf>
    <xf numFmtId="3" fontId="4" fillId="0" borderId="4" xfId="2" applyNumberFormat="1" applyFont="1" applyBorder="1" applyAlignment="1">
      <alignment horizontal="right" vertical="center"/>
    </xf>
    <xf numFmtId="3" fontId="7" fillId="0" borderId="0" xfId="2" applyNumberFormat="1" applyFont="1" applyBorder="1" applyAlignment="1">
      <alignment horizontal="right" vertical="center"/>
    </xf>
    <xf numFmtId="166" fontId="7" fillId="0" borderId="0" xfId="2" applyNumberFormat="1" applyFont="1" applyBorder="1" applyAlignment="1">
      <alignment horizontal="right" vertical="center"/>
    </xf>
    <xf numFmtId="0" fontId="7" fillId="0" borderId="0" xfId="6" applyFont="1" applyAlignment="1">
      <alignment horizontal="left" vertical="center" wrapText="1"/>
    </xf>
    <xf numFmtId="3" fontId="8" fillId="0" borderId="0" xfId="2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4" fontId="4" fillId="0" borderId="0" xfId="2" applyNumberFormat="1" applyFont="1" applyBorder="1" applyAlignment="1">
      <alignment horizontal="right" vertical="center"/>
    </xf>
    <xf numFmtId="0" fontId="4" fillId="0" borderId="0" xfId="2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4" fillId="0" borderId="0" xfId="2" applyFont="1" applyBorder="1" applyAlignment="1">
      <alignment vertical="center"/>
    </xf>
    <xf numFmtId="0" fontId="4" fillId="0" borderId="4" xfId="2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4" fillId="0" borderId="4" xfId="2" applyFont="1" applyBorder="1" applyAlignment="1">
      <alignment vertical="center"/>
    </xf>
    <xf numFmtId="0" fontId="13" fillId="5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6" borderId="0" xfId="0" applyFill="1"/>
    <xf numFmtId="0" fontId="0" fillId="7" borderId="0" xfId="0" applyFill="1"/>
    <xf numFmtId="0" fontId="14" fillId="6" borderId="0" xfId="6" applyFont="1" applyFill="1" applyAlignment="1">
      <alignment vertical="center"/>
    </xf>
    <xf numFmtId="0" fontId="10" fillId="7" borderId="0" xfId="6" applyFill="1"/>
    <xf numFmtId="0" fontId="14" fillId="8" borderId="0" xfId="6" applyFont="1" applyFill="1" applyAlignment="1">
      <alignment horizontal="center" vertical="center"/>
    </xf>
    <xf numFmtId="0" fontId="0" fillId="6" borderId="6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Alignment="1"/>
    <xf numFmtId="0" fontId="0" fillId="6" borderId="6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0" xfId="0" applyFill="1" applyAlignment="1">
      <alignment horizontal="right" vertical="center" wrapText="1"/>
    </xf>
    <xf numFmtId="3" fontId="12" fillId="7" borderId="0" xfId="0" applyNumberFormat="1" applyFont="1" applyFill="1" applyBorder="1" applyAlignment="1">
      <alignment horizontal="right"/>
    </xf>
    <xf numFmtId="1" fontId="0" fillId="6" borderId="0" xfId="0" applyNumberFormat="1" applyFill="1"/>
    <xf numFmtId="167" fontId="0" fillId="7" borderId="0" xfId="0" applyNumberFormat="1" applyFill="1"/>
    <xf numFmtId="1" fontId="0" fillId="7" borderId="0" xfId="0" applyNumberFormat="1" applyFill="1"/>
    <xf numFmtId="0" fontId="12" fillId="6" borderId="0" xfId="0" applyFont="1" applyFill="1" applyBorder="1"/>
    <xf numFmtId="3" fontId="0" fillId="7" borderId="0" xfId="0" applyNumberFormat="1" applyFill="1" applyBorder="1" applyAlignment="1">
      <alignment horizontal="right"/>
    </xf>
    <xf numFmtId="3" fontId="0" fillId="6" borderId="0" xfId="0" applyNumberFormat="1" applyFill="1"/>
    <xf numFmtId="0" fontId="12" fillId="6" borderId="0" xfId="0" applyFont="1" applyFill="1"/>
    <xf numFmtId="0" fontId="0" fillId="6" borderId="6" xfId="0" applyFill="1" applyBorder="1"/>
    <xf numFmtId="3" fontId="0" fillId="7" borderId="6" xfId="0" applyNumberFormat="1" applyFill="1" applyBorder="1" applyAlignment="1">
      <alignment horizontal="right"/>
    </xf>
    <xf numFmtId="3" fontId="12" fillId="7" borderId="6" xfId="0" applyNumberFormat="1" applyFont="1" applyFill="1" applyBorder="1" applyAlignment="1">
      <alignment horizontal="right"/>
    </xf>
    <xf numFmtId="0" fontId="14" fillId="6" borderId="0" xfId="0" applyFont="1" applyFill="1"/>
    <xf numFmtId="0" fontId="0" fillId="6" borderId="0" xfId="0" applyFill="1" applyAlignment="1">
      <alignment horizontal="left" wrapText="1"/>
    </xf>
    <xf numFmtId="0" fontId="15" fillId="6" borderId="0" xfId="7" applyFont="1" applyFill="1"/>
    <xf numFmtId="0" fontId="0" fillId="6" borderId="0" xfId="0" applyFill="1" applyAlignment="1">
      <alignment horizontal="right"/>
    </xf>
    <xf numFmtId="0" fontId="14" fillId="9" borderId="0" xfId="6" applyFont="1" applyFill="1" applyAlignment="1">
      <alignment horizontal="center" vertical="center"/>
    </xf>
    <xf numFmtId="0" fontId="16" fillId="6" borderId="0" xfId="0" applyFont="1" applyFill="1"/>
    <xf numFmtId="3" fontId="16" fillId="7" borderId="0" xfId="0" applyNumberFormat="1" applyFont="1" applyFill="1" applyBorder="1" applyAlignment="1">
      <alignment horizontal="right"/>
    </xf>
    <xf numFmtId="3" fontId="3" fillId="7" borderId="0" xfId="0" applyNumberFormat="1" applyFont="1" applyFill="1" applyBorder="1" applyAlignment="1">
      <alignment horizontal="right"/>
    </xf>
    <xf numFmtId="0" fontId="0" fillId="6" borderId="0" xfId="0" applyFill="1" applyBorder="1" applyAlignment="1">
      <alignment horizontal="center"/>
    </xf>
    <xf numFmtId="0" fontId="0" fillId="6" borderId="6" xfId="0" applyFill="1" applyBorder="1" applyAlignment="1">
      <alignment horizontal="center" vertical="center" wrapText="1"/>
    </xf>
    <xf numFmtId="0" fontId="0" fillId="6" borderId="8" xfId="0" applyFill="1" applyBorder="1" applyAlignment="1"/>
    <xf numFmtId="0" fontId="0" fillId="6" borderId="8" xfId="0" applyFill="1" applyBorder="1" applyAlignment="1">
      <alignment horizontal="center"/>
    </xf>
    <xf numFmtId="0" fontId="17" fillId="6" borderId="0" xfId="0" applyFont="1" applyFill="1"/>
    <xf numFmtId="0" fontId="17" fillId="6" borderId="8" xfId="0" applyFont="1" applyFill="1" applyBorder="1" applyAlignment="1"/>
    <xf numFmtId="0" fontId="17" fillId="6" borderId="8" xfId="0" applyFont="1" applyFill="1" applyBorder="1" applyAlignment="1">
      <alignment horizontal="center"/>
    </xf>
    <xf numFmtId="0" fontId="17" fillId="6" borderId="6" xfId="0" applyFont="1" applyFill="1" applyBorder="1" applyAlignment="1">
      <alignment horizontal="left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8" fillId="6" borderId="0" xfId="0" applyFont="1" applyFill="1"/>
    <xf numFmtId="3" fontId="18" fillId="7" borderId="0" xfId="0" applyNumberFormat="1" applyFont="1" applyFill="1" applyBorder="1" applyAlignment="1">
      <alignment horizontal="right"/>
    </xf>
    <xf numFmtId="3" fontId="17" fillId="7" borderId="0" xfId="0" applyNumberFormat="1" applyFont="1" applyFill="1" applyBorder="1" applyAlignment="1">
      <alignment horizontal="right"/>
    </xf>
    <xf numFmtId="3" fontId="17" fillId="6" borderId="0" xfId="0" applyNumberFormat="1" applyFont="1" applyFill="1"/>
    <xf numFmtId="0" fontId="17" fillId="7" borderId="0" xfId="0" applyFont="1" applyFill="1"/>
    <xf numFmtId="0" fontId="17" fillId="6" borderId="6" xfId="0" applyFont="1" applyFill="1" applyBorder="1"/>
    <xf numFmtId="3" fontId="17" fillId="7" borderId="6" xfId="0" applyNumberFormat="1" applyFont="1" applyFill="1" applyBorder="1" applyAlignment="1">
      <alignment horizontal="right"/>
    </xf>
    <xf numFmtId="0" fontId="20" fillId="6" borderId="0" xfId="0" applyFont="1" applyFill="1"/>
    <xf numFmtId="0" fontId="21" fillId="6" borderId="0" xfId="7" applyFont="1" applyFill="1"/>
    <xf numFmtId="1" fontId="17" fillId="6" borderId="0" xfId="0" applyNumberFormat="1" applyFont="1" applyFill="1"/>
    <xf numFmtId="0" fontId="17" fillId="6" borderId="0" xfId="0" applyFont="1" applyFill="1" applyAlignment="1">
      <alignment horizontal="left" wrapText="1"/>
    </xf>
    <xf numFmtId="0" fontId="17" fillId="6" borderId="0" xfId="0" applyFont="1" applyFill="1" applyAlignment="1">
      <alignment wrapText="1"/>
    </xf>
    <xf numFmtId="0" fontId="17" fillId="6" borderId="0" xfId="0" applyFont="1" applyFill="1" applyBorder="1"/>
    <xf numFmtId="3" fontId="3" fillId="7" borderId="6" xfId="0" applyNumberFormat="1" applyFont="1" applyFill="1" applyBorder="1" applyAlignment="1">
      <alignment horizontal="right"/>
    </xf>
    <xf numFmtId="0" fontId="0" fillId="7" borderId="0" xfId="0" applyFill="1" applyAlignment="1">
      <alignment horizontal="center" wrapText="1"/>
    </xf>
    <xf numFmtId="0" fontId="17" fillId="6" borderId="0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left"/>
    </xf>
    <xf numFmtId="0" fontId="17" fillId="7" borderId="0" xfId="0" applyFont="1" applyFill="1" applyAlignment="1">
      <alignment horizontal="center"/>
    </xf>
    <xf numFmtId="0" fontId="17" fillId="6" borderId="0" xfId="0" applyFont="1" applyFill="1" applyAlignment="1">
      <alignment horizontal="right" vertical="center" wrapText="1"/>
    </xf>
    <xf numFmtId="1" fontId="17" fillId="7" borderId="0" xfId="0" applyNumberFormat="1" applyFont="1" applyFill="1"/>
    <xf numFmtId="0" fontId="4" fillId="0" borderId="0" xfId="8" applyFont="1" applyBorder="1" applyAlignment="1">
      <alignment vertical="center"/>
    </xf>
    <xf numFmtId="0" fontId="4" fillId="0" borderId="4" xfId="8" applyFont="1" applyBorder="1" applyAlignment="1">
      <alignment horizontal="right" vertical="center" wrapText="1"/>
    </xf>
    <xf numFmtId="0" fontId="8" fillId="0" borderId="0" xfId="8" applyNumberFormat="1" applyFont="1" applyBorder="1" applyAlignment="1">
      <alignment vertical="center"/>
    </xf>
    <xf numFmtId="164" fontId="8" fillId="0" borderId="0" xfId="8" applyNumberFormat="1" applyFont="1" applyBorder="1" applyAlignment="1">
      <alignment vertical="center" wrapText="1"/>
    </xf>
    <xf numFmtId="0" fontId="8" fillId="0" borderId="0" xfId="8" applyNumberFormat="1" applyFont="1" applyBorder="1" applyAlignment="1">
      <alignment horizontal="left" vertical="center"/>
    </xf>
    <xf numFmtId="0" fontId="8" fillId="0" borderId="0" xfId="8" applyFont="1" applyBorder="1" applyAlignment="1">
      <alignment vertical="center"/>
    </xf>
    <xf numFmtId="0" fontId="4" fillId="0" borderId="0" xfId="8" applyNumberFormat="1" applyFont="1" applyBorder="1" applyAlignment="1">
      <alignment horizontal="left" vertical="center"/>
    </xf>
    <xf numFmtId="164" fontId="4" fillId="0" borderId="0" xfId="8" applyNumberFormat="1" applyFont="1" applyBorder="1" applyAlignment="1">
      <alignment horizontal="right" vertical="center" wrapText="1"/>
    </xf>
    <xf numFmtId="0" fontId="4" fillId="0" borderId="0" xfId="9" applyNumberFormat="1" applyFont="1" applyBorder="1" applyAlignment="1">
      <alignment horizontal="left" vertical="center"/>
    </xf>
    <xf numFmtId="0" fontId="4" fillId="0" borderId="0" xfId="10" applyNumberFormat="1" applyFont="1" applyBorder="1" applyAlignment="1">
      <alignment horizontal="left" vertical="center"/>
    </xf>
    <xf numFmtId="164" fontId="4" fillId="3" borderId="0" xfId="8" applyNumberFormat="1" applyFont="1" applyFill="1" applyBorder="1" applyAlignment="1">
      <alignment horizontal="right" vertical="center" wrapText="1"/>
    </xf>
    <xf numFmtId="164" fontId="8" fillId="0" borderId="0" xfId="8" applyNumberFormat="1" applyFont="1" applyBorder="1" applyAlignment="1">
      <alignment horizontal="right" vertical="center" wrapText="1"/>
    </xf>
    <xf numFmtId="0" fontId="4" fillId="0" borderId="0" xfId="8" applyNumberFormat="1" applyFont="1" applyBorder="1" applyAlignment="1">
      <alignment vertical="center"/>
    </xf>
    <xf numFmtId="0" fontId="4" fillId="0" borderId="4" xfId="8" applyNumberFormat="1" applyFont="1" applyBorder="1" applyAlignment="1">
      <alignment horizontal="left" vertical="center"/>
    </xf>
    <xf numFmtId="164" fontId="4" fillId="0" borderId="4" xfId="8" applyNumberFormat="1" applyFont="1" applyBorder="1" applyAlignment="1">
      <alignment horizontal="right" vertical="center" wrapText="1"/>
    </xf>
    <xf numFmtId="165" fontId="4" fillId="0" borderId="0" xfId="11" applyNumberFormat="1" applyFont="1" applyBorder="1" applyAlignment="1">
      <alignment vertical="center"/>
    </xf>
    <xf numFmtId="0" fontId="4" fillId="0" borderId="0" xfId="12" applyFont="1" applyBorder="1" applyAlignment="1">
      <alignment vertical="center"/>
    </xf>
    <xf numFmtId="3" fontId="4" fillId="0" borderId="0" xfId="8" applyNumberFormat="1" applyFont="1" applyBorder="1" applyAlignment="1">
      <alignment vertical="center"/>
    </xf>
    <xf numFmtId="0" fontId="11" fillId="0" borderId="0" xfId="8" applyFont="1" applyBorder="1" applyAlignment="1">
      <alignment vertical="center"/>
    </xf>
    <xf numFmtId="0" fontId="4" fillId="0" borderId="0" xfId="8" applyFont="1" applyFill="1" applyBorder="1" applyAlignment="1">
      <alignment vertical="center"/>
    </xf>
    <xf numFmtId="0" fontId="4" fillId="0" borderId="4" xfId="8" applyFont="1" applyBorder="1" applyAlignment="1">
      <alignment horizontal="centerContinuous" vertical="center" wrapText="1"/>
    </xf>
    <xf numFmtId="0" fontId="4" fillId="0" borderId="2" xfId="8" applyFont="1" applyBorder="1" applyAlignment="1">
      <alignment horizontal="right" vertical="center" wrapText="1"/>
    </xf>
    <xf numFmtId="0" fontId="23" fillId="0" borderId="2" xfId="0" applyFont="1" applyBorder="1" applyAlignment="1">
      <alignment horizontal="right" vertical="center" wrapText="1"/>
    </xf>
    <xf numFmtId="164" fontId="4" fillId="0" borderId="0" xfId="8" applyNumberFormat="1" applyFont="1" applyBorder="1" applyAlignment="1">
      <alignment vertical="center"/>
    </xf>
    <xf numFmtId="3" fontId="8" fillId="0" borderId="0" xfId="8" applyNumberFormat="1" applyFont="1" applyFill="1" applyBorder="1" applyAlignment="1">
      <alignment horizontal="right" vertical="center"/>
    </xf>
    <xf numFmtId="3" fontId="4" fillId="0" borderId="0" xfId="8" applyNumberFormat="1" applyFont="1" applyFill="1" applyBorder="1" applyAlignment="1">
      <alignment horizontal="right" vertical="center"/>
    </xf>
    <xf numFmtId="3" fontId="4" fillId="0" borderId="0" xfId="8" applyNumberFormat="1" applyFont="1" applyBorder="1" applyAlignment="1">
      <alignment horizontal="right" vertical="center"/>
    </xf>
    <xf numFmtId="0" fontId="4" fillId="0" borderId="0" xfId="9" applyFont="1" applyBorder="1" applyAlignment="1">
      <alignment vertical="center"/>
    </xf>
    <xf numFmtId="0" fontId="4" fillId="0" borderId="0" xfId="10" applyFont="1" applyBorder="1" applyAlignment="1">
      <alignment vertical="center"/>
    </xf>
    <xf numFmtId="3" fontId="4" fillId="3" borderId="0" xfId="8" applyNumberFormat="1" applyFont="1" applyFill="1" applyBorder="1" applyAlignment="1">
      <alignment horizontal="right" vertical="center"/>
    </xf>
    <xf numFmtId="0" fontId="7" fillId="0" borderId="0" xfId="8" applyFont="1" applyBorder="1" applyAlignment="1">
      <alignment vertical="center"/>
    </xf>
    <xf numFmtId="3" fontId="8" fillId="0" borderId="0" xfId="8" applyNumberFormat="1" applyFont="1" applyBorder="1" applyAlignment="1">
      <alignment horizontal="right" vertical="center"/>
    </xf>
    <xf numFmtId="0" fontId="4" fillId="0" borderId="4" xfId="8" applyFont="1" applyBorder="1" applyAlignment="1">
      <alignment vertical="center"/>
    </xf>
    <xf numFmtId="3" fontId="4" fillId="0" borderId="4" xfId="8" applyNumberFormat="1" applyFont="1" applyFill="1" applyBorder="1" applyAlignment="1">
      <alignment horizontal="right" vertical="center"/>
    </xf>
    <xf numFmtId="3" fontId="4" fillId="0" borderId="4" xfId="8" applyNumberFormat="1" applyFont="1" applyBorder="1" applyAlignment="1">
      <alignment horizontal="right" vertical="center"/>
    </xf>
    <xf numFmtId="3" fontId="7" fillId="0" borderId="0" xfId="8" applyNumberFormat="1" applyFont="1" applyBorder="1" applyAlignment="1">
      <alignment horizontal="right" vertical="center"/>
    </xf>
    <xf numFmtId="166" fontId="7" fillId="0" borderId="0" xfId="8" applyNumberFormat="1" applyFont="1" applyBorder="1" applyAlignment="1">
      <alignment horizontal="right" vertical="center"/>
    </xf>
    <xf numFmtId="3" fontId="8" fillId="0" borderId="0" xfId="8" applyNumberFormat="1" applyFont="1" applyBorder="1" applyAlignment="1">
      <alignment horizontal="right" vertical="center" wrapText="1"/>
    </xf>
    <xf numFmtId="4" fontId="4" fillId="0" borderId="0" xfId="8" applyNumberFormat="1" applyFont="1" applyBorder="1" applyAlignment="1">
      <alignment horizontal="right" vertical="center"/>
    </xf>
    <xf numFmtId="0" fontId="4" fillId="0" borderId="0" xfId="8" applyFont="1" applyBorder="1" applyAlignment="1">
      <alignment horizontal="right" vertical="center"/>
    </xf>
    <xf numFmtId="10" fontId="4" fillId="0" borderId="0" xfId="13" applyNumberFormat="1" applyFont="1" applyBorder="1" applyAlignment="1">
      <alignment vertical="center"/>
    </xf>
    <xf numFmtId="164" fontId="4" fillId="0" borderId="0" xfId="8" applyNumberFormat="1" applyFont="1" applyBorder="1" applyAlignment="1">
      <alignment vertical="center" wrapText="1"/>
    </xf>
    <xf numFmtId="164" fontId="4" fillId="0" borderId="4" xfId="8" applyNumberFormat="1" applyFont="1" applyBorder="1" applyAlignment="1">
      <alignment vertical="center" wrapText="1"/>
    </xf>
    <xf numFmtId="3" fontId="4" fillId="0" borderId="0" xfId="8" applyNumberFormat="1" applyFont="1" applyFill="1" applyBorder="1" applyAlignment="1">
      <alignment vertical="center"/>
    </xf>
    <xf numFmtId="3" fontId="9" fillId="0" borderId="0" xfId="12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8" fillId="0" borderId="0" xfId="8" applyNumberFormat="1" applyFont="1" applyBorder="1" applyAlignment="1">
      <alignment vertical="center"/>
    </xf>
    <xf numFmtId="3" fontId="4" fillId="0" borderId="4" xfId="8" applyNumberFormat="1" applyFont="1" applyBorder="1" applyAlignment="1">
      <alignment vertical="center"/>
    </xf>
    <xf numFmtId="4" fontId="4" fillId="0" borderId="0" xfId="8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9" fillId="0" borderId="0" xfId="0" applyNumberFormat="1" applyFont="1" applyBorder="1" applyAlignment="1">
      <alignment horizontal="right" wrapText="1"/>
    </xf>
    <xf numFmtId="9" fontId="4" fillId="0" borderId="0" xfId="11" applyFont="1" applyBorder="1" applyAlignment="1">
      <alignment vertical="center"/>
    </xf>
    <xf numFmtId="164" fontId="4" fillId="0" borderId="0" xfId="2" applyNumberFormat="1" applyFont="1" applyBorder="1" applyAlignment="1">
      <alignment vertical="center" wrapText="1"/>
    </xf>
    <xf numFmtId="164" fontId="4" fillId="0" borderId="4" xfId="2" applyNumberFormat="1" applyFont="1" applyBorder="1" applyAlignment="1">
      <alignment vertical="center" wrapText="1"/>
    </xf>
    <xf numFmtId="0" fontId="10" fillId="0" borderId="2" xfId="0" applyFont="1" applyBorder="1" applyAlignment="1">
      <alignment horizontal="right" vertical="center" wrapText="1"/>
    </xf>
    <xf numFmtId="3" fontId="8" fillId="0" borderId="0" xfId="2" applyNumberFormat="1" applyFont="1" applyBorder="1" applyAlignment="1">
      <alignment vertical="center"/>
    </xf>
    <xf numFmtId="3" fontId="4" fillId="0" borderId="0" xfId="2" applyNumberFormat="1" applyFont="1" applyFill="1" applyBorder="1" applyAlignment="1">
      <alignment vertical="center"/>
    </xf>
    <xf numFmtId="3" fontId="4" fillId="0" borderId="4" xfId="2" applyNumberFormat="1" applyFont="1" applyBorder="1" applyAlignment="1">
      <alignment vertical="center"/>
    </xf>
    <xf numFmtId="4" fontId="4" fillId="0" borderId="0" xfId="2" applyNumberFormat="1" applyFont="1" applyBorder="1" applyAlignment="1">
      <alignment vertical="center"/>
    </xf>
    <xf numFmtId="0" fontId="17" fillId="6" borderId="0" xfId="0" applyFont="1" applyFill="1" applyAlignment="1">
      <alignment horizontal="left"/>
    </xf>
    <xf numFmtId="0" fontId="4" fillId="0" borderId="0" xfId="8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4" fillId="0" borderId="0" xfId="2" applyFont="1" applyBorder="1" applyAlignment="1">
      <alignment vertical="center"/>
    </xf>
    <xf numFmtId="0" fontId="4" fillId="0" borderId="4" xfId="2" applyFont="1" applyBorder="1" applyAlignment="1">
      <alignment horizontal="right" vertical="center" wrapText="1"/>
    </xf>
    <xf numFmtId="0" fontId="4" fillId="0" borderId="4" xfId="2" applyFont="1" applyBorder="1" applyAlignment="1">
      <alignment vertical="center"/>
    </xf>
    <xf numFmtId="3" fontId="2" fillId="7" borderId="0" xfId="0" applyNumberFormat="1" applyFont="1" applyFill="1" applyBorder="1" applyAlignment="1">
      <alignment horizontal="right"/>
    </xf>
    <xf numFmtId="3" fontId="0" fillId="7" borderId="0" xfId="0" applyNumberFormat="1" applyFont="1" applyFill="1" applyBorder="1" applyAlignment="1">
      <alignment horizontal="right"/>
    </xf>
    <xf numFmtId="3" fontId="2" fillId="7" borderId="6" xfId="0" applyNumberFormat="1" applyFont="1" applyFill="1" applyBorder="1" applyAlignment="1">
      <alignment horizontal="right"/>
    </xf>
    <xf numFmtId="3" fontId="1" fillId="7" borderId="0" xfId="0" applyNumberFormat="1" applyFont="1" applyFill="1" applyBorder="1" applyAlignment="1">
      <alignment horizontal="right"/>
    </xf>
    <xf numFmtId="3" fontId="1" fillId="7" borderId="6" xfId="0" applyNumberFormat="1" applyFont="1" applyFill="1" applyBorder="1" applyAlignment="1">
      <alignment horizontal="right"/>
    </xf>
    <xf numFmtId="0" fontId="15" fillId="7" borderId="0" xfId="7" applyFill="1" applyAlignment="1">
      <alignment horizontal="right"/>
    </xf>
    <xf numFmtId="0" fontId="17" fillId="7" borderId="0" xfId="0" applyFont="1" applyFill="1" applyAlignment="1">
      <alignment horizontal="right"/>
    </xf>
    <xf numFmtId="0" fontId="5" fillId="2" borderId="0" xfId="8" applyFont="1" applyFill="1" applyBorder="1" applyAlignment="1">
      <alignment vertical="center" wrapText="1"/>
    </xf>
    <xf numFmtId="0" fontId="4" fillId="0" borderId="0" xfId="8" applyFont="1" applyBorder="1" applyAlignment="1">
      <alignment vertical="center"/>
    </xf>
    <xf numFmtId="0" fontId="4" fillId="0" borderId="0" xfId="8" applyFont="1" applyBorder="1" applyAlignment="1">
      <alignment horizontal="right" vertical="center" wrapText="1"/>
    </xf>
    <xf numFmtId="0" fontId="4" fillId="0" borderId="4" xfId="8" applyFont="1" applyBorder="1" applyAlignment="1">
      <alignment horizontal="right" vertical="center" wrapText="1"/>
    </xf>
    <xf numFmtId="0" fontId="4" fillId="0" borderId="4" xfId="8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4" xfId="8" applyFont="1" applyBorder="1" applyAlignment="1">
      <alignment vertical="center"/>
    </xf>
    <xf numFmtId="0" fontId="4" fillId="0" borderId="2" xfId="8" applyFont="1" applyBorder="1" applyAlignment="1">
      <alignment horizontal="center" vertical="center"/>
    </xf>
    <xf numFmtId="0" fontId="4" fillId="0" borderId="5" xfId="8" applyFont="1" applyBorder="1" applyAlignment="1">
      <alignment horizontal="center" vertical="center" wrapText="1"/>
    </xf>
    <xf numFmtId="0" fontId="4" fillId="0" borderId="4" xfId="8" applyFont="1" applyBorder="1" applyAlignment="1">
      <alignment horizontal="center" vertical="center" wrapText="1"/>
    </xf>
    <xf numFmtId="0" fontId="4" fillId="0" borderId="5" xfId="8" applyFont="1" applyBorder="1" applyAlignment="1">
      <alignment horizontal="right" vertical="center" wrapText="1"/>
    </xf>
    <xf numFmtId="0" fontId="5" fillId="2" borderId="0" xfId="2" applyFont="1" applyFill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right" vertical="center" wrapText="1"/>
    </xf>
    <xf numFmtId="0" fontId="4" fillId="0" borderId="4" xfId="2" applyFont="1" applyBorder="1" applyAlignment="1">
      <alignment horizontal="right" vertical="center" wrapText="1"/>
    </xf>
    <xf numFmtId="0" fontId="4" fillId="0" borderId="4" xfId="2" applyFont="1" applyBorder="1" applyAlignment="1">
      <alignment horizontal="center" vertical="center"/>
    </xf>
    <xf numFmtId="0" fontId="4" fillId="0" borderId="4" xfId="2" applyFont="1" applyBorder="1" applyAlignment="1">
      <alignment vertical="center"/>
    </xf>
    <xf numFmtId="0" fontId="4" fillId="0" borderId="0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8" applyFont="1" applyBorder="1" applyAlignment="1">
      <alignment horizontal="center" vertical="center" wrapText="1"/>
    </xf>
    <xf numFmtId="0" fontId="5" fillId="2" borderId="1" xfId="8" applyFont="1" applyFill="1" applyBorder="1" applyAlignment="1">
      <alignment vertical="center" wrapText="1"/>
    </xf>
    <xf numFmtId="0" fontId="5" fillId="2" borderId="2" xfId="8" applyFont="1" applyFill="1" applyBorder="1" applyAlignment="1">
      <alignment vertical="center" wrapText="1"/>
    </xf>
    <xf numFmtId="0" fontId="5" fillId="2" borderId="3" xfId="8" applyFont="1" applyFill="1" applyBorder="1" applyAlignment="1">
      <alignment vertical="center" wrapText="1"/>
    </xf>
    <xf numFmtId="0" fontId="4" fillId="0" borderId="4" xfId="8" applyFont="1" applyBorder="1" applyAlignment="1">
      <alignment horizontal="right" vertical="center"/>
    </xf>
    <xf numFmtId="0" fontId="5" fillId="2" borderId="1" xfId="2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3" xfId="2" applyFont="1" applyFill="1" applyBorder="1" applyAlignment="1">
      <alignment vertical="center" wrapText="1"/>
    </xf>
    <xf numFmtId="0" fontId="4" fillId="0" borderId="0" xfId="6" applyFont="1" applyAlignment="1">
      <alignment horizontal="left" vertical="center" wrapText="1"/>
    </xf>
    <xf numFmtId="0" fontId="4" fillId="0" borderId="4" xfId="2" applyFont="1" applyBorder="1" applyAlignment="1">
      <alignment horizontal="right" vertical="center"/>
    </xf>
    <xf numFmtId="0" fontId="0" fillId="6" borderId="0" xfId="0" applyFill="1" applyAlignment="1">
      <alignment horizontal="left" wrapText="1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13" fillId="4" borderId="0" xfId="0" applyFont="1" applyFill="1" applyAlignment="1">
      <alignment horizontal="left" wrapText="1"/>
    </xf>
    <xf numFmtId="0" fontId="14" fillId="8" borderId="0" xfId="6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6" xfId="0" applyFill="1" applyBorder="1" applyAlignment="1">
      <alignment horizontal="center"/>
    </xf>
    <xf numFmtId="0" fontId="17" fillId="6" borderId="7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/>
    </xf>
    <xf numFmtId="0" fontId="17" fillId="6" borderId="8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left" wrapText="1"/>
    </xf>
    <xf numFmtId="0" fontId="17" fillId="6" borderId="0" xfId="0" applyFont="1" applyFill="1" applyAlignment="1">
      <alignment horizontal="left"/>
    </xf>
    <xf numFmtId="0" fontId="22" fillId="6" borderId="0" xfId="0" applyFont="1" applyFill="1" applyAlignment="1">
      <alignment horizontal="left" wrapText="1"/>
    </xf>
  </cellXfs>
  <cellStyles count="14">
    <cellStyle name="Hyperlink" xfId="7"/>
    <cellStyle name="Normal" xfId="0" builtinId="0"/>
    <cellStyle name="Normal 2" xfId="6"/>
    <cellStyle name="Normal_Book1" xfId="5"/>
    <cellStyle name="Normal_Book1 2" xfId="12"/>
    <cellStyle name="Normal_Ethnicity and gender" xfId="4"/>
    <cellStyle name="Normal_Ethnicity and gender 2" xfId="10"/>
    <cellStyle name="Normal_Gender" xfId="3"/>
    <cellStyle name="Normal_Gender 2" xfId="9"/>
    <cellStyle name="Normal_Injuries" xfId="2"/>
    <cellStyle name="Normal_Injuries 2" xfId="8"/>
    <cellStyle name="Normal_Operational Activities" xfId="13"/>
    <cellStyle name="Percent" xfId="1" builtinId="5"/>
    <cellStyle name="Percent 2" xfId="11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fire-and-rescue-workforce-and-pensions-statistics-england-april-2016-to-march-2017" TargetMode="External"/><Relationship Id="rId2" Type="http://schemas.openxmlformats.org/officeDocument/2006/relationships/hyperlink" Target="mailto:firestatistics@homeoffice.gsi.gov.uk" TargetMode="External"/><Relationship Id="rId1" Type="http://schemas.openxmlformats.org/officeDocument/2006/relationships/hyperlink" Target="https://www.gov.uk/government/collections/fire-statistics" TargetMode="External"/><Relationship Id="rId4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fire-and-rescue-workforce-and-pensions-statistics-england-april-2016-to-march-2017" TargetMode="External"/><Relationship Id="rId2" Type="http://schemas.openxmlformats.org/officeDocument/2006/relationships/hyperlink" Target="mailto:firestatistics@homeoffice.gsi.gov.uk" TargetMode="External"/><Relationship Id="rId1" Type="http://schemas.openxmlformats.org/officeDocument/2006/relationships/hyperlink" Target="https://www.gov.uk/government/collections/fire-statistics" TargetMode="External"/><Relationship Id="rId4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fire-and-rescue-workforce-and-pensions-statistics-england-april-2016-to-march-2017" TargetMode="External"/><Relationship Id="rId2" Type="http://schemas.openxmlformats.org/officeDocument/2006/relationships/hyperlink" Target="mailto:firestatistics@homeoffice.gsi.gov.uk" TargetMode="External"/><Relationship Id="rId1" Type="http://schemas.openxmlformats.org/officeDocument/2006/relationships/hyperlink" Target="https://www.gov.uk/government/collections/fire-statistics" TargetMode="External"/><Relationship Id="rId4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fire-and-rescue-workforce-and-pensions-statistics-england-april-2016-to-march-2017" TargetMode="External"/><Relationship Id="rId2" Type="http://schemas.openxmlformats.org/officeDocument/2006/relationships/hyperlink" Target="mailto:firestatistics@homeoffice.gsi.gov.uk" TargetMode="External"/><Relationship Id="rId1" Type="http://schemas.openxmlformats.org/officeDocument/2006/relationships/hyperlink" Target="https://www.gov.uk/government/collections/fire-statistics" TargetMode="External"/><Relationship Id="rId4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1:H69"/>
  <sheetViews>
    <sheetView showGridLines="0" zoomScale="85" workbookViewId="0">
      <pane xSplit="2" ySplit="3" topLeftCell="C10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RowHeight="12.75"/>
  <cols>
    <col min="1" max="1" width="9.140625" style="124"/>
    <col min="2" max="2" width="28.7109375" style="124" customWidth="1"/>
    <col min="3" max="4" width="20" style="124" customWidth="1"/>
    <col min="5" max="5" width="15.140625" style="124" customWidth="1"/>
    <col min="6" max="6" width="17.7109375" style="124" customWidth="1"/>
    <col min="7" max="257" width="9.140625" style="124"/>
    <col min="258" max="258" width="28.7109375" style="124" customWidth="1"/>
    <col min="259" max="260" width="20" style="124" customWidth="1"/>
    <col min="261" max="261" width="15.140625" style="124" customWidth="1"/>
    <col min="262" max="262" width="17.7109375" style="124" customWidth="1"/>
    <col min="263" max="513" width="9.140625" style="124"/>
    <col min="514" max="514" width="28.7109375" style="124" customWidth="1"/>
    <col min="515" max="516" width="20" style="124" customWidth="1"/>
    <col min="517" max="517" width="15.140625" style="124" customWidth="1"/>
    <col min="518" max="518" width="17.7109375" style="124" customWidth="1"/>
    <col min="519" max="769" width="9.140625" style="124"/>
    <col min="770" max="770" width="28.7109375" style="124" customWidth="1"/>
    <col min="771" max="772" width="20" style="124" customWidth="1"/>
    <col min="773" max="773" width="15.140625" style="124" customWidth="1"/>
    <col min="774" max="774" width="17.7109375" style="124" customWidth="1"/>
    <col min="775" max="1025" width="9.140625" style="124"/>
    <col min="1026" max="1026" width="28.7109375" style="124" customWidth="1"/>
    <col min="1027" max="1028" width="20" style="124" customWidth="1"/>
    <col min="1029" max="1029" width="15.140625" style="124" customWidth="1"/>
    <col min="1030" max="1030" width="17.7109375" style="124" customWidth="1"/>
    <col min="1031" max="1281" width="9.140625" style="124"/>
    <col min="1282" max="1282" width="28.7109375" style="124" customWidth="1"/>
    <col min="1283" max="1284" width="20" style="124" customWidth="1"/>
    <col min="1285" max="1285" width="15.140625" style="124" customWidth="1"/>
    <col min="1286" max="1286" width="17.7109375" style="124" customWidth="1"/>
    <col min="1287" max="1537" width="9.140625" style="124"/>
    <col min="1538" max="1538" width="28.7109375" style="124" customWidth="1"/>
    <col min="1539" max="1540" width="20" style="124" customWidth="1"/>
    <col min="1541" max="1541" width="15.140625" style="124" customWidth="1"/>
    <col min="1542" max="1542" width="17.7109375" style="124" customWidth="1"/>
    <col min="1543" max="1793" width="9.140625" style="124"/>
    <col min="1794" max="1794" width="28.7109375" style="124" customWidth="1"/>
    <col min="1795" max="1796" width="20" style="124" customWidth="1"/>
    <col min="1797" max="1797" width="15.140625" style="124" customWidth="1"/>
    <col min="1798" max="1798" width="17.7109375" style="124" customWidth="1"/>
    <col min="1799" max="2049" width="9.140625" style="124"/>
    <col min="2050" max="2050" width="28.7109375" style="124" customWidth="1"/>
    <col min="2051" max="2052" width="20" style="124" customWidth="1"/>
    <col min="2053" max="2053" width="15.140625" style="124" customWidth="1"/>
    <col min="2054" max="2054" width="17.7109375" style="124" customWidth="1"/>
    <col min="2055" max="2305" width="9.140625" style="124"/>
    <col min="2306" max="2306" width="28.7109375" style="124" customWidth="1"/>
    <col min="2307" max="2308" width="20" style="124" customWidth="1"/>
    <col min="2309" max="2309" width="15.140625" style="124" customWidth="1"/>
    <col min="2310" max="2310" width="17.7109375" style="124" customWidth="1"/>
    <col min="2311" max="2561" width="9.140625" style="124"/>
    <col min="2562" max="2562" width="28.7109375" style="124" customWidth="1"/>
    <col min="2563" max="2564" width="20" style="124" customWidth="1"/>
    <col min="2565" max="2565" width="15.140625" style="124" customWidth="1"/>
    <col min="2566" max="2566" width="17.7109375" style="124" customWidth="1"/>
    <col min="2567" max="2817" width="9.140625" style="124"/>
    <col min="2818" max="2818" width="28.7109375" style="124" customWidth="1"/>
    <col min="2819" max="2820" width="20" style="124" customWidth="1"/>
    <col min="2821" max="2821" width="15.140625" style="124" customWidth="1"/>
    <col min="2822" max="2822" width="17.7109375" style="124" customWidth="1"/>
    <col min="2823" max="3073" width="9.140625" style="124"/>
    <col min="3074" max="3074" width="28.7109375" style="124" customWidth="1"/>
    <col min="3075" max="3076" width="20" style="124" customWidth="1"/>
    <col min="3077" max="3077" width="15.140625" style="124" customWidth="1"/>
    <col min="3078" max="3078" width="17.7109375" style="124" customWidth="1"/>
    <col min="3079" max="3329" width="9.140625" style="124"/>
    <col min="3330" max="3330" width="28.7109375" style="124" customWidth="1"/>
    <col min="3331" max="3332" width="20" style="124" customWidth="1"/>
    <col min="3333" max="3333" width="15.140625" style="124" customWidth="1"/>
    <col min="3334" max="3334" width="17.7109375" style="124" customWidth="1"/>
    <col min="3335" max="3585" width="9.140625" style="124"/>
    <col min="3586" max="3586" width="28.7109375" style="124" customWidth="1"/>
    <col min="3587" max="3588" width="20" style="124" customWidth="1"/>
    <col min="3589" max="3589" width="15.140625" style="124" customWidth="1"/>
    <col min="3590" max="3590" width="17.7109375" style="124" customWidth="1"/>
    <col min="3591" max="3841" width="9.140625" style="124"/>
    <col min="3842" max="3842" width="28.7109375" style="124" customWidth="1"/>
    <col min="3843" max="3844" width="20" style="124" customWidth="1"/>
    <col min="3845" max="3845" width="15.140625" style="124" customWidth="1"/>
    <col min="3846" max="3846" width="17.7109375" style="124" customWidth="1"/>
    <col min="3847" max="4097" width="9.140625" style="124"/>
    <col min="4098" max="4098" width="28.7109375" style="124" customWidth="1"/>
    <col min="4099" max="4100" width="20" style="124" customWidth="1"/>
    <col min="4101" max="4101" width="15.140625" style="124" customWidth="1"/>
    <col min="4102" max="4102" width="17.7109375" style="124" customWidth="1"/>
    <col min="4103" max="4353" width="9.140625" style="124"/>
    <col min="4354" max="4354" width="28.7109375" style="124" customWidth="1"/>
    <col min="4355" max="4356" width="20" style="124" customWidth="1"/>
    <col min="4357" max="4357" width="15.140625" style="124" customWidth="1"/>
    <col min="4358" max="4358" width="17.7109375" style="124" customWidth="1"/>
    <col min="4359" max="4609" width="9.140625" style="124"/>
    <col min="4610" max="4610" width="28.7109375" style="124" customWidth="1"/>
    <col min="4611" max="4612" width="20" style="124" customWidth="1"/>
    <col min="4613" max="4613" width="15.140625" style="124" customWidth="1"/>
    <col min="4614" max="4614" width="17.7109375" style="124" customWidth="1"/>
    <col min="4615" max="4865" width="9.140625" style="124"/>
    <col min="4866" max="4866" width="28.7109375" style="124" customWidth="1"/>
    <col min="4867" max="4868" width="20" style="124" customWidth="1"/>
    <col min="4869" max="4869" width="15.140625" style="124" customWidth="1"/>
    <col min="4870" max="4870" width="17.7109375" style="124" customWidth="1"/>
    <col min="4871" max="5121" width="9.140625" style="124"/>
    <col min="5122" max="5122" width="28.7109375" style="124" customWidth="1"/>
    <col min="5123" max="5124" width="20" style="124" customWidth="1"/>
    <col min="5125" max="5125" width="15.140625" style="124" customWidth="1"/>
    <col min="5126" max="5126" width="17.7109375" style="124" customWidth="1"/>
    <col min="5127" max="5377" width="9.140625" style="124"/>
    <col min="5378" max="5378" width="28.7109375" style="124" customWidth="1"/>
    <col min="5379" max="5380" width="20" style="124" customWidth="1"/>
    <col min="5381" max="5381" width="15.140625" style="124" customWidth="1"/>
    <col min="5382" max="5382" width="17.7109375" style="124" customWidth="1"/>
    <col min="5383" max="5633" width="9.140625" style="124"/>
    <col min="5634" max="5634" width="28.7109375" style="124" customWidth="1"/>
    <col min="5635" max="5636" width="20" style="124" customWidth="1"/>
    <col min="5637" max="5637" width="15.140625" style="124" customWidth="1"/>
    <col min="5638" max="5638" width="17.7109375" style="124" customWidth="1"/>
    <col min="5639" max="5889" width="9.140625" style="124"/>
    <col min="5890" max="5890" width="28.7109375" style="124" customWidth="1"/>
    <col min="5891" max="5892" width="20" style="124" customWidth="1"/>
    <col min="5893" max="5893" width="15.140625" style="124" customWidth="1"/>
    <col min="5894" max="5894" width="17.7109375" style="124" customWidth="1"/>
    <col min="5895" max="6145" width="9.140625" style="124"/>
    <col min="6146" max="6146" width="28.7109375" style="124" customWidth="1"/>
    <col min="6147" max="6148" width="20" style="124" customWidth="1"/>
    <col min="6149" max="6149" width="15.140625" style="124" customWidth="1"/>
    <col min="6150" max="6150" width="17.7109375" style="124" customWidth="1"/>
    <col min="6151" max="6401" width="9.140625" style="124"/>
    <col min="6402" max="6402" width="28.7109375" style="124" customWidth="1"/>
    <col min="6403" max="6404" width="20" style="124" customWidth="1"/>
    <col min="6405" max="6405" width="15.140625" style="124" customWidth="1"/>
    <col min="6406" max="6406" width="17.7109375" style="124" customWidth="1"/>
    <col min="6407" max="6657" width="9.140625" style="124"/>
    <col min="6658" max="6658" width="28.7109375" style="124" customWidth="1"/>
    <col min="6659" max="6660" width="20" style="124" customWidth="1"/>
    <col min="6661" max="6661" width="15.140625" style="124" customWidth="1"/>
    <col min="6662" max="6662" width="17.7109375" style="124" customWidth="1"/>
    <col min="6663" max="6913" width="9.140625" style="124"/>
    <col min="6914" max="6914" width="28.7109375" style="124" customWidth="1"/>
    <col min="6915" max="6916" width="20" style="124" customWidth="1"/>
    <col min="6917" max="6917" width="15.140625" style="124" customWidth="1"/>
    <col min="6918" max="6918" width="17.7109375" style="124" customWidth="1"/>
    <col min="6919" max="7169" width="9.140625" style="124"/>
    <col min="7170" max="7170" width="28.7109375" style="124" customWidth="1"/>
    <col min="7171" max="7172" width="20" style="124" customWidth="1"/>
    <col min="7173" max="7173" width="15.140625" style="124" customWidth="1"/>
    <col min="7174" max="7174" width="17.7109375" style="124" customWidth="1"/>
    <col min="7175" max="7425" width="9.140625" style="124"/>
    <col min="7426" max="7426" width="28.7109375" style="124" customWidth="1"/>
    <col min="7427" max="7428" width="20" style="124" customWidth="1"/>
    <col min="7429" max="7429" width="15.140625" style="124" customWidth="1"/>
    <col min="7430" max="7430" width="17.7109375" style="124" customWidth="1"/>
    <col min="7431" max="7681" width="9.140625" style="124"/>
    <col min="7682" max="7682" width="28.7109375" style="124" customWidth="1"/>
    <col min="7683" max="7684" width="20" style="124" customWidth="1"/>
    <col min="7685" max="7685" width="15.140625" style="124" customWidth="1"/>
    <col min="7686" max="7686" width="17.7109375" style="124" customWidth="1"/>
    <col min="7687" max="7937" width="9.140625" style="124"/>
    <col min="7938" max="7938" width="28.7109375" style="124" customWidth="1"/>
    <col min="7939" max="7940" width="20" style="124" customWidth="1"/>
    <col min="7941" max="7941" width="15.140625" style="124" customWidth="1"/>
    <col min="7942" max="7942" width="17.7109375" style="124" customWidth="1"/>
    <col min="7943" max="8193" width="9.140625" style="124"/>
    <col min="8194" max="8194" width="28.7109375" style="124" customWidth="1"/>
    <col min="8195" max="8196" width="20" style="124" customWidth="1"/>
    <col min="8197" max="8197" width="15.140625" style="124" customWidth="1"/>
    <col min="8198" max="8198" width="17.7109375" style="124" customWidth="1"/>
    <col min="8199" max="8449" width="9.140625" style="124"/>
    <col min="8450" max="8450" width="28.7109375" style="124" customWidth="1"/>
    <col min="8451" max="8452" width="20" style="124" customWidth="1"/>
    <col min="8453" max="8453" width="15.140625" style="124" customWidth="1"/>
    <col min="8454" max="8454" width="17.7109375" style="124" customWidth="1"/>
    <col min="8455" max="8705" width="9.140625" style="124"/>
    <col min="8706" max="8706" width="28.7109375" style="124" customWidth="1"/>
    <col min="8707" max="8708" width="20" style="124" customWidth="1"/>
    <col min="8709" max="8709" width="15.140625" style="124" customWidth="1"/>
    <col min="8710" max="8710" width="17.7109375" style="124" customWidth="1"/>
    <col min="8711" max="8961" width="9.140625" style="124"/>
    <col min="8962" max="8962" width="28.7109375" style="124" customWidth="1"/>
    <col min="8963" max="8964" width="20" style="124" customWidth="1"/>
    <col min="8965" max="8965" width="15.140625" style="124" customWidth="1"/>
    <col min="8966" max="8966" width="17.7109375" style="124" customWidth="1"/>
    <col min="8967" max="9217" width="9.140625" style="124"/>
    <col min="9218" max="9218" width="28.7109375" style="124" customWidth="1"/>
    <col min="9219" max="9220" width="20" style="124" customWidth="1"/>
    <col min="9221" max="9221" width="15.140625" style="124" customWidth="1"/>
    <col min="9222" max="9222" width="17.7109375" style="124" customWidth="1"/>
    <col min="9223" max="9473" width="9.140625" style="124"/>
    <col min="9474" max="9474" width="28.7109375" style="124" customWidth="1"/>
    <col min="9475" max="9476" width="20" style="124" customWidth="1"/>
    <col min="9477" max="9477" width="15.140625" style="124" customWidth="1"/>
    <col min="9478" max="9478" width="17.7109375" style="124" customWidth="1"/>
    <col min="9479" max="9729" width="9.140625" style="124"/>
    <col min="9730" max="9730" width="28.7109375" style="124" customWidth="1"/>
    <col min="9731" max="9732" width="20" style="124" customWidth="1"/>
    <col min="9733" max="9733" width="15.140625" style="124" customWidth="1"/>
    <col min="9734" max="9734" width="17.7109375" style="124" customWidth="1"/>
    <col min="9735" max="9985" width="9.140625" style="124"/>
    <col min="9986" max="9986" width="28.7109375" style="124" customWidth="1"/>
    <col min="9987" max="9988" width="20" style="124" customWidth="1"/>
    <col min="9989" max="9989" width="15.140625" style="124" customWidth="1"/>
    <col min="9990" max="9990" width="17.7109375" style="124" customWidth="1"/>
    <col min="9991" max="10241" width="9.140625" style="124"/>
    <col min="10242" max="10242" width="28.7109375" style="124" customWidth="1"/>
    <col min="10243" max="10244" width="20" style="124" customWidth="1"/>
    <col min="10245" max="10245" width="15.140625" style="124" customWidth="1"/>
    <col min="10246" max="10246" width="17.7109375" style="124" customWidth="1"/>
    <col min="10247" max="10497" width="9.140625" style="124"/>
    <col min="10498" max="10498" width="28.7109375" style="124" customWidth="1"/>
    <col min="10499" max="10500" width="20" style="124" customWidth="1"/>
    <col min="10501" max="10501" width="15.140625" style="124" customWidth="1"/>
    <col min="10502" max="10502" width="17.7109375" style="124" customWidth="1"/>
    <col min="10503" max="10753" width="9.140625" style="124"/>
    <col min="10754" max="10754" width="28.7109375" style="124" customWidth="1"/>
    <col min="10755" max="10756" width="20" style="124" customWidth="1"/>
    <col min="10757" max="10757" width="15.140625" style="124" customWidth="1"/>
    <col min="10758" max="10758" width="17.7109375" style="124" customWidth="1"/>
    <col min="10759" max="11009" width="9.140625" style="124"/>
    <col min="11010" max="11010" width="28.7109375" style="124" customWidth="1"/>
    <col min="11011" max="11012" width="20" style="124" customWidth="1"/>
    <col min="11013" max="11013" width="15.140625" style="124" customWidth="1"/>
    <col min="11014" max="11014" width="17.7109375" style="124" customWidth="1"/>
    <col min="11015" max="11265" width="9.140625" style="124"/>
    <col min="11266" max="11266" width="28.7109375" style="124" customWidth="1"/>
    <col min="11267" max="11268" width="20" style="124" customWidth="1"/>
    <col min="11269" max="11269" width="15.140625" style="124" customWidth="1"/>
    <col min="11270" max="11270" width="17.7109375" style="124" customWidth="1"/>
    <col min="11271" max="11521" width="9.140625" style="124"/>
    <col min="11522" max="11522" width="28.7109375" style="124" customWidth="1"/>
    <col min="11523" max="11524" width="20" style="124" customWidth="1"/>
    <col min="11525" max="11525" width="15.140625" style="124" customWidth="1"/>
    <col min="11526" max="11526" width="17.7109375" style="124" customWidth="1"/>
    <col min="11527" max="11777" width="9.140625" style="124"/>
    <col min="11778" max="11778" width="28.7109375" style="124" customWidth="1"/>
    <col min="11779" max="11780" width="20" style="124" customWidth="1"/>
    <col min="11781" max="11781" width="15.140625" style="124" customWidth="1"/>
    <col min="11782" max="11782" width="17.7109375" style="124" customWidth="1"/>
    <col min="11783" max="12033" width="9.140625" style="124"/>
    <col min="12034" max="12034" width="28.7109375" style="124" customWidth="1"/>
    <col min="12035" max="12036" width="20" style="124" customWidth="1"/>
    <col min="12037" max="12037" width="15.140625" style="124" customWidth="1"/>
    <col min="12038" max="12038" width="17.7109375" style="124" customWidth="1"/>
    <col min="12039" max="12289" width="9.140625" style="124"/>
    <col min="12290" max="12290" width="28.7109375" style="124" customWidth="1"/>
    <col min="12291" max="12292" width="20" style="124" customWidth="1"/>
    <col min="12293" max="12293" width="15.140625" style="124" customWidth="1"/>
    <col min="12294" max="12294" width="17.7109375" style="124" customWidth="1"/>
    <col min="12295" max="12545" width="9.140625" style="124"/>
    <col min="12546" max="12546" width="28.7109375" style="124" customWidth="1"/>
    <col min="12547" max="12548" width="20" style="124" customWidth="1"/>
    <col min="12549" max="12549" width="15.140625" style="124" customWidth="1"/>
    <col min="12550" max="12550" width="17.7109375" style="124" customWidth="1"/>
    <col min="12551" max="12801" width="9.140625" style="124"/>
    <col min="12802" max="12802" width="28.7109375" style="124" customWidth="1"/>
    <col min="12803" max="12804" width="20" style="124" customWidth="1"/>
    <col min="12805" max="12805" width="15.140625" style="124" customWidth="1"/>
    <col min="12806" max="12806" width="17.7109375" style="124" customWidth="1"/>
    <col min="12807" max="13057" width="9.140625" style="124"/>
    <col min="13058" max="13058" width="28.7109375" style="124" customWidth="1"/>
    <col min="13059" max="13060" width="20" style="124" customWidth="1"/>
    <col min="13061" max="13061" width="15.140625" style="124" customWidth="1"/>
    <col min="13062" max="13062" width="17.7109375" style="124" customWidth="1"/>
    <col min="13063" max="13313" width="9.140625" style="124"/>
    <col min="13314" max="13314" width="28.7109375" style="124" customWidth="1"/>
    <col min="13315" max="13316" width="20" style="124" customWidth="1"/>
    <col min="13317" max="13317" width="15.140625" style="124" customWidth="1"/>
    <col min="13318" max="13318" width="17.7109375" style="124" customWidth="1"/>
    <col min="13319" max="13569" width="9.140625" style="124"/>
    <col min="13570" max="13570" width="28.7109375" style="124" customWidth="1"/>
    <col min="13571" max="13572" width="20" style="124" customWidth="1"/>
    <col min="13573" max="13573" width="15.140625" style="124" customWidth="1"/>
    <col min="13574" max="13574" width="17.7109375" style="124" customWidth="1"/>
    <col min="13575" max="13825" width="9.140625" style="124"/>
    <col min="13826" max="13826" width="28.7109375" style="124" customWidth="1"/>
    <col min="13827" max="13828" width="20" style="124" customWidth="1"/>
    <col min="13829" max="13829" width="15.140625" style="124" customWidth="1"/>
    <col min="13830" max="13830" width="17.7109375" style="124" customWidth="1"/>
    <col min="13831" max="14081" width="9.140625" style="124"/>
    <col min="14082" max="14082" width="28.7109375" style="124" customWidth="1"/>
    <col min="14083" max="14084" width="20" style="124" customWidth="1"/>
    <col min="14085" max="14085" width="15.140625" style="124" customWidth="1"/>
    <col min="14086" max="14086" width="17.7109375" style="124" customWidth="1"/>
    <col min="14087" max="14337" width="9.140625" style="124"/>
    <col min="14338" max="14338" width="28.7109375" style="124" customWidth="1"/>
    <col min="14339" max="14340" width="20" style="124" customWidth="1"/>
    <col min="14341" max="14341" width="15.140625" style="124" customWidth="1"/>
    <col min="14342" max="14342" width="17.7109375" style="124" customWidth="1"/>
    <col min="14343" max="14593" width="9.140625" style="124"/>
    <col min="14594" max="14594" width="28.7109375" style="124" customWidth="1"/>
    <col min="14595" max="14596" width="20" style="124" customWidth="1"/>
    <col min="14597" max="14597" width="15.140625" style="124" customWidth="1"/>
    <col min="14598" max="14598" width="17.7109375" style="124" customWidth="1"/>
    <col min="14599" max="14849" width="9.140625" style="124"/>
    <col min="14850" max="14850" width="28.7109375" style="124" customWidth="1"/>
    <col min="14851" max="14852" width="20" style="124" customWidth="1"/>
    <col min="14853" max="14853" width="15.140625" style="124" customWidth="1"/>
    <col min="14854" max="14854" width="17.7109375" style="124" customWidth="1"/>
    <col min="14855" max="15105" width="9.140625" style="124"/>
    <col min="15106" max="15106" width="28.7109375" style="124" customWidth="1"/>
    <col min="15107" max="15108" width="20" style="124" customWidth="1"/>
    <col min="15109" max="15109" width="15.140625" style="124" customWidth="1"/>
    <col min="15110" max="15110" width="17.7109375" style="124" customWidth="1"/>
    <col min="15111" max="15361" width="9.140625" style="124"/>
    <col min="15362" max="15362" width="28.7109375" style="124" customWidth="1"/>
    <col min="15363" max="15364" width="20" style="124" customWidth="1"/>
    <col min="15365" max="15365" width="15.140625" style="124" customWidth="1"/>
    <col min="15366" max="15366" width="17.7109375" style="124" customWidth="1"/>
    <col min="15367" max="15617" width="9.140625" style="124"/>
    <col min="15618" max="15618" width="28.7109375" style="124" customWidth="1"/>
    <col min="15619" max="15620" width="20" style="124" customWidth="1"/>
    <col min="15621" max="15621" width="15.140625" style="124" customWidth="1"/>
    <col min="15622" max="15622" width="17.7109375" style="124" customWidth="1"/>
    <col min="15623" max="15873" width="9.140625" style="124"/>
    <col min="15874" max="15874" width="28.7109375" style="124" customWidth="1"/>
    <col min="15875" max="15876" width="20" style="124" customWidth="1"/>
    <col min="15877" max="15877" width="15.140625" style="124" customWidth="1"/>
    <col min="15878" max="15878" width="17.7109375" style="124" customWidth="1"/>
    <col min="15879" max="16129" width="9.140625" style="124"/>
    <col min="16130" max="16130" width="28.7109375" style="124" customWidth="1"/>
    <col min="16131" max="16132" width="20" style="124" customWidth="1"/>
    <col min="16133" max="16133" width="15.140625" style="124" customWidth="1"/>
    <col min="16134" max="16134" width="17.7109375" style="124" customWidth="1"/>
    <col min="16135" max="16384" width="9.140625" style="124"/>
  </cols>
  <sheetData>
    <row r="1" spans="2:8" ht="60" customHeight="1">
      <c r="B1" s="196" t="s">
        <v>107</v>
      </c>
      <c r="C1" s="196"/>
      <c r="D1" s="196"/>
      <c r="E1" s="196"/>
      <c r="F1" s="196"/>
    </row>
    <row r="2" spans="2:8" ht="14.25">
      <c r="B2" s="197"/>
      <c r="C2" s="198" t="s">
        <v>1</v>
      </c>
      <c r="D2" s="200" t="s">
        <v>2</v>
      </c>
      <c r="E2" s="200"/>
    </row>
    <row r="3" spans="2:8" ht="25.5">
      <c r="B3" s="197"/>
      <c r="C3" s="199"/>
      <c r="D3" s="125" t="s">
        <v>3</v>
      </c>
      <c r="E3" s="125" t="s">
        <v>108</v>
      </c>
      <c r="F3" s="125" t="s">
        <v>5</v>
      </c>
    </row>
    <row r="4" spans="2:8" ht="24" customHeight="1">
      <c r="B4" s="126" t="s">
        <v>6</v>
      </c>
      <c r="C4" s="127">
        <v>3840</v>
      </c>
      <c r="D4" s="127">
        <v>785</v>
      </c>
      <c r="E4" s="127">
        <v>78</v>
      </c>
      <c r="F4" s="127">
        <v>3</v>
      </c>
      <c r="G4" s="147"/>
      <c r="H4" s="147"/>
    </row>
    <row r="5" spans="2:8" s="129" customFormat="1" ht="25.5" customHeight="1">
      <c r="B5" s="128" t="s">
        <v>7</v>
      </c>
      <c r="C5" s="127">
        <v>2628</v>
      </c>
      <c r="D5" s="127">
        <v>507</v>
      </c>
      <c r="E5" s="127">
        <v>60</v>
      </c>
      <c r="F5" s="127">
        <v>3</v>
      </c>
    </row>
    <row r="6" spans="2:8" ht="12.75" customHeight="1">
      <c r="B6" s="130" t="s">
        <v>8</v>
      </c>
      <c r="C6" s="165">
        <v>101</v>
      </c>
      <c r="D6" s="165">
        <v>15</v>
      </c>
      <c r="E6" s="165">
        <v>0</v>
      </c>
      <c r="F6" s="165">
        <v>0</v>
      </c>
    </row>
    <row r="7" spans="2:8" ht="12.75" customHeight="1">
      <c r="B7" s="130" t="s">
        <v>9</v>
      </c>
      <c r="C7" s="165">
        <v>152</v>
      </c>
      <c r="D7" s="165">
        <v>32</v>
      </c>
      <c r="E7" s="165">
        <v>0</v>
      </c>
      <c r="F7" s="165">
        <v>0</v>
      </c>
    </row>
    <row r="8" spans="2:8">
      <c r="B8" s="130" t="s">
        <v>10</v>
      </c>
      <c r="C8" s="165">
        <v>73</v>
      </c>
      <c r="D8" s="165">
        <v>13</v>
      </c>
      <c r="E8" s="165">
        <v>3</v>
      </c>
      <c r="F8" s="165">
        <v>1</v>
      </c>
    </row>
    <row r="9" spans="2:8" ht="12.75" customHeight="1">
      <c r="B9" s="130" t="s">
        <v>11</v>
      </c>
      <c r="C9" s="165">
        <v>54</v>
      </c>
      <c r="D9" s="165">
        <v>5</v>
      </c>
      <c r="E9" s="165">
        <v>0</v>
      </c>
      <c r="F9" s="165">
        <v>0</v>
      </c>
      <c r="H9" s="147"/>
    </row>
    <row r="10" spans="2:8" ht="12.75" customHeight="1">
      <c r="B10" s="130" t="s">
        <v>12</v>
      </c>
      <c r="C10" s="165">
        <v>136</v>
      </c>
      <c r="D10" s="165">
        <v>23</v>
      </c>
      <c r="E10" s="165">
        <v>0</v>
      </c>
      <c r="F10" s="165">
        <v>0</v>
      </c>
    </row>
    <row r="11" spans="2:8" ht="12.75" customHeight="1">
      <c r="B11" s="130" t="s">
        <v>13</v>
      </c>
      <c r="C11" s="165">
        <v>18</v>
      </c>
      <c r="D11" s="165">
        <v>2</v>
      </c>
      <c r="E11" s="165">
        <v>0</v>
      </c>
      <c r="F11" s="165">
        <v>0</v>
      </c>
    </row>
    <row r="12" spans="2:8" ht="12.75" customHeight="1">
      <c r="B12" s="130" t="s">
        <v>14</v>
      </c>
      <c r="C12" s="165">
        <v>23</v>
      </c>
      <c r="D12" s="165">
        <v>6</v>
      </c>
      <c r="E12" s="165">
        <v>0</v>
      </c>
      <c r="F12" s="165">
        <v>0</v>
      </c>
    </row>
    <row r="13" spans="2:8" ht="12.75" customHeight="1">
      <c r="B13" s="130" t="s">
        <v>15</v>
      </c>
      <c r="C13" s="165">
        <v>55</v>
      </c>
      <c r="D13" s="165">
        <v>15</v>
      </c>
      <c r="E13" s="165">
        <v>0</v>
      </c>
      <c r="F13" s="165">
        <v>0</v>
      </c>
    </row>
    <row r="14" spans="2:8" ht="12.75" customHeight="1">
      <c r="B14" s="130" t="s">
        <v>16</v>
      </c>
      <c r="C14" s="165">
        <v>26</v>
      </c>
      <c r="D14" s="165">
        <v>5</v>
      </c>
      <c r="E14" s="165">
        <v>0</v>
      </c>
      <c r="F14" s="165">
        <v>1</v>
      </c>
    </row>
    <row r="15" spans="2:8" ht="12.75" customHeight="1">
      <c r="B15" s="130" t="s">
        <v>17</v>
      </c>
      <c r="C15" s="165">
        <v>57</v>
      </c>
      <c r="D15" s="165">
        <v>10</v>
      </c>
      <c r="E15" s="165">
        <v>0</v>
      </c>
      <c r="F15" s="165">
        <v>0</v>
      </c>
    </row>
    <row r="16" spans="2:8" ht="12.75" customHeight="1">
      <c r="B16" s="132" t="s">
        <v>18</v>
      </c>
      <c r="C16" s="165">
        <v>168</v>
      </c>
      <c r="D16" s="165">
        <v>32</v>
      </c>
      <c r="E16" s="165">
        <v>1</v>
      </c>
      <c r="F16" s="165">
        <v>0</v>
      </c>
    </row>
    <row r="17" spans="2:6" s="184" customFormat="1" ht="12.75" customHeight="1">
      <c r="B17" s="132" t="s">
        <v>125</v>
      </c>
      <c r="C17" s="165" t="s">
        <v>126</v>
      </c>
      <c r="D17" s="165" t="s">
        <v>126</v>
      </c>
      <c r="E17" s="165" t="s">
        <v>126</v>
      </c>
      <c r="F17" s="165" t="s">
        <v>126</v>
      </c>
    </row>
    <row r="18" spans="2:6" ht="12.75" customHeight="1">
      <c r="B18" s="130" t="s">
        <v>19</v>
      </c>
      <c r="C18" s="165">
        <v>81</v>
      </c>
      <c r="D18" s="165">
        <v>11</v>
      </c>
      <c r="E18" s="165">
        <v>1</v>
      </c>
      <c r="F18" s="165">
        <v>0</v>
      </c>
    </row>
    <row r="19" spans="2:6" ht="12.75" customHeight="1">
      <c r="B19" s="130" t="s">
        <v>20</v>
      </c>
      <c r="C19" s="165">
        <v>20</v>
      </c>
      <c r="D19" s="165">
        <v>4</v>
      </c>
      <c r="E19" s="165">
        <v>0</v>
      </c>
      <c r="F19" s="165">
        <v>0</v>
      </c>
    </row>
    <row r="20" spans="2:6" ht="12.75" customHeight="1">
      <c r="B20" s="130" t="s">
        <v>21</v>
      </c>
      <c r="C20" s="165">
        <v>98</v>
      </c>
      <c r="D20" s="165">
        <v>11</v>
      </c>
      <c r="E20" s="165">
        <v>3</v>
      </c>
      <c r="F20" s="165">
        <v>0</v>
      </c>
    </row>
    <row r="21" spans="2:6" ht="12.75" customHeight="1">
      <c r="B21" s="130" t="s">
        <v>22</v>
      </c>
      <c r="C21" s="165">
        <v>105</v>
      </c>
      <c r="D21" s="165">
        <v>24</v>
      </c>
      <c r="E21" s="165">
        <v>2</v>
      </c>
      <c r="F21" s="165">
        <v>0</v>
      </c>
    </row>
    <row r="22" spans="2:6">
      <c r="B22" s="130" t="s">
        <v>23</v>
      </c>
      <c r="C22" s="165">
        <v>76</v>
      </c>
      <c r="D22" s="165">
        <v>12</v>
      </c>
      <c r="E22" s="165">
        <v>1</v>
      </c>
      <c r="F22" s="165">
        <v>0</v>
      </c>
    </row>
    <row r="23" spans="2:6" ht="12.75" customHeight="1">
      <c r="B23" s="130" t="s">
        <v>109</v>
      </c>
      <c r="C23" s="165">
        <v>89</v>
      </c>
      <c r="D23" s="165">
        <v>23</v>
      </c>
      <c r="E23" s="165">
        <v>15</v>
      </c>
      <c r="F23" s="165">
        <v>0</v>
      </c>
    </row>
    <row r="24" spans="2:6">
      <c r="B24" s="130" t="s">
        <v>25</v>
      </c>
      <c r="C24" s="165">
        <v>91</v>
      </c>
      <c r="D24" s="165">
        <v>19</v>
      </c>
      <c r="E24" s="165">
        <v>2</v>
      </c>
      <c r="F24" s="165">
        <v>0</v>
      </c>
    </row>
    <row r="25" spans="2:6">
      <c r="B25" s="130" t="s">
        <v>26</v>
      </c>
      <c r="C25" s="165">
        <v>85</v>
      </c>
      <c r="D25" s="165">
        <v>22</v>
      </c>
      <c r="E25" s="165">
        <v>6</v>
      </c>
      <c r="F25" s="165">
        <v>0</v>
      </c>
    </row>
    <row r="26" spans="2:6">
      <c r="B26" s="130" t="s">
        <v>27</v>
      </c>
      <c r="C26" s="165">
        <v>84</v>
      </c>
      <c r="D26" s="165">
        <v>13</v>
      </c>
      <c r="E26" s="165">
        <v>1</v>
      </c>
      <c r="F26" s="165">
        <v>0</v>
      </c>
    </row>
    <row r="27" spans="2:6">
      <c r="B27" s="133" t="s">
        <v>28</v>
      </c>
      <c r="C27" s="165">
        <v>7</v>
      </c>
      <c r="D27" s="165">
        <v>0</v>
      </c>
      <c r="E27" s="165">
        <v>0</v>
      </c>
      <c r="F27" s="165">
        <v>1</v>
      </c>
    </row>
    <row r="28" spans="2:6">
      <c r="B28" s="130" t="s">
        <v>29</v>
      </c>
      <c r="C28" s="165">
        <v>112</v>
      </c>
      <c r="D28" s="165">
        <v>18</v>
      </c>
      <c r="E28" s="165">
        <v>1</v>
      </c>
      <c r="F28" s="165">
        <v>0</v>
      </c>
    </row>
    <row r="29" spans="2:6">
      <c r="B29" s="130" t="s">
        <v>30</v>
      </c>
      <c r="C29" s="165">
        <v>74</v>
      </c>
      <c r="D29" s="165">
        <v>23</v>
      </c>
      <c r="E29" s="165">
        <v>2</v>
      </c>
      <c r="F29" s="165">
        <v>0</v>
      </c>
    </row>
    <row r="30" spans="2:6">
      <c r="B30" s="130" t="s">
        <v>31</v>
      </c>
      <c r="C30" s="165">
        <v>34</v>
      </c>
      <c r="D30" s="165">
        <v>7</v>
      </c>
      <c r="E30" s="165">
        <v>2</v>
      </c>
      <c r="F30" s="165">
        <v>0</v>
      </c>
    </row>
    <row r="31" spans="2:6">
      <c r="B31" s="130" t="s">
        <v>32</v>
      </c>
      <c r="C31" s="165">
        <v>40</v>
      </c>
      <c r="D31" s="165">
        <v>17</v>
      </c>
      <c r="E31" s="165">
        <v>1</v>
      </c>
      <c r="F31" s="165">
        <v>0</v>
      </c>
    </row>
    <row r="32" spans="2:6">
      <c r="B32" s="130" t="s">
        <v>33</v>
      </c>
      <c r="C32" s="165">
        <v>91</v>
      </c>
      <c r="D32" s="165">
        <v>21</v>
      </c>
      <c r="E32" s="165">
        <v>0</v>
      </c>
      <c r="F32" s="165">
        <v>0</v>
      </c>
    </row>
    <row r="33" spans="2:6">
      <c r="B33" s="130" t="s">
        <v>34</v>
      </c>
      <c r="C33" s="165">
        <v>45</v>
      </c>
      <c r="D33" s="165">
        <v>7</v>
      </c>
      <c r="E33" s="165">
        <v>1</v>
      </c>
      <c r="F33" s="165">
        <v>0</v>
      </c>
    </row>
    <row r="34" spans="2:6">
      <c r="B34" s="130" t="s">
        <v>35</v>
      </c>
      <c r="C34" s="165">
        <v>78</v>
      </c>
      <c r="D34" s="165">
        <v>15</v>
      </c>
      <c r="E34" s="165">
        <v>0</v>
      </c>
      <c r="F34" s="165">
        <v>0</v>
      </c>
    </row>
    <row r="35" spans="2:6">
      <c r="B35" s="130" t="s">
        <v>36</v>
      </c>
      <c r="C35" s="165">
        <v>29</v>
      </c>
      <c r="D35" s="165">
        <v>7</v>
      </c>
      <c r="E35" s="165">
        <v>7</v>
      </c>
      <c r="F35" s="165">
        <v>0</v>
      </c>
    </row>
    <row r="36" spans="2:6">
      <c r="B36" s="130" t="s">
        <v>37</v>
      </c>
      <c r="C36" s="165">
        <v>65</v>
      </c>
      <c r="D36" s="165">
        <v>16</v>
      </c>
      <c r="E36" s="165">
        <v>0</v>
      </c>
      <c r="F36" s="165">
        <v>0</v>
      </c>
    </row>
    <row r="37" spans="2:6">
      <c r="B37" s="130" t="s">
        <v>38</v>
      </c>
      <c r="C37" s="165">
        <v>65</v>
      </c>
      <c r="D37" s="165">
        <v>13</v>
      </c>
      <c r="E37" s="165">
        <v>0</v>
      </c>
      <c r="F37" s="165">
        <v>0</v>
      </c>
    </row>
    <row r="38" spans="2:6">
      <c r="B38" s="130" t="s">
        <v>39</v>
      </c>
      <c r="C38" s="165">
        <v>34</v>
      </c>
      <c r="D38" s="165">
        <v>3</v>
      </c>
      <c r="E38" s="165">
        <v>6</v>
      </c>
      <c r="F38" s="165">
        <v>0</v>
      </c>
    </row>
    <row r="39" spans="2:6">
      <c r="B39" s="130" t="s">
        <v>40</v>
      </c>
      <c r="C39" s="165">
        <v>69</v>
      </c>
      <c r="D39" s="165">
        <v>14</v>
      </c>
      <c r="E39" s="165">
        <v>0</v>
      </c>
      <c r="F39" s="165">
        <v>0</v>
      </c>
    </row>
    <row r="40" spans="2:6">
      <c r="B40" s="130" t="s">
        <v>41</v>
      </c>
      <c r="C40" s="165">
        <v>55</v>
      </c>
      <c r="D40" s="165">
        <v>7</v>
      </c>
      <c r="E40" s="165">
        <v>1</v>
      </c>
      <c r="F40" s="165">
        <v>0</v>
      </c>
    </row>
    <row r="41" spans="2:6">
      <c r="B41" s="130" t="s">
        <v>42</v>
      </c>
      <c r="C41" s="165">
        <v>88</v>
      </c>
      <c r="D41" s="165">
        <v>6</v>
      </c>
      <c r="E41" s="165">
        <v>1</v>
      </c>
      <c r="F41" s="165">
        <v>0</v>
      </c>
    </row>
    <row r="42" spans="2:6">
      <c r="B42" s="130" t="s">
        <v>43</v>
      </c>
      <c r="C42" s="165">
        <v>44</v>
      </c>
      <c r="D42" s="165">
        <v>13</v>
      </c>
      <c r="E42" s="165">
        <v>1</v>
      </c>
      <c r="F42" s="165">
        <v>0</v>
      </c>
    </row>
    <row r="43" spans="2:6">
      <c r="B43" s="130" t="s">
        <v>44</v>
      </c>
      <c r="C43" s="165">
        <v>60</v>
      </c>
      <c r="D43" s="165">
        <v>12</v>
      </c>
      <c r="E43" s="165">
        <v>1</v>
      </c>
      <c r="F43" s="165">
        <v>0</v>
      </c>
    </row>
    <row r="44" spans="2:6">
      <c r="B44" s="130" t="s">
        <v>45</v>
      </c>
      <c r="C44" s="165">
        <v>45</v>
      </c>
      <c r="D44" s="165">
        <v>11</v>
      </c>
      <c r="E44" s="165">
        <v>1</v>
      </c>
      <c r="F44" s="165">
        <v>0</v>
      </c>
    </row>
    <row r="45" spans="2:6">
      <c r="B45" s="133" t="s">
        <v>46</v>
      </c>
      <c r="C45" s="165">
        <v>1</v>
      </c>
      <c r="D45" s="165">
        <v>0</v>
      </c>
      <c r="E45" s="165">
        <v>0</v>
      </c>
      <c r="F45" s="165">
        <v>0</v>
      </c>
    </row>
    <row r="46" spans="2:6" s="129" customFormat="1" ht="25.5" customHeight="1">
      <c r="B46" s="126" t="s">
        <v>47</v>
      </c>
      <c r="C46" s="127">
        <v>1212</v>
      </c>
      <c r="D46" s="127">
        <v>278</v>
      </c>
      <c r="E46" s="127">
        <v>18</v>
      </c>
      <c r="F46" s="127">
        <v>0</v>
      </c>
    </row>
    <row r="47" spans="2:6" ht="12.75" customHeight="1">
      <c r="B47" s="136" t="s">
        <v>48</v>
      </c>
      <c r="C47" s="165">
        <v>102</v>
      </c>
      <c r="D47" s="165">
        <v>25</v>
      </c>
      <c r="E47" s="165">
        <v>0</v>
      </c>
      <c r="F47" s="165">
        <v>0</v>
      </c>
    </row>
    <row r="48" spans="2:6" ht="12.75" customHeight="1">
      <c r="B48" s="130" t="s">
        <v>49</v>
      </c>
      <c r="C48" s="165">
        <v>79</v>
      </c>
      <c r="D48" s="165">
        <v>9</v>
      </c>
      <c r="E48" s="165">
        <v>0</v>
      </c>
      <c r="F48" s="165">
        <v>0</v>
      </c>
    </row>
    <row r="49" spans="2:6" ht="12.75" customHeight="1">
      <c r="B49" s="130" t="s">
        <v>50</v>
      </c>
      <c r="C49" s="165">
        <v>118</v>
      </c>
      <c r="D49" s="165">
        <v>23</v>
      </c>
      <c r="E49" s="165">
        <v>0</v>
      </c>
      <c r="F49" s="165">
        <v>0</v>
      </c>
    </row>
    <row r="50" spans="2:6" ht="12.75" customHeight="1">
      <c r="B50" s="130" t="s">
        <v>51</v>
      </c>
      <c r="C50" s="165">
        <v>63</v>
      </c>
      <c r="D50" s="165">
        <v>17</v>
      </c>
      <c r="E50" s="165">
        <v>2</v>
      </c>
      <c r="F50" s="165">
        <v>0</v>
      </c>
    </row>
    <row r="51" spans="2:6" ht="12.75" customHeight="1">
      <c r="B51" s="130" t="s">
        <v>52</v>
      </c>
      <c r="C51" s="165">
        <v>157</v>
      </c>
      <c r="D51" s="165">
        <v>15</v>
      </c>
      <c r="E51" s="165">
        <v>1</v>
      </c>
      <c r="F51" s="165">
        <v>0</v>
      </c>
    </row>
    <row r="52" spans="2:6" ht="12.75" customHeight="1">
      <c r="B52" s="130" t="s">
        <v>53</v>
      </c>
      <c r="C52" s="165">
        <v>172</v>
      </c>
      <c r="D52" s="165">
        <v>20</v>
      </c>
      <c r="E52" s="165">
        <v>3</v>
      </c>
      <c r="F52" s="165">
        <v>0</v>
      </c>
    </row>
    <row r="53" spans="2:6" ht="12.75" customHeight="1">
      <c r="B53" s="137" t="s">
        <v>54</v>
      </c>
      <c r="C53" s="166">
        <v>521</v>
      </c>
      <c r="D53" s="166">
        <v>169</v>
      </c>
      <c r="E53" s="166">
        <v>12</v>
      </c>
      <c r="F53" s="166">
        <v>0</v>
      </c>
    </row>
    <row r="55" spans="2:6" ht="12.75" customHeight="1">
      <c r="B55" s="12" t="s">
        <v>55</v>
      </c>
      <c r="C55" s="139"/>
    </row>
    <row r="56" spans="2:6" ht="11.25" customHeight="1">
      <c r="B56" s="124" t="s">
        <v>110</v>
      </c>
    </row>
    <row r="57" spans="2:6" ht="12.75" customHeight="1">
      <c r="B57" s="201" t="s">
        <v>111</v>
      </c>
      <c r="C57" s="202"/>
      <c r="D57" s="202"/>
      <c r="E57" s="202"/>
      <c r="F57" s="202"/>
    </row>
    <row r="58" spans="2:6" ht="12.75" customHeight="1">
      <c r="B58" s="202"/>
      <c r="C58" s="202"/>
      <c r="D58" s="202"/>
      <c r="E58" s="202"/>
      <c r="F58" s="202"/>
    </row>
    <row r="59" spans="2:6" ht="12.75" customHeight="1">
      <c r="B59" s="202"/>
      <c r="C59" s="202"/>
      <c r="D59" s="202"/>
      <c r="E59" s="202"/>
      <c r="F59" s="202"/>
    </row>
    <row r="60" spans="2:6" ht="12.75" customHeight="1">
      <c r="B60" s="202"/>
      <c r="C60" s="202"/>
      <c r="D60" s="202"/>
      <c r="E60" s="202"/>
      <c r="F60" s="202"/>
    </row>
    <row r="61" spans="2:6" ht="12.75" customHeight="1">
      <c r="B61" s="202"/>
      <c r="C61" s="202"/>
      <c r="D61" s="202"/>
      <c r="E61" s="202"/>
      <c r="F61" s="202"/>
    </row>
    <row r="62" spans="2:6" ht="12.75" customHeight="1">
      <c r="B62" s="202"/>
      <c r="C62" s="202"/>
      <c r="D62" s="202"/>
      <c r="E62" s="202"/>
      <c r="F62" s="202"/>
    </row>
    <row r="63" spans="2:6" ht="39" customHeight="1">
      <c r="B63" s="202"/>
      <c r="C63" s="202"/>
      <c r="D63" s="202"/>
      <c r="E63" s="202"/>
      <c r="F63" s="202"/>
    </row>
    <row r="64" spans="2:6" ht="12.75" customHeight="1">
      <c r="B64" s="23"/>
      <c r="C64" s="23"/>
      <c r="D64" s="23"/>
      <c r="E64" s="23"/>
      <c r="F64" s="23"/>
    </row>
    <row r="65" spans="2:5" ht="12.75" customHeight="1">
      <c r="B65" s="140" t="s">
        <v>112</v>
      </c>
      <c r="C65" s="141"/>
      <c r="D65" s="141"/>
      <c r="E65" s="141"/>
    </row>
    <row r="66" spans="2:5">
      <c r="B66" s="142"/>
      <c r="C66" s="141"/>
      <c r="D66" s="141"/>
      <c r="E66" s="141"/>
    </row>
    <row r="67" spans="2:5">
      <c r="C67" s="141"/>
      <c r="D67" s="141"/>
      <c r="E67" s="141"/>
    </row>
    <row r="68" spans="2:5">
      <c r="B68" s="143"/>
      <c r="C68" s="141"/>
      <c r="D68" s="141"/>
      <c r="E68" s="141"/>
    </row>
    <row r="69" spans="2:5">
      <c r="C69" s="141"/>
      <c r="D69" s="141"/>
      <c r="E69" s="141"/>
    </row>
  </sheetData>
  <mergeCells count="5">
    <mergeCell ref="B1:F1"/>
    <mergeCell ref="B2:B3"/>
    <mergeCell ref="C2:C3"/>
    <mergeCell ref="D2:E2"/>
    <mergeCell ref="B57:F63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L68"/>
  <sheetViews>
    <sheetView showGridLines="0" zoomScale="85" workbookViewId="0">
      <pane xSplit="2" ySplit="4" topLeftCell="C5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RowHeight="12.75"/>
  <cols>
    <col min="1" max="1" width="4.7109375" style="1" hidden="1" customWidth="1"/>
    <col min="2" max="2" width="24.7109375" style="124" customWidth="1"/>
    <col min="3" max="3" width="11" style="124" customWidth="1"/>
    <col min="4" max="4" width="11.85546875" style="124" customWidth="1"/>
    <col min="5" max="10" width="11" style="124" customWidth="1"/>
    <col min="11" max="255" width="9.140625" style="124"/>
    <col min="256" max="256" width="0" style="124" hidden="1" customWidth="1"/>
    <col min="257" max="257" width="3" style="124" customWidth="1"/>
    <col min="258" max="258" width="24.7109375" style="124" customWidth="1"/>
    <col min="259" max="259" width="11" style="124" customWidth="1"/>
    <col min="260" max="260" width="11.85546875" style="124" customWidth="1"/>
    <col min="261" max="266" width="11" style="124" customWidth="1"/>
    <col min="267" max="511" width="9.140625" style="124"/>
    <col min="512" max="512" width="0" style="124" hidden="1" customWidth="1"/>
    <col min="513" max="513" width="3" style="124" customWidth="1"/>
    <col min="514" max="514" width="24.7109375" style="124" customWidth="1"/>
    <col min="515" max="515" width="11" style="124" customWidth="1"/>
    <col min="516" max="516" width="11.85546875" style="124" customWidth="1"/>
    <col min="517" max="522" width="11" style="124" customWidth="1"/>
    <col min="523" max="767" width="9.140625" style="124"/>
    <col min="768" max="768" width="0" style="124" hidden="1" customWidth="1"/>
    <col min="769" max="769" width="3" style="124" customWidth="1"/>
    <col min="770" max="770" width="24.7109375" style="124" customWidth="1"/>
    <col min="771" max="771" width="11" style="124" customWidth="1"/>
    <col min="772" max="772" width="11.85546875" style="124" customWidth="1"/>
    <col min="773" max="778" width="11" style="124" customWidth="1"/>
    <col min="779" max="1023" width="9.140625" style="124"/>
    <col min="1024" max="1024" width="0" style="124" hidden="1" customWidth="1"/>
    <col min="1025" max="1025" width="3" style="124" customWidth="1"/>
    <col min="1026" max="1026" width="24.7109375" style="124" customWidth="1"/>
    <col min="1027" max="1027" width="11" style="124" customWidth="1"/>
    <col min="1028" max="1028" width="11.85546875" style="124" customWidth="1"/>
    <col min="1029" max="1034" width="11" style="124" customWidth="1"/>
    <col min="1035" max="1279" width="9.140625" style="124"/>
    <col min="1280" max="1280" width="0" style="124" hidden="1" customWidth="1"/>
    <col min="1281" max="1281" width="3" style="124" customWidth="1"/>
    <col min="1282" max="1282" width="24.7109375" style="124" customWidth="1"/>
    <col min="1283" max="1283" width="11" style="124" customWidth="1"/>
    <col min="1284" max="1284" width="11.85546875" style="124" customWidth="1"/>
    <col min="1285" max="1290" width="11" style="124" customWidth="1"/>
    <col min="1291" max="1535" width="9.140625" style="124"/>
    <col min="1536" max="1536" width="0" style="124" hidden="1" customWidth="1"/>
    <col min="1537" max="1537" width="3" style="124" customWidth="1"/>
    <col min="1538" max="1538" width="24.7109375" style="124" customWidth="1"/>
    <col min="1539" max="1539" width="11" style="124" customWidth="1"/>
    <col min="1540" max="1540" width="11.85546875" style="124" customWidth="1"/>
    <col min="1541" max="1546" width="11" style="124" customWidth="1"/>
    <col min="1547" max="1791" width="9.140625" style="124"/>
    <col min="1792" max="1792" width="0" style="124" hidden="1" customWidth="1"/>
    <col min="1793" max="1793" width="3" style="124" customWidth="1"/>
    <col min="1794" max="1794" width="24.7109375" style="124" customWidth="1"/>
    <col min="1795" max="1795" width="11" style="124" customWidth="1"/>
    <col min="1796" max="1796" width="11.85546875" style="124" customWidth="1"/>
    <col min="1797" max="1802" width="11" style="124" customWidth="1"/>
    <col min="1803" max="2047" width="9.140625" style="124"/>
    <col min="2048" max="2048" width="0" style="124" hidden="1" customWidth="1"/>
    <col min="2049" max="2049" width="3" style="124" customWidth="1"/>
    <col min="2050" max="2050" width="24.7109375" style="124" customWidth="1"/>
    <col min="2051" max="2051" width="11" style="124" customWidth="1"/>
    <col min="2052" max="2052" width="11.85546875" style="124" customWidth="1"/>
    <col min="2053" max="2058" width="11" style="124" customWidth="1"/>
    <col min="2059" max="2303" width="9.140625" style="124"/>
    <col min="2304" max="2304" width="0" style="124" hidden="1" customWidth="1"/>
    <col min="2305" max="2305" width="3" style="124" customWidth="1"/>
    <col min="2306" max="2306" width="24.7109375" style="124" customWidth="1"/>
    <col min="2307" max="2307" width="11" style="124" customWidth="1"/>
    <col min="2308" max="2308" width="11.85546875" style="124" customWidth="1"/>
    <col min="2309" max="2314" width="11" style="124" customWidth="1"/>
    <col min="2315" max="2559" width="9.140625" style="124"/>
    <col min="2560" max="2560" width="0" style="124" hidden="1" customWidth="1"/>
    <col min="2561" max="2561" width="3" style="124" customWidth="1"/>
    <col min="2562" max="2562" width="24.7109375" style="124" customWidth="1"/>
    <col min="2563" max="2563" width="11" style="124" customWidth="1"/>
    <col min="2564" max="2564" width="11.85546875" style="124" customWidth="1"/>
    <col min="2565" max="2570" width="11" style="124" customWidth="1"/>
    <col min="2571" max="2815" width="9.140625" style="124"/>
    <col min="2816" max="2816" width="0" style="124" hidden="1" customWidth="1"/>
    <col min="2817" max="2817" width="3" style="124" customWidth="1"/>
    <col min="2818" max="2818" width="24.7109375" style="124" customWidth="1"/>
    <col min="2819" max="2819" width="11" style="124" customWidth="1"/>
    <col min="2820" max="2820" width="11.85546875" style="124" customWidth="1"/>
    <col min="2821" max="2826" width="11" style="124" customWidth="1"/>
    <col min="2827" max="3071" width="9.140625" style="124"/>
    <col min="3072" max="3072" width="0" style="124" hidden="1" customWidth="1"/>
    <col min="3073" max="3073" width="3" style="124" customWidth="1"/>
    <col min="3074" max="3074" width="24.7109375" style="124" customWidth="1"/>
    <col min="3075" max="3075" width="11" style="124" customWidth="1"/>
    <col min="3076" max="3076" width="11.85546875" style="124" customWidth="1"/>
    <col min="3077" max="3082" width="11" style="124" customWidth="1"/>
    <col min="3083" max="3327" width="9.140625" style="124"/>
    <col min="3328" max="3328" width="0" style="124" hidden="1" customWidth="1"/>
    <col min="3329" max="3329" width="3" style="124" customWidth="1"/>
    <col min="3330" max="3330" width="24.7109375" style="124" customWidth="1"/>
    <col min="3331" max="3331" width="11" style="124" customWidth="1"/>
    <col min="3332" max="3332" width="11.85546875" style="124" customWidth="1"/>
    <col min="3333" max="3338" width="11" style="124" customWidth="1"/>
    <col min="3339" max="3583" width="9.140625" style="124"/>
    <col min="3584" max="3584" width="0" style="124" hidden="1" customWidth="1"/>
    <col min="3585" max="3585" width="3" style="124" customWidth="1"/>
    <col min="3586" max="3586" width="24.7109375" style="124" customWidth="1"/>
    <col min="3587" max="3587" width="11" style="124" customWidth="1"/>
    <col min="3588" max="3588" width="11.85546875" style="124" customWidth="1"/>
    <col min="3589" max="3594" width="11" style="124" customWidth="1"/>
    <col min="3595" max="3839" width="9.140625" style="124"/>
    <col min="3840" max="3840" width="0" style="124" hidden="1" customWidth="1"/>
    <col min="3841" max="3841" width="3" style="124" customWidth="1"/>
    <col min="3842" max="3842" width="24.7109375" style="124" customWidth="1"/>
    <col min="3843" max="3843" width="11" style="124" customWidth="1"/>
    <col min="3844" max="3844" width="11.85546875" style="124" customWidth="1"/>
    <col min="3845" max="3850" width="11" style="124" customWidth="1"/>
    <col min="3851" max="4095" width="9.140625" style="124"/>
    <col min="4096" max="4096" width="0" style="124" hidden="1" customWidth="1"/>
    <col min="4097" max="4097" width="3" style="124" customWidth="1"/>
    <col min="4098" max="4098" width="24.7109375" style="124" customWidth="1"/>
    <col min="4099" max="4099" width="11" style="124" customWidth="1"/>
    <col min="4100" max="4100" width="11.85546875" style="124" customWidth="1"/>
    <col min="4101" max="4106" width="11" style="124" customWidth="1"/>
    <col min="4107" max="4351" width="9.140625" style="124"/>
    <col min="4352" max="4352" width="0" style="124" hidden="1" customWidth="1"/>
    <col min="4353" max="4353" width="3" style="124" customWidth="1"/>
    <col min="4354" max="4354" width="24.7109375" style="124" customWidth="1"/>
    <col min="4355" max="4355" width="11" style="124" customWidth="1"/>
    <col min="4356" max="4356" width="11.85546875" style="124" customWidth="1"/>
    <col min="4357" max="4362" width="11" style="124" customWidth="1"/>
    <col min="4363" max="4607" width="9.140625" style="124"/>
    <col min="4608" max="4608" width="0" style="124" hidden="1" customWidth="1"/>
    <col min="4609" max="4609" width="3" style="124" customWidth="1"/>
    <col min="4610" max="4610" width="24.7109375" style="124" customWidth="1"/>
    <col min="4611" max="4611" width="11" style="124" customWidth="1"/>
    <col min="4612" max="4612" width="11.85546875" style="124" customWidth="1"/>
    <col min="4613" max="4618" width="11" style="124" customWidth="1"/>
    <col min="4619" max="4863" width="9.140625" style="124"/>
    <col min="4864" max="4864" width="0" style="124" hidden="1" customWidth="1"/>
    <col min="4865" max="4865" width="3" style="124" customWidth="1"/>
    <col min="4866" max="4866" width="24.7109375" style="124" customWidth="1"/>
    <col min="4867" max="4867" width="11" style="124" customWidth="1"/>
    <col min="4868" max="4868" width="11.85546875" style="124" customWidth="1"/>
    <col min="4869" max="4874" width="11" style="124" customWidth="1"/>
    <col min="4875" max="5119" width="9.140625" style="124"/>
    <col min="5120" max="5120" width="0" style="124" hidden="1" customWidth="1"/>
    <col min="5121" max="5121" width="3" style="124" customWidth="1"/>
    <col min="5122" max="5122" width="24.7109375" style="124" customWidth="1"/>
    <col min="5123" max="5123" width="11" style="124" customWidth="1"/>
    <col min="5124" max="5124" width="11.85546875" style="124" customWidth="1"/>
    <col min="5125" max="5130" width="11" style="124" customWidth="1"/>
    <col min="5131" max="5375" width="9.140625" style="124"/>
    <col min="5376" max="5376" width="0" style="124" hidden="1" customWidth="1"/>
    <col min="5377" max="5377" width="3" style="124" customWidth="1"/>
    <col min="5378" max="5378" width="24.7109375" style="124" customWidth="1"/>
    <col min="5379" max="5379" width="11" style="124" customWidth="1"/>
    <col min="5380" max="5380" width="11.85546875" style="124" customWidth="1"/>
    <col min="5381" max="5386" width="11" style="124" customWidth="1"/>
    <col min="5387" max="5631" width="9.140625" style="124"/>
    <col min="5632" max="5632" width="0" style="124" hidden="1" customWidth="1"/>
    <col min="5633" max="5633" width="3" style="124" customWidth="1"/>
    <col min="5634" max="5634" width="24.7109375" style="124" customWidth="1"/>
    <col min="5635" max="5635" width="11" style="124" customWidth="1"/>
    <col min="5636" max="5636" width="11.85546875" style="124" customWidth="1"/>
    <col min="5637" max="5642" width="11" style="124" customWidth="1"/>
    <col min="5643" max="5887" width="9.140625" style="124"/>
    <col min="5888" max="5888" width="0" style="124" hidden="1" customWidth="1"/>
    <col min="5889" max="5889" width="3" style="124" customWidth="1"/>
    <col min="5890" max="5890" width="24.7109375" style="124" customWidth="1"/>
    <col min="5891" max="5891" width="11" style="124" customWidth="1"/>
    <col min="5892" max="5892" width="11.85546875" style="124" customWidth="1"/>
    <col min="5893" max="5898" width="11" style="124" customWidth="1"/>
    <col min="5899" max="6143" width="9.140625" style="124"/>
    <col min="6144" max="6144" width="0" style="124" hidden="1" customWidth="1"/>
    <col min="6145" max="6145" width="3" style="124" customWidth="1"/>
    <col min="6146" max="6146" width="24.7109375" style="124" customWidth="1"/>
    <col min="6147" max="6147" width="11" style="124" customWidth="1"/>
    <col min="6148" max="6148" width="11.85546875" style="124" customWidth="1"/>
    <col min="6149" max="6154" width="11" style="124" customWidth="1"/>
    <col min="6155" max="6399" width="9.140625" style="124"/>
    <col min="6400" max="6400" width="0" style="124" hidden="1" customWidth="1"/>
    <col min="6401" max="6401" width="3" style="124" customWidth="1"/>
    <col min="6402" max="6402" width="24.7109375" style="124" customWidth="1"/>
    <col min="6403" max="6403" width="11" style="124" customWidth="1"/>
    <col min="6404" max="6404" width="11.85546875" style="124" customWidth="1"/>
    <col min="6405" max="6410" width="11" style="124" customWidth="1"/>
    <col min="6411" max="6655" width="9.140625" style="124"/>
    <col min="6656" max="6656" width="0" style="124" hidden="1" customWidth="1"/>
    <col min="6657" max="6657" width="3" style="124" customWidth="1"/>
    <col min="6658" max="6658" width="24.7109375" style="124" customWidth="1"/>
    <col min="6659" max="6659" width="11" style="124" customWidth="1"/>
    <col min="6660" max="6660" width="11.85546875" style="124" customWidth="1"/>
    <col min="6661" max="6666" width="11" style="124" customWidth="1"/>
    <col min="6667" max="6911" width="9.140625" style="124"/>
    <col min="6912" max="6912" width="0" style="124" hidden="1" customWidth="1"/>
    <col min="6913" max="6913" width="3" style="124" customWidth="1"/>
    <col min="6914" max="6914" width="24.7109375" style="124" customWidth="1"/>
    <col min="6915" max="6915" width="11" style="124" customWidth="1"/>
    <col min="6916" max="6916" width="11.85546875" style="124" customWidth="1"/>
    <col min="6917" max="6922" width="11" style="124" customWidth="1"/>
    <col min="6923" max="7167" width="9.140625" style="124"/>
    <col min="7168" max="7168" width="0" style="124" hidden="1" customWidth="1"/>
    <col min="7169" max="7169" width="3" style="124" customWidth="1"/>
    <col min="7170" max="7170" width="24.7109375" style="124" customWidth="1"/>
    <col min="7171" max="7171" width="11" style="124" customWidth="1"/>
    <col min="7172" max="7172" width="11.85546875" style="124" customWidth="1"/>
    <col min="7173" max="7178" width="11" style="124" customWidth="1"/>
    <col min="7179" max="7423" width="9.140625" style="124"/>
    <col min="7424" max="7424" width="0" style="124" hidden="1" customWidth="1"/>
    <col min="7425" max="7425" width="3" style="124" customWidth="1"/>
    <col min="7426" max="7426" width="24.7109375" style="124" customWidth="1"/>
    <col min="7427" max="7427" width="11" style="124" customWidth="1"/>
    <col min="7428" max="7428" width="11.85546875" style="124" customWidth="1"/>
    <col min="7429" max="7434" width="11" style="124" customWidth="1"/>
    <col min="7435" max="7679" width="9.140625" style="124"/>
    <col min="7680" max="7680" width="0" style="124" hidden="1" customWidth="1"/>
    <col min="7681" max="7681" width="3" style="124" customWidth="1"/>
    <col min="7682" max="7682" width="24.7109375" style="124" customWidth="1"/>
    <col min="7683" max="7683" width="11" style="124" customWidth="1"/>
    <col min="7684" max="7684" width="11.85546875" style="124" customWidth="1"/>
    <col min="7685" max="7690" width="11" style="124" customWidth="1"/>
    <col min="7691" max="7935" width="9.140625" style="124"/>
    <col min="7936" max="7936" width="0" style="124" hidden="1" customWidth="1"/>
    <col min="7937" max="7937" width="3" style="124" customWidth="1"/>
    <col min="7938" max="7938" width="24.7109375" style="124" customWidth="1"/>
    <col min="7939" max="7939" width="11" style="124" customWidth="1"/>
    <col min="7940" max="7940" width="11.85546875" style="124" customWidth="1"/>
    <col min="7941" max="7946" width="11" style="124" customWidth="1"/>
    <col min="7947" max="8191" width="9.140625" style="124"/>
    <col min="8192" max="8192" width="0" style="124" hidden="1" customWidth="1"/>
    <col min="8193" max="8193" width="3" style="124" customWidth="1"/>
    <col min="8194" max="8194" width="24.7109375" style="124" customWidth="1"/>
    <col min="8195" max="8195" width="11" style="124" customWidth="1"/>
    <col min="8196" max="8196" width="11.85546875" style="124" customWidth="1"/>
    <col min="8197" max="8202" width="11" style="124" customWidth="1"/>
    <col min="8203" max="8447" width="9.140625" style="124"/>
    <col min="8448" max="8448" width="0" style="124" hidden="1" customWidth="1"/>
    <col min="8449" max="8449" width="3" style="124" customWidth="1"/>
    <col min="8450" max="8450" width="24.7109375" style="124" customWidth="1"/>
    <col min="8451" max="8451" width="11" style="124" customWidth="1"/>
    <col min="8452" max="8452" width="11.85546875" style="124" customWidth="1"/>
    <col min="8453" max="8458" width="11" style="124" customWidth="1"/>
    <col min="8459" max="8703" width="9.140625" style="124"/>
    <col min="8704" max="8704" width="0" style="124" hidden="1" customWidth="1"/>
    <col min="8705" max="8705" width="3" style="124" customWidth="1"/>
    <col min="8706" max="8706" width="24.7109375" style="124" customWidth="1"/>
    <col min="8707" max="8707" width="11" style="124" customWidth="1"/>
    <col min="8708" max="8708" width="11.85546875" style="124" customWidth="1"/>
    <col min="8709" max="8714" width="11" style="124" customWidth="1"/>
    <col min="8715" max="8959" width="9.140625" style="124"/>
    <col min="8960" max="8960" width="0" style="124" hidden="1" customWidth="1"/>
    <col min="8961" max="8961" width="3" style="124" customWidth="1"/>
    <col min="8962" max="8962" width="24.7109375" style="124" customWidth="1"/>
    <col min="8963" max="8963" width="11" style="124" customWidth="1"/>
    <col min="8964" max="8964" width="11.85546875" style="124" customWidth="1"/>
    <col min="8965" max="8970" width="11" style="124" customWidth="1"/>
    <col min="8971" max="9215" width="9.140625" style="124"/>
    <col min="9216" max="9216" width="0" style="124" hidden="1" customWidth="1"/>
    <col min="9217" max="9217" width="3" style="124" customWidth="1"/>
    <col min="9218" max="9218" width="24.7109375" style="124" customWidth="1"/>
    <col min="9219" max="9219" width="11" style="124" customWidth="1"/>
    <col min="9220" max="9220" width="11.85546875" style="124" customWidth="1"/>
    <col min="9221" max="9226" width="11" style="124" customWidth="1"/>
    <col min="9227" max="9471" width="9.140625" style="124"/>
    <col min="9472" max="9472" width="0" style="124" hidden="1" customWidth="1"/>
    <col min="9473" max="9473" width="3" style="124" customWidth="1"/>
    <col min="9474" max="9474" width="24.7109375" style="124" customWidth="1"/>
    <col min="9475" max="9475" width="11" style="124" customWidth="1"/>
    <col min="9476" max="9476" width="11.85546875" style="124" customWidth="1"/>
    <col min="9477" max="9482" width="11" style="124" customWidth="1"/>
    <col min="9483" max="9727" width="9.140625" style="124"/>
    <col min="9728" max="9728" width="0" style="124" hidden="1" customWidth="1"/>
    <col min="9729" max="9729" width="3" style="124" customWidth="1"/>
    <col min="9730" max="9730" width="24.7109375" style="124" customWidth="1"/>
    <col min="9731" max="9731" width="11" style="124" customWidth="1"/>
    <col min="9732" max="9732" width="11.85546875" style="124" customWidth="1"/>
    <col min="9733" max="9738" width="11" style="124" customWidth="1"/>
    <col min="9739" max="9983" width="9.140625" style="124"/>
    <col min="9984" max="9984" width="0" style="124" hidden="1" customWidth="1"/>
    <col min="9985" max="9985" width="3" style="124" customWidth="1"/>
    <col min="9986" max="9986" width="24.7109375" style="124" customWidth="1"/>
    <col min="9987" max="9987" width="11" style="124" customWidth="1"/>
    <col min="9988" max="9988" width="11.85546875" style="124" customWidth="1"/>
    <col min="9989" max="9994" width="11" style="124" customWidth="1"/>
    <col min="9995" max="10239" width="9.140625" style="124"/>
    <col min="10240" max="10240" width="0" style="124" hidden="1" customWidth="1"/>
    <col min="10241" max="10241" width="3" style="124" customWidth="1"/>
    <col min="10242" max="10242" width="24.7109375" style="124" customWidth="1"/>
    <col min="10243" max="10243" width="11" style="124" customWidth="1"/>
    <col min="10244" max="10244" width="11.85546875" style="124" customWidth="1"/>
    <col min="10245" max="10250" width="11" style="124" customWidth="1"/>
    <col min="10251" max="10495" width="9.140625" style="124"/>
    <col min="10496" max="10496" width="0" style="124" hidden="1" customWidth="1"/>
    <col min="10497" max="10497" width="3" style="124" customWidth="1"/>
    <col min="10498" max="10498" width="24.7109375" style="124" customWidth="1"/>
    <col min="10499" max="10499" width="11" style="124" customWidth="1"/>
    <col min="10500" max="10500" width="11.85546875" style="124" customWidth="1"/>
    <col min="10501" max="10506" width="11" style="124" customWidth="1"/>
    <col min="10507" max="10751" width="9.140625" style="124"/>
    <col min="10752" max="10752" width="0" style="124" hidden="1" customWidth="1"/>
    <col min="10753" max="10753" width="3" style="124" customWidth="1"/>
    <col min="10754" max="10754" width="24.7109375" style="124" customWidth="1"/>
    <col min="10755" max="10755" width="11" style="124" customWidth="1"/>
    <col min="10756" max="10756" width="11.85546875" style="124" customWidth="1"/>
    <col min="10757" max="10762" width="11" style="124" customWidth="1"/>
    <col min="10763" max="11007" width="9.140625" style="124"/>
    <col min="11008" max="11008" width="0" style="124" hidden="1" customWidth="1"/>
    <col min="11009" max="11009" width="3" style="124" customWidth="1"/>
    <col min="11010" max="11010" width="24.7109375" style="124" customWidth="1"/>
    <col min="11011" max="11011" width="11" style="124" customWidth="1"/>
    <col min="11012" max="11012" width="11.85546875" style="124" customWidth="1"/>
    <col min="11013" max="11018" width="11" style="124" customWidth="1"/>
    <col min="11019" max="11263" width="9.140625" style="124"/>
    <col min="11264" max="11264" width="0" style="124" hidden="1" customWidth="1"/>
    <col min="11265" max="11265" width="3" style="124" customWidth="1"/>
    <col min="11266" max="11266" width="24.7109375" style="124" customWidth="1"/>
    <col min="11267" max="11267" width="11" style="124" customWidth="1"/>
    <col min="11268" max="11268" width="11.85546875" style="124" customWidth="1"/>
    <col min="11269" max="11274" width="11" style="124" customWidth="1"/>
    <col min="11275" max="11519" width="9.140625" style="124"/>
    <col min="11520" max="11520" width="0" style="124" hidden="1" customWidth="1"/>
    <col min="11521" max="11521" width="3" style="124" customWidth="1"/>
    <col min="11522" max="11522" width="24.7109375" style="124" customWidth="1"/>
    <col min="11523" max="11523" width="11" style="124" customWidth="1"/>
    <col min="11524" max="11524" width="11.85546875" style="124" customWidth="1"/>
    <col min="11525" max="11530" width="11" style="124" customWidth="1"/>
    <col min="11531" max="11775" width="9.140625" style="124"/>
    <col min="11776" max="11776" width="0" style="124" hidden="1" customWidth="1"/>
    <col min="11777" max="11777" width="3" style="124" customWidth="1"/>
    <col min="11778" max="11778" width="24.7109375" style="124" customWidth="1"/>
    <col min="11779" max="11779" width="11" style="124" customWidth="1"/>
    <col min="11780" max="11780" width="11.85546875" style="124" customWidth="1"/>
    <col min="11781" max="11786" width="11" style="124" customWidth="1"/>
    <col min="11787" max="12031" width="9.140625" style="124"/>
    <col min="12032" max="12032" width="0" style="124" hidden="1" customWidth="1"/>
    <col min="12033" max="12033" width="3" style="124" customWidth="1"/>
    <col min="12034" max="12034" width="24.7109375" style="124" customWidth="1"/>
    <col min="12035" max="12035" width="11" style="124" customWidth="1"/>
    <col min="12036" max="12036" width="11.85546875" style="124" customWidth="1"/>
    <col min="12037" max="12042" width="11" style="124" customWidth="1"/>
    <col min="12043" max="12287" width="9.140625" style="124"/>
    <col min="12288" max="12288" width="0" style="124" hidden="1" customWidth="1"/>
    <col min="12289" max="12289" width="3" style="124" customWidth="1"/>
    <col min="12290" max="12290" width="24.7109375" style="124" customWidth="1"/>
    <col min="12291" max="12291" width="11" style="124" customWidth="1"/>
    <col min="12292" max="12292" width="11.85546875" style="124" customWidth="1"/>
    <col min="12293" max="12298" width="11" style="124" customWidth="1"/>
    <col min="12299" max="12543" width="9.140625" style="124"/>
    <col min="12544" max="12544" width="0" style="124" hidden="1" customWidth="1"/>
    <col min="12545" max="12545" width="3" style="124" customWidth="1"/>
    <col min="12546" max="12546" width="24.7109375" style="124" customWidth="1"/>
    <col min="12547" max="12547" width="11" style="124" customWidth="1"/>
    <col min="12548" max="12548" width="11.85546875" style="124" customWidth="1"/>
    <col min="12549" max="12554" width="11" style="124" customWidth="1"/>
    <col min="12555" max="12799" width="9.140625" style="124"/>
    <col min="12800" max="12800" width="0" style="124" hidden="1" customWidth="1"/>
    <col min="12801" max="12801" width="3" style="124" customWidth="1"/>
    <col min="12802" max="12802" width="24.7109375" style="124" customWidth="1"/>
    <col min="12803" max="12803" width="11" style="124" customWidth="1"/>
    <col min="12804" max="12804" width="11.85546875" style="124" customWidth="1"/>
    <col min="12805" max="12810" width="11" style="124" customWidth="1"/>
    <col min="12811" max="13055" width="9.140625" style="124"/>
    <col min="13056" max="13056" width="0" style="124" hidden="1" customWidth="1"/>
    <col min="13057" max="13057" width="3" style="124" customWidth="1"/>
    <col min="13058" max="13058" width="24.7109375" style="124" customWidth="1"/>
    <col min="13059" max="13059" width="11" style="124" customWidth="1"/>
    <col min="13060" max="13060" width="11.85546875" style="124" customWidth="1"/>
    <col min="13061" max="13066" width="11" style="124" customWidth="1"/>
    <col min="13067" max="13311" width="9.140625" style="124"/>
    <col min="13312" max="13312" width="0" style="124" hidden="1" customWidth="1"/>
    <col min="13313" max="13313" width="3" style="124" customWidth="1"/>
    <col min="13314" max="13314" width="24.7109375" style="124" customWidth="1"/>
    <col min="13315" max="13315" width="11" style="124" customWidth="1"/>
    <col min="13316" max="13316" width="11.85546875" style="124" customWidth="1"/>
    <col min="13317" max="13322" width="11" style="124" customWidth="1"/>
    <col min="13323" max="13567" width="9.140625" style="124"/>
    <col min="13568" max="13568" width="0" style="124" hidden="1" customWidth="1"/>
    <col min="13569" max="13569" width="3" style="124" customWidth="1"/>
    <col min="13570" max="13570" width="24.7109375" style="124" customWidth="1"/>
    <col min="13571" max="13571" width="11" style="124" customWidth="1"/>
    <col min="13572" max="13572" width="11.85546875" style="124" customWidth="1"/>
    <col min="13573" max="13578" width="11" style="124" customWidth="1"/>
    <col min="13579" max="13823" width="9.140625" style="124"/>
    <col min="13824" max="13824" width="0" style="124" hidden="1" customWidth="1"/>
    <col min="13825" max="13825" width="3" style="124" customWidth="1"/>
    <col min="13826" max="13826" width="24.7109375" style="124" customWidth="1"/>
    <col min="13827" max="13827" width="11" style="124" customWidth="1"/>
    <col min="13828" max="13828" width="11.85546875" style="124" customWidth="1"/>
    <col min="13829" max="13834" width="11" style="124" customWidth="1"/>
    <col min="13835" max="14079" width="9.140625" style="124"/>
    <col min="14080" max="14080" width="0" style="124" hidden="1" customWidth="1"/>
    <col min="14081" max="14081" width="3" style="124" customWidth="1"/>
    <col min="14082" max="14082" width="24.7109375" style="124" customWidth="1"/>
    <col min="14083" max="14083" width="11" style="124" customWidth="1"/>
    <col min="14084" max="14084" width="11.85546875" style="124" customWidth="1"/>
    <col min="14085" max="14090" width="11" style="124" customWidth="1"/>
    <col min="14091" max="14335" width="9.140625" style="124"/>
    <col min="14336" max="14336" width="0" style="124" hidden="1" customWidth="1"/>
    <col min="14337" max="14337" width="3" style="124" customWidth="1"/>
    <col min="14338" max="14338" width="24.7109375" style="124" customWidth="1"/>
    <col min="14339" max="14339" width="11" style="124" customWidth="1"/>
    <col min="14340" max="14340" width="11.85546875" style="124" customWidth="1"/>
    <col min="14341" max="14346" width="11" style="124" customWidth="1"/>
    <col min="14347" max="14591" width="9.140625" style="124"/>
    <col min="14592" max="14592" width="0" style="124" hidden="1" customWidth="1"/>
    <col min="14593" max="14593" width="3" style="124" customWidth="1"/>
    <col min="14594" max="14594" width="24.7109375" style="124" customWidth="1"/>
    <col min="14595" max="14595" width="11" style="124" customWidth="1"/>
    <col min="14596" max="14596" width="11.85546875" style="124" customWidth="1"/>
    <col min="14597" max="14602" width="11" style="124" customWidth="1"/>
    <col min="14603" max="14847" width="9.140625" style="124"/>
    <col min="14848" max="14848" width="0" style="124" hidden="1" customWidth="1"/>
    <col min="14849" max="14849" width="3" style="124" customWidth="1"/>
    <col min="14850" max="14850" width="24.7109375" style="124" customWidth="1"/>
    <col min="14851" max="14851" width="11" style="124" customWidth="1"/>
    <col min="14852" max="14852" width="11.85546875" style="124" customWidth="1"/>
    <col min="14853" max="14858" width="11" style="124" customWidth="1"/>
    <col min="14859" max="15103" width="9.140625" style="124"/>
    <col min="15104" max="15104" width="0" style="124" hidden="1" customWidth="1"/>
    <col min="15105" max="15105" width="3" style="124" customWidth="1"/>
    <col min="15106" max="15106" width="24.7109375" style="124" customWidth="1"/>
    <col min="15107" max="15107" width="11" style="124" customWidth="1"/>
    <col min="15108" max="15108" width="11.85546875" style="124" customWidth="1"/>
    <col min="15109" max="15114" width="11" style="124" customWidth="1"/>
    <col min="15115" max="15359" width="9.140625" style="124"/>
    <col min="15360" max="15360" width="0" style="124" hidden="1" customWidth="1"/>
    <col min="15361" max="15361" width="3" style="124" customWidth="1"/>
    <col min="15362" max="15362" width="24.7109375" style="124" customWidth="1"/>
    <col min="15363" max="15363" width="11" style="124" customWidth="1"/>
    <col min="15364" max="15364" width="11.85546875" style="124" customWidth="1"/>
    <col min="15365" max="15370" width="11" style="124" customWidth="1"/>
    <col min="15371" max="15615" width="9.140625" style="124"/>
    <col min="15616" max="15616" width="0" style="124" hidden="1" customWidth="1"/>
    <col min="15617" max="15617" width="3" style="124" customWidth="1"/>
    <col min="15618" max="15618" width="24.7109375" style="124" customWidth="1"/>
    <col min="15619" max="15619" width="11" style="124" customWidth="1"/>
    <col min="15620" max="15620" width="11.85546875" style="124" customWidth="1"/>
    <col min="15621" max="15626" width="11" style="124" customWidth="1"/>
    <col min="15627" max="15871" width="9.140625" style="124"/>
    <col min="15872" max="15872" width="0" style="124" hidden="1" customWidth="1"/>
    <col min="15873" max="15873" width="3" style="124" customWidth="1"/>
    <col min="15874" max="15874" width="24.7109375" style="124" customWidth="1"/>
    <col min="15875" max="15875" width="11" style="124" customWidth="1"/>
    <col min="15876" max="15876" width="11.85546875" style="124" customWidth="1"/>
    <col min="15877" max="15882" width="11" style="124" customWidth="1"/>
    <col min="15883" max="16127" width="9.140625" style="124"/>
    <col min="16128" max="16128" width="0" style="124" hidden="1" customWidth="1"/>
    <col min="16129" max="16129" width="3" style="124" customWidth="1"/>
    <col min="16130" max="16130" width="24.7109375" style="124" customWidth="1"/>
    <col min="16131" max="16131" width="11" style="124" customWidth="1"/>
    <col min="16132" max="16132" width="11.85546875" style="124" customWidth="1"/>
    <col min="16133" max="16138" width="11" style="124" customWidth="1"/>
    <col min="16139" max="16384" width="9.140625" style="124"/>
  </cols>
  <sheetData>
    <row r="1" spans="1:12" ht="48" customHeight="1">
      <c r="B1" s="196" t="s">
        <v>100</v>
      </c>
      <c r="C1" s="196"/>
      <c r="D1" s="196"/>
      <c r="E1" s="196"/>
      <c r="F1" s="196"/>
      <c r="G1" s="196"/>
      <c r="H1" s="196"/>
      <c r="I1" s="196"/>
      <c r="J1" s="196"/>
    </row>
    <row r="2" spans="1:12" ht="12.75" customHeight="1">
      <c r="B2" s="197"/>
      <c r="C2" s="221" t="s">
        <v>1</v>
      </c>
      <c r="D2" s="221"/>
      <c r="E2" s="204" t="s">
        <v>2</v>
      </c>
      <c r="F2" s="204"/>
      <c r="G2" s="204"/>
      <c r="H2" s="204"/>
      <c r="I2" s="205" t="s">
        <v>5</v>
      </c>
      <c r="J2" s="205"/>
    </row>
    <row r="3" spans="1:12" ht="30" customHeight="1">
      <c r="A3" s="4"/>
      <c r="B3" s="197"/>
      <c r="C3" s="206"/>
      <c r="D3" s="206"/>
      <c r="E3" s="144" t="s">
        <v>3</v>
      </c>
      <c r="F3" s="144"/>
      <c r="G3" s="144" t="s">
        <v>4</v>
      </c>
      <c r="H3" s="144"/>
      <c r="I3" s="206"/>
      <c r="J3" s="206"/>
    </row>
    <row r="4" spans="1:12" ht="45.75" customHeight="1">
      <c r="B4" s="203"/>
      <c r="C4" s="145" t="s">
        <v>59</v>
      </c>
      <c r="D4" s="146" t="s">
        <v>60</v>
      </c>
      <c r="E4" s="145" t="s">
        <v>59</v>
      </c>
      <c r="F4" s="146" t="s">
        <v>60</v>
      </c>
      <c r="G4" s="145" t="s">
        <v>59</v>
      </c>
      <c r="H4" s="146" t="s">
        <v>60</v>
      </c>
      <c r="I4" s="145" t="s">
        <v>59</v>
      </c>
      <c r="J4" s="146" t="s">
        <v>60</v>
      </c>
    </row>
    <row r="5" spans="1:12" ht="30" customHeight="1">
      <c r="B5" s="129" t="s">
        <v>6</v>
      </c>
      <c r="C5" s="135">
        <v>966</v>
      </c>
      <c r="D5" s="135">
        <v>254</v>
      </c>
      <c r="E5" s="135">
        <v>183</v>
      </c>
      <c r="F5" s="135">
        <v>45</v>
      </c>
      <c r="G5" s="135">
        <v>19</v>
      </c>
      <c r="H5" s="135">
        <v>2</v>
      </c>
      <c r="I5" s="135">
        <v>0</v>
      </c>
      <c r="J5" s="135">
        <v>0</v>
      </c>
      <c r="L5" s="147"/>
    </row>
    <row r="6" spans="1:12" s="129" customFormat="1" ht="25.5" customHeight="1">
      <c r="A6" s="9"/>
      <c r="B6" s="129" t="s">
        <v>7</v>
      </c>
      <c r="C6" s="148">
        <v>605</v>
      </c>
      <c r="D6" s="148">
        <v>176</v>
      </c>
      <c r="E6" s="148">
        <v>117</v>
      </c>
      <c r="F6" s="148">
        <v>25</v>
      </c>
      <c r="G6" s="148">
        <v>14</v>
      </c>
      <c r="H6" s="148">
        <v>0</v>
      </c>
      <c r="I6" s="148">
        <v>0</v>
      </c>
      <c r="J6" s="148">
        <v>0</v>
      </c>
    </row>
    <row r="7" spans="1:12" ht="12.75" customHeight="1">
      <c r="A7" s="12">
        <v>51</v>
      </c>
      <c r="B7" s="124" t="s">
        <v>8</v>
      </c>
      <c r="C7" s="149">
        <v>14</v>
      </c>
      <c r="D7" s="149">
        <v>3</v>
      </c>
      <c r="E7" s="149">
        <v>3</v>
      </c>
      <c r="F7" s="149">
        <v>0</v>
      </c>
      <c r="G7" s="149">
        <v>0</v>
      </c>
      <c r="H7" s="150">
        <v>0</v>
      </c>
      <c r="I7" s="150">
        <v>0</v>
      </c>
      <c r="J7" s="150">
        <v>0</v>
      </c>
    </row>
    <row r="8" spans="1:12" ht="12.75" customHeight="1">
      <c r="A8" s="12">
        <v>52</v>
      </c>
      <c r="B8" s="124" t="s">
        <v>9</v>
      </c>
      <c r="C8" s="149">
        <v>13</v>
      </c>
      <c r="D8" s="149">
        <v>2</v>
      </c>
      <c r="E8" s="149">
        <v>5</v>
      </c>
      <c r="F8" s="149">
        <v>0</v>
      </c>
      <c r="G8" s="149">
        <v>0</v>
      </c>
      <c r="H8" s="150">
        <v>0</v>
      </c>
      <c r="I8" s="150">
        <v>0</v>
      </c>
      <c r="J8" s="150">
        <v>0</v>
      </c>
    </row>
    <row r="9" spans="1:12" ht="12.75" customHeight="1">
      <c r="A9" s="12">
        <v>86</v>
      </c>
      <c r="B9" s="124" t="s">
        <v>10</v>
      </c>
      <c r="C9" s="150">
        <v>11</v>
      </c>
      <c r="D9" s="150">
        <v>2</v>
      </c>
      <c r="E9" s="150">
        <v>3</v>
      </c>
      <c r="F9" s="150">
        <v>1</v>
      </c>
      <c r="G9" s="150">
        <v>2</v>
      </c>
      <c r="H9" s="150">
        <v>0</v>
      </c>
      <c r="I9" s="150">
        <v>0</v>
      </c>
      <c r="J9" s="150">
        <v>0</v>
      </c>
    </row>
    <row r="10" spans="1:12" ht="12.75" customHeight="1">
      <c r="A10" s="12">
        <v>53</v>
      </c>
      <c r="B10" s="124" t="s">
        <v>11</v>
      </c>
      <c r="C10" s="149">
        <v>8</v>
      </c>
      <c r="D10" s="149">
        <v>2</v>
      </c>
      <c r="E10" s="149">
        <v>1</v>
      </c>
      <c r="F10" s="149">
        <v>1</v>
      </c>
      <c r="G10" s="149">
        <v>0</v>
      </c>
      <c r="H10" s="150">
        <v>0</v>
      </c>
      <c r="I10" s="150">
        <v>0</v>
      </c>
      <c r="J10" s="150">
        <v>0</v>
      </c>
    </row>
    <row r="11" spans="1:12" ht="12.75" customHeight="1">
      <c r="A11" s="12">
        <v>54</v>
      </c>
      <c r="B11" s="124" t="s">
        <v>12</v>
      </c>
      <c r="C11" s="149">
        <v>28</v>
      </c>
      <c r="D11" s="149">
        <v>5</v>
      </c>
      <c r="E11" s="149">
        <v>3</v>
      </c>
      <c r="F11" s="149">
        <v>0</v>
      </c>
      <c r="G11" s="149">
        <v>0</v>
      </c>
      <c r="H11" s="150">
        <v>0</v>
      </c>
      <c r="I11" s="150">
        <v>0</v>
      </c>
      <c r="J11" s="150">
        <v>0</v>
      </c>
    </row>
    <row r="12" spans="1:12" ht="12.75" customHeight="1">
      <c r="A12" s="12">
        <v>55</v>
      </c>
      <c r="B12" s="124" t="s">
        <v>13</v>
      </c>
      <c r="C12" s="149">
        <v>16</v>
      </c>
      <c r="D12" s="149">
        <v>5</v>
      </c>
      <c r="E12" s="149">
        <v>1</v>
      </c>
      <c r="F12" s="149">
        <v>1</v>
      </c>
      <c r="G12" s="149">
        <v>1</v>
      </c>
      <c r="H12" s="150">
        <v>0</v>
      </c>
      <c r="I12" s="150">
        <v>0</v>
      </c>
      <c r="J12" s="150">
        <v>0</v>
      </c>
    </row>
    <row r="13" spans="1:12" ht="12.75" customHeight="1">
      <c r="A13" s="12">
        <v>56</v>
      </c>
      <c r="B13" s="124" t="s">
        <v>14</v>
      </c>
      <c r="C13" s="149">
        <v>11</v>
      </c>
      <c r="D13" s="149">
        <v>4</v>
      </c>
      <c r="E13" s="149">
        <v>1</v>
      </c>
      <c r="F13" s="149">
        <v>0</v>
      </c>
      <c r="G13" s="149">
        <v>0</v>
      </c>
      <c r="H13" s="150">
        <v>0</v>
      </c>
      <c r="I13" s="150">
        <v>0</v>
      </c>
      <c r="J13" s="150">
        <v>0</v>
      </c>
    </row>
    <row r="14" spans="1:12" ht="12.75" customHeight="1">
      <c r="A14" s="12">
        <v>57</v>
      </c>
      <c r="B14" s="124" t="s">
        <v>15</v>
      </c>
      <c r="C14" s="149">
        <v>14</v>
      </c>
      <c r="D14" s="149">
        <v>2</v>
      </c>
      <c r="E14" s="149">
        <v>1</v>
      </c>
      <c r="F14" s="149">
        <v>1</v>
      </c>
      <c r="G14" s="149">
        <v>0</v>
      </c>
      <c r="H14" s="150">
        <v>0</v>
      </c>
      <c r="I14" s="150">
        <v>0</v>
      </c>
      <c r="J14" s="150">
        <v>0</v>
      </c>
    </row>
    <row r="15" spans="1:12" ht="12.75" customHeight="1">
      <c r="A15" s="12">
        <v>59</v>
      </c>
      <c r="B15" s="124" t="s">
        <v>16</v>
      </c>
      <c r="C15" s="149">
        <v>10</v>
      </c>
      <c r="D15" s="149">
        <v>2</v>
      </c>
      <c r="E15" s="149">
        <v>2</v>
      </c>
      <c r="F15" s="149">
        <v>0</v>
      </c>
      <c r="G15" s="149">
        <v>0</v>
      </c>
      <c r="H15" s="150">
        <v>0</v>
      </c>
      <c r="I15" s="150">
        <v>0</v>
      </c>
      <c r="J15" s="150">
        <v>0</v>
      </c>
    </row>
    <row r="16" spans="1:12" ht="12.75" customHeight="1">
      <c r="A16" s="12">
        <v>60</v>
      </c>
      <c r="B16" s="124" t="s">
        <v>17</v>
      </c>
      <c r="C16" s="149">
        <v>14</v>
      </c>
      <c r="D16" s="149">
        <v>9</v>
      </c>
      <c r="E16" s="149">
        <v>4</v>
      </c>
      <c r="F16" s="149">
        <v>1</v>
      </c>
      <c r="G16" s="149">
        <v>0</v>
      </c>
      <c r="H16" s="150">
        <v>0</v>
      </c>
      <c r="I16" s="150">
        <v>0</v>
      </c>
      <c r="J16" s="150">
        <v>0</v>
      </c>
    </row>
    <row r="17" spans="1:10" ht="12.75" customHeight="1">
      <c r="A17" s="12">
        <v>61</v>
      </c>
      <c r="B17" s="151" t="s">
        <v>18</v>
      </c>
      <c r="C17" s="149">
        <v>22</v>
      </c>
      <c r="D17" s="149">
        <v>2</v>
      </c>
      <c r="E17" s="149">
        <v>4</v>
      </c>
      <c r="F17" s="149">
        <v>0</v>
      </c>
      <c r="G17" s="149">
        <v>1</v>
      </c>
      <c r="H17" s="150">
        <v>0</v>
      </c>
      <c r="I17" s="150">
        <v>0</v>
      </c>
      <c r="J17" s="150">
        <v>0</v>
      </c>
    </row>
    <row r="18" spans="1:10" s="184" customFormat="1" ht="12.75" customHeight="1">
      <c r="A18" s="12"/>
      <c r="B18" s="132" t="s">
        <v>125</v>
      </c>
      <c r="C18" s="165" t="s">
        <v>126</v>
      </c>
      <c r="D18" s="165" t="s">
        <v>126</v>
      </c>
      <c r="E18" s="165" t="s">
        <v>126</v>
      </c>
      <c r="F18" s="165" t="s">
        <v>126</v>
      </c>
      <c r="G18" s="149" t="s">
        <v>126</v>
      </c>
      <c r="H18" s="150" t="s">
        <v>126</v>
      </c>
      <c r="I18" s="150" t="s">
        <v>126</v>
      </c>
      <c r="J18" s="150" t="s">
        <v>126</v>
      </c>
    </row>
    <row r="19" spans="1:10" ht="12.75" customHeight="1">
      <c r="A19" s="12">
        <v>62</v>
      </c>
      <c r="B19" s="124" t="s">
        <v>19</v>
      </c>
      <c r="C19" s="149">
        <v>19</v>
      </c>
      <c r="D19" s="149">
        <v>7</v>
      </c>
      <c r="E19" s="149">
        <v>4</v>
      </c>
      <c r="F19" s="149">
        <v>1</v>
      </c>
      <c r="G19" s="149">
        <v>0</v>
      </c>
      <c r="H19" s="150">
        <v>0</v>
      </c>
      <c r="I19" s="150">
        <v>0</v>
      </c>
      <c r="J19" s="150">
        <v>0</v>
      </c>
    </row>
    <row r="20" spans="1:10" ht="12.75" customHeight="1">
      <c r="A20" s="12">
        <v>58</v>
      </c>
      <c r="B20" s="124" t="s">
        <v>20</v>
      </c>
      <c r="C20" s="149">
        <v>3</v>
      </c>
      <c r="D20" s="149">
        <v>1</v>
      </c>
      <c r="E20" s="149">
        <v>1</v>
      </c>
      <c r="F20" s="149">
        <v>0</v>
      </c>
      <c r="G20" s="149">
        <v>0</v>
      </c>
      <c r="H20" s="150">
        <v>0</v>
      </c>
      <c r="I20" s="150">
        <v>0</v>
      </c>
      <c r="J20" s="150">
        <v>0</v>
      </c>
    </row>
    <row r="21" spans="1:10" ht="12.75" customHeight="1">
      <c r="A21" s="12">
        <v>63</v>
      </c>
      <c r="B21" s="124" t="s">
        <v>21</v>
      </c>
      <c r="C21" s="149">
        <v>24</v>
      </c>
      <c r="D21" s="149">
        <v>11</v>
      </c>
      <c r="E21" s="149">
        <v>3</v>
      </c>
      <c r="F21" s="149">
        <v>1</v>
      </c>
      <c r="G21" s="149">
        <v>0</v>
      </c>
      <c r="H21" s="150">
        <v>0</v>
      </c>
      <c r="I21" s="150">
        <v>0</v>
      </c>
      <c r="J21" s="150">
        <v>0</v>
      </c>
    </row>
    <row r="22" spans="1:10" ht="12.75" customHeight="1">
      <c r="A22" s="12">
        <v>64</v>
      </c>
      <c r="B22" s="124" t="s">
        <v>22</v>
      </c>
      <c r="C22" s="149">
        <v>12</v>
      </c>
      <c r="D22" s="149">
        <v>7</v>
      </c>
      <c r="E22" s="149">
        <v>1</v>
      </c>
      <c r="F22" s="149">
        <v>3</v>
      </c>
      <c r="G22" s="149">
        <v>0</v>
      </c>
      <c r="H22" s="150">
        <v>0</v>
      </c>
      <c r="I22" s="150">
        <v>0</v>
      </c>
      <c r="J22" s="150">
        <v>0</v>
      </c>
    </row>
    <row r="23" spans="1:10" ht="12.75" customHeight="1">
      <c r="A23" s="12">
        <v>65</v>
      </c>
      <c r="B23" s="124" t="s">
        <v>23</v>
      </c>
      <c r="C23" s="149">
        <v>12</v>
      </c>
      <c r="D23" s="149">
        <v>3</v>
      </c>
      <c r="E23" s="149">
        <v>2</v>
      </c>
      <c r="F23" s="149">
        <v>0</v>
      </c>
      <c r="G23" s="149">
        <v>0</v>
      </c>
      <c r="H23" s="150">
        <v>0</v>
      </c>
      <c r="I23" s="150">
        <v>0</v>
      </c>
      <c r="J23" s="150">
        <v>0</v>
      </c>
    </row>
    <row r="24" spans="1:10" ht="12.75" customHeight="1">
      <c r="A24" s="12">
        <v>67</v>
      </c>
      <c r="B24" s="124" t="s">
        <v>24</v>
      </c>
      <c r="C24" s="149">
        <v>19</v>
      </c>
      <c r="D24" s="149">
        <v>1</v>
      </c>
      <c r="E24" s="149">
        <v>6</v>
      </c>
      <c r="F24" s="149">
        <v>0</v>
      </c>
      <c r="G24" s="149">
        <v>5</v>
      </c>
      <c r="H24" s="150">
        <v>0</v>
      </c>
      <c r="I24" s="150">
        <v>0</v>
      </c>
      <c r="J24" s="150">
        <v>0</v>
      </c>
    </row>
    <row r="25" spans="1:10" ht="12.75" customHeight="1">
      <c r="A25" s="12">
        <v>68</v>
      </c>
      <c r="B25" s="124" t="s">
        <v>25</v>
      </c>
      <c r="C25" s="149">
        <v>22</v>
      </c>
      <c r="D25" s="149">
        <v>4</v>
      </c>
      <c r="E25" s="149">
        <v>5</v>
      </c>
      <c r="F25" s="149">
        <v>0</v>
      </c>
      <c r="G25" s="149">
        <v>1</v>
      </c>
      <c r="H25" s="150">
        <v>0</v>
      </c>
      <c r="I25" s="150">
        <v>0</v>
      </c>
      <c r="J25" s="150">
        <v>0</v>
      </c>
    </row>
    <row r="26" spans="1:10" ht="12.75" customHeight="1">
      <c r="A26" s="12">
        <v>69</v>
      </c>
      <c r="B26" s="124" t="s">
        <v>26</v>
      </c>
      <c r="C26" s="149">
        <v>14</v>
      </c>
      <c r="D26" s="149">
        <v>2</v>
      </c>
      <c r="E26" s="149">
        <v>5</v>
      </c>
      <c r="F26" s="149">
        <v>0</v>
      </c>
      <c r="G26" s="149">
        <v>0</v>
      </c>
      <c r="H26" s="150">
        <v>0</v>
      </c>
      <c r="I26" s="150">
        <v>0</v>
      </c>
      <c r="J26" s="150">
        <v>0</v>
      </c>
    </row>
    <row r="27" spans="1:10" ht="12.75" customHeight="1">
      <c r="A27" s="12">
        <v>70</v>
      </c>
      <c r="B27" s="124" t="s">
        <v>27</v>
      </c>
      <c r="C27" s="149">
        <v>15</v>
      </c>
      <c r="D27" s="149">
        <v>6</v>
      </c>
      <c r="E27" s="149">
        <v>4</v>
      </c>
      <c r="F27" s="149">
        <v>2</v>
      </c>
      <c r="G27" s="149">
        <v>0</v>
      </c>
      <c r="H27" s="150">
        <v>0</v>
      </c>
      <c r="I27" s="150">
        <v>0</v>
      </c>
      <c r="J27" s="150">
        <v>0</v>
      </c>
    </row>
    <row r="28" spans="1:10" ht="12.75" customHeight="1">
      <c r="A28" s="12">
        <v>71</v>
      </c>
      <c r="B28" s="152" t="s">
        <v>28</v>
      </c>
      <c r="C28" s="149">
        <v>2</v>
      </c>
      <c r="D28" s="149">
        <v>2</v>
      </c>
      <c r="E28" s="149">
        <v>1</v>
      </c>
      <c r="F28" s="149">
        <v>0</v>
      </c>
      <c r="G28" s="149">
        <v>0</v>
      </c>
      <c r="H28" s="150">
        <v>0</v>
      </c>
      <c r="I28" s="150">
        <v>0</v>
      </c>
      <c r="J28" s="150">
        <v>0</v>
      </c>
    </row>
    <row r="29" spans="1:10" ht="12.75" customHeight="1">
      <c r="A29" s="12">
        <v>73</v>
      </c>
      <c r="B29" s="124" t="s">
        <v>29</v>
      </c>
      <c r="C29" s="153">
        <v>24</v>
      </c>
      <c r="D29" s="153">
        <v>10</v>
      </c>
      <c r="E29" s="153">
        <v>1</v>
      </c>
      <c r="F29" s="153">
        <v>2</v>
      </c>
      <c r="G29" s="153">
        <v>0</v>
      </c>
      <c r="H29" s="153">
        <v>0</v>
      </c>
      <c r="I29" s="153">
        <v>0</v>
      </c>
      <c r="J29" s="153">
        <v>0</v>
      </c>
    </row>
    <row r="30" spans="1:10" ht="12.75" customHeight="1">
      <c r="A30" s="12">
        <v>74</v>
      </c>
      <c r="B30" s="124" t="s">
        <v>30</v>
      </c>
      <c r="C30" s="149">
        <v>22</v>
      </c>
      <c r="D30" s="149">
        <v>5</v>
      </c>
      <c r="E30" s="149">
        <v>8</v>
      </c>
      <c r="F30" s="149">
        <v>0</v>
      </c>
      <c r="G30" s="149">
        <v>0</v>
      </c>
      <c r="H30" s="150">
        <v>0</v>
      </c>
      <c r="I30" s="150">
        <v>0</v>
      </c>
      <c r="J30" s="150">
        <v>0</v>
      </c>
    </row>
    <row r="31" spans="1:10" ht="12.75" customHeight="1">
      <c r="A31" s="12">
        <v>75</v>
      </c>
      <c r="B31" s="124" t="s">
        <v>31</v>
      </c>
      <c r="C31" s="149">
        <v>14</v>
      </c>
      <c r="D31" s="149">
        <v>3</v>
      </c>
      <c r="E31" s="149">
        <v>3</v>
      </c>
      <c r="F31" s="149">
        <v>0</v>
      </c>
      <c r="G31" s="149">
        <v>0</v>
      </c>
      <c r="H31" s="150">
        <v>0</v>
      </c>
      <c r="I31" s="150">
        <v>0</v>
      </c>
      <c r="J31" s="150">
        <v>0</v>
      </c>
    </row>
    <row r="32" spans="1:10" ht="12.75" customHeight="1">
      <c r="A32" s="12">
        <v>76</v>
      </c>
      <c r="B32" s="124" t="s">
        <v>32</v>
      </c>
      <c r="C32" s="150">
        <v>12</v>
      </c>
      <c r="D32" s="150">
        <v>0</v>
      </c>
      <c r="E32" s="150">
        <v>4</v>
      </c>
      <c r="F32" s="150">
        <v>0</v>
      </c>
      <c r="G32" s="150">
        <v>0</v>
      </c>
      <c r="H32" s="150">
        <v>0</v>
      </c>
      <c r="I32" s="150">
        <v>0</v>
      </c>
      <c r="J32" s="150">
        <v>0</v>
      </c>
    </row>
    <row r="33" spans="1:12" ht="12.75" customHeight="1">
      <c r="A33" s="12">
        <v>79</v>
      </c>
      <c r="B33" s="124" t="s">
        <v>33</v>
      </c>
      <c r="C33" s="150">
        <v>22</v>
      </c>
      <c r="D33" s="150">
        <v>7</v>
      </c>
      <c r="E33" s="150">
        <v>7</v>
      </c>
      <c r="F33" s="150">
        <v>1</v>
      </c>
      <c r="G33" s="150">
        <v>0</v>
      </c>
      <c r="H33" s="150">
        <v>0</v>
      </c>
      <c r="I33" s="150">
        <v>0</v>
      </c>
      <c r="J33" s="150">
        <v>0</v>
      </c>
    </row>
    <row r="34" spans="1:12" ht="12.75" customHeight="1">
      <c r="A34" s="12">
        <v>80</v>
      </c>
      <c r="B34" s="124" t="s">
        <v>34</v>
      </c>
      <c r="C34" s="150">
        <v>7</v>
      </c>
      <c r="D34" s="150">
        <v>9</v>
      </c>
      <c r="E34" s="150">
        <v>1</v>
      </c>
      <c r="F34" s="150">
        <v>2</v>
      </c>
      <c r="G34" s="150">
        <v>0</v>
      </c>
      <c r="H34" s="150">
        <v>0</v>
      </c>
      <c r="I34" s="150">
        <v>0</v>
      </c>
      <c r="J34" s="150">
        <v>0</v>
      </c>
    </row>
    <row r="35" spans="1:12" ht="12.75" customHeight="1">
      <c r="A35" s="12">
        <v>81</v>
      </c>
      <c r="B35" s="124" t="s">
        <v>35</v>
      </c>
      <c r="C35" s="150">
        <v>35</v>
      </c>
      <c r="D35" s="150">
        <v>11</v>
      </c>
      <c r="E35" s="150">
        <v>4</v>
      </c>
      <c r="F35" s="150">
        <v>0</v>
      </c>
      <c r="G35" s="150">
        <v>0</v>
      </c>
      <c r="H35" s="150">
        <v>0</v>
      </c>
      <c r="I35" s="150">
        <v>0</v>
      </c>
      <c r="J35" s="150">
        <v>0</v>
      </c>
    </row>
    <row r="36" spans="1:12" ht="12.75" customHeight="1">
      <c r="A36" s="12">
        <v>83</v>
      </c>
      <c r="B36" s="124" t="s">
        <v>36</v>
      </c>
      <c r="C36" s="150">
        <v>5</v>
      </c>
      <c r="D36" s="150">
        <v>1</v>
      </c>
      <c r="E36" s="150">
        <v>1</v>
      </c>
      <c r="F36" s="150">
        <v>0</v>
      </c>
      <c r="G36" s="150">
        <v>0</v>
      </c>
      <c r="H36" s="150">
        <v>0</v>
      </c>
      <c r="I36" s="150">
        <v>0</v>
      </c>
      <c r="J36" s="150">
        <v>0</v>
      </c>
    </row>
    <row r="37" spans="1:12" ht="12.75" customHeight="1">
      <c r="A37" s="12">
        <v>84</v>
      </c>
      <c r="B37" s="124" t="s">
        <v>37</v>
      </c>
      <c r="C37" s="150">
        <v>14</v>
      </c>
      <c r="D37" s="150">
        <v>12</v>
      </c>
      <c r="E37" s="150">
        <v>2</v>
      </c>
      <c r="F37" s="150">
        <v>2</v>
      </c>
      <c r="G37" s="150">
        <v>0</v>
      </c>
      <c r="H37" s="150">
        <v>0</v>
      </c>
      <c r="I37" s="150">
        <v>0</v>
      </c>
      <c r="J37" s="150">
        <v>0</v>
      </c>
    </row>
    <row r="38" spans="1:12" ht="12.75" customHeight="1">
      <c r="A38" s="12">
        <v>85</v>
      </c>
      <c r="B38" s="124" t="s">
        <v>38</v>
      </c>
      <c r="C38" s="150">
        <v>26</v>
      </c>
      <c r="D38" s="150">
        <v>3</v>
      </c>
      <c r="E38" s="150">
        <v>0</v>
      </c>
      <c r="F38" s="150">
        <v>1</v>
      </c>
      <c r="G38" s="150">
        <v>2</v>
      </c>
      <c r="H38" s="150">
        <v>0</v>
      </c>
      <c r="I38" s="150">
        <v>0</v>
      </c>
      <c r="J38" s="150">
        <v>0</v>
      </c>
    </row>
    <row r="39" spans="1:12" ht="12.75" customHeight="1">
      <c r="A39" s="12">
        <v>87</v>
      </c>
      <c r="B39" s="124" t="s">
        <v>39</v>
      </c>
      <c r="C39" s="150">
        <v>15</v>
      </c>
      <c r="D39" s="150">
        <v>1</v>
      </c>
      <c r="E39" s="150">
        <v>5</v>
      </c>
      <c r="F39" s="150">
        <v>0</v>
      </c>
      <c r="G39" s="150">
        <v>0</v>
      </c>
      <c r="H39" s="150">
        <v>0</v>
      </c>
      <c r="I39" s="150">
        <v>0</v>
      </c>
      <c r="J39" s="150">
        <v>0</v>
      </c>
    </row>
    <row r="40" spans="1:12" ht="12.75" customHeight="1">
      <c r="A40" s="12">
        <v>90</v>
      </c>
      <c r="B40" s="124" t="s">
        <v>40</v>
      </c>
      <c r="C40" s="150">
        <v>32</v>
      </c>
      <c r="D40" s="150">
        <v>7</v>
      </c>
      <c r="E40" s="150">
        <v>9</v>
      </c>
      <c r="F40" s="150">
        <v>0</v>
      </c>
      <c r="G40" s="150">
        <v>0</v>
      </c>
      <c r="H40" s="150">
        <v>0</v>
      </c>
      <c r="I40" s="150">
        <v>0</v>
      </c>
      <c r="J40" s="150">
        <v>0</v>
      </c>
    </row>
    <row r="41" spans="1:12" ht="12.75" customHeight="1">
      <c r="A41" s="12">
        <v>91</v>
      </c>
      <c r="B41" s="124" t="s">
        <v>41</v>
      </c>
      <c r="C41" s="150">
        <v>26</v>
      </c>
      <c r="D41" s="150">
        <v>0</v>
      </c>
      <c r="E41" s="150">
        <v>2</v>
      </c>
      <c r="F41" s="150">
        <v>0</v>
      </c>
      <c r="G41" s="150">
        <v>1</v>
      </c>
      <c r="H41" s="150">
        <v>0</v>
      </c>
      <c r="I41" s="150">
        <v>0</v>
      </c>
      <c r="J41" s="150">
        <v>0</v>
      </c>
      <c r="K41" s="129"/>
    </row>
    <row r="42" spans="1:12" ht="12.75" customHeight="1">
      <c r="A42" s="12">
        <v>92</v>
      </c>
      <c r="B42" s="124" t="s">
        <v>42</v>
      </c>
      <c r="C42" s="150">
        <v>16</v>
      </c>
      <c r="D42" s="150">
        <v>15</v>
      </c>
      <c r="E42" s="150">
        <v>3</v>
      </c>
      <c r="F42" s="150">
        <v>2</v>
      </c>
      <c r="G42" s="150">
        <v>1</v>
      </c>
      <c r="H42" s="150">
        <v>0</v>
      </c>
      <c r="I42" s="150">
        <v>0</v>
      </c>
      <c r="J42" s="150">
        <v>0</v>
      </c>
    </row>
    <row r="43" spans="1:12" ht="12.75" customHeight="1">
      <c r="A43" s="12">
        <v>94</v>
      </c>
      <c r="B43" s="124" t="s">
        <v>43</v>
      </c>
      <c r="C43" s="150">
        <v>8</v>
      </c>
      <c r="D43" s="150">
        <v>3</v>
      </c>
      <c r="E43" s="150">
        <v>1</v>
      </c>
      <c r="F43" s="150">
        <v>1</v>
      </c>
      <c r="G43" s="150">
        <v>0</v>
      </c>
      <c r="H43" s="150">
        <v>0</v>
      </c>
      <c r="I43" s="150">
        <v>0</v>
      </c>
      <c r="J43" s="150">
        <v>0</v>
      </c>
    </row>
    <row r="44" spans="1:12" ht="12.75" customHeight="1">
      <c r="A44" s="12">
        <v>96</v>
      </c>
      <c r="B44" s="124" t="s">
        <v>44</v>
      </c>
      <c r="C44" s="150">
        <v>16</v>
      </c>
      <c r="D44" s="150">
        <v>4</v>
      </c>
      <c r="E44" s="150">
        <v>4</v>
      </c>
      <c r="F44" s="150">
        <v>0</v>
      </c>
      <c r="G44" s="150">
        <v>0</v>
      </c>
      <c r="H44" s="150">
        <v>0</v>
      </c>
      <c r="I44" s="150">
        <v>0</v>
      </c>
      <c r="J44" s="150">
        <v>0</v>
      </c>
      <c r="L44" s="129"/>
    </row>
    <row r="45" spans="1:12" ht="12.75" customHeight="1">
      <c r="A45" s="12">
        <v>98</v>
      </c>
      <c r="B45" s="124" t="s">
        <v>45</v>
      </c>
      <c r="C45" s="150">
        <v>8</v>
      </c>
      <c r="D45" s="150">
        <v>3</v>
      </c>
      <c r="E45" s="150">
        <v>2</v>
      </c>
      <c r="F45" s="150">
        <v>2</v>
      </c>
      <c r="G45" s="150">
        <v>0</v>
      </c>
      <c r="H45" s="150">
        <v>0</v>
      </c>
      <c r="I45" s="150">
        <v>0</v>
      </c>
      <c r="J45" s="150">
        <v>0</v>
      </c>
      <c r="L45" s="154"/>
    </row>
    <row r="46" spans="1:12" ht="12.75" customHeight="1">
      <c r="A46" s="12">
        <v>72</v>
      </c>
      <c r="B46" s="152" t="s">
        <v>46</v>
      </c>
      <c r="C46" s="149">
        <v>0</v>
      </c>
      <c r="D46" s="149">
        <v>0</v>
      </c>
      <c r="E46" s="149">
        <v>0</v>
      </c>
      <c r="F46" s="149">
        <v>0</v>
      </c>
      <c r="G46" s="149">
        <v>0</v>
      </c>
      <c r="H46" s="150">
        <v>0</v>
      </c>
      <c r="I46" s="150">
        <v>0</v>
      </c>
      <c r="J46" s="150">
        <v>0</v>
      </c>
    </row>
    <row r="47" spans="1:12" s="129" customFormat="1" ht="25.5" customHeight="1">
      <c r="B47" s="129" t="s">
        <v>47</v>
      </c>
      <c r="C47" s="155">
        <v>361</v>
      </c>
      <c r="D47" s="155">
        <v>78</v>
      </c>
      <c r="E47" s="155">
        <v>66</v>
      </c>
      <c r="F47" s="155">
        <v>20</v>
      </c>
      <c r="G47" s="155">
        <v>5</v>
      </c>
      <c r="H47" s="155">
        <v>2</v>
      </c>
      <c r="I47" s="155">
        <v>0</v>
      </c>
      <c r="J47" s="155">
        <v>0</v>
      </c>
    </row>
    <row r="48" spans="1:12" ht="12.75" customHeight="1">
      <c r="A48" s="12">
        <v>66</v>
      </c>
      <c r="B48" s="124" t="s">
        <v>48</v>
      </c>
      <c r="C48" s="149">
        <v>46</v>
      </c>
      <c r="D48" s="149">
        <v>7</v>
      </c>
      <c r="E48" s="149">
        <v>8</v>
      </c>
      <c r="F48" s="149">
        <v>2</v>
      </c>
      <c r="G48" s="149">
        <v>0</v>
      </c>
      <c r="H48" s="150">
        <v>0</v>
      </c>
      <c r="I48" s="150">
        <v>0</v>
      </c>
      <c r="J48" s="150">
        <v>0</v>
      </c>
    </row>
    <row r="49" spans="1:12" ht="12.75" customHeight="1">
      <c r="A49" s="12">
        <v>78</v>
      </c>
      <c r="B49" s="124" t="s">
        <v>49</v>
      </c>
      <c r="C49" s="149">
        <v>23</v>
      </c>
      <c r="D49" s="149">
        <v>2</v>
      </c>
      <c r="E49" s="149">
        <v>2</v>
      </c>
      <c r="F49" s="149">
        <v>0</v>
      </c>
      <c r="G49" s="149">
        <v>0</v>
      </c>
      <c r="H49" s="150">
        <v>0</v>
      </c>
      <c r="I49" s="150">
        <v>0</v>
      </c>
      <c r="J49" s="150">
        <v>0</v>
      </c>
    </row>
    <row r="50" spans="1:12" ht="12.75" customHeight="1">
      <c r="A50" s="12">
        <v>89</v>
      </c>
      <c r="B50" s="124" t="s">
        <v>50</v>
      </c>
      <c r="C50" s="149">
        <v>26</v>
      </c>
      <c r="D50" s="149">
        <v>4</v>
      </c>
      <c r="E50" s="149">
        <v>2</v>
      </c>
      <c r="F50" s="149">
        <v>1</v>
      </c>
      <c r="G50" s="149">
        <v>0</v>
      </c>
      <c r="H50" s="150">
        <v>0</v>
      </c>
      <c r="I50" s="150">
        <v>0</v>
      </c>
      <c r="J50" s="150">
        <v>0</v>
      </c>
    </row>
    <row r="51" spans="1:12" ht="12.75" customHeight="1">
      <c r="A51" s="12">
        <v>93</v>
      </c>
      <c r="B51" s="124" t="s">
        <v>51</v>
      </c>
      <c r="C51" s="149">
        <v>9</v>
      </c>
      <c r="D51" s="149">
        <v>5</v>
      </c>
      <c r="E51" s="149">
        <v>2</v>
      </c>
      <c r="F51" s="149">
        <v>4</v>
      </c>
      <c r="G51" s="149">
        <v>0</v>
      </c>
      <c r="H51" s="150">
        <v>0</v>
      </c>
      <c r="I51" s="150">
        <v>0</v>
      </c>
      <c r="J51" s="150">
        <v>0</v>
      </c>
    </row>
    <row r="52" spans="1:12" ht="12.75" customHeight="1">
      <c r="A52" s="12">
        <v>95</v>
      </c>
      <c r="B52" s="124" t="s">
        <v>52</v>
      </c>
      <c r="C52" s="149">
        <v>48</v>
      </c>
      <c r="D52" s="149">
        <v>4</v>
      </c>
      <c r="E52" s="149">
        <v>4</v>
      </c>
      <c r="F52" s="149">
        <v>0</v>
      </c>
      <c r="G52" s="149">
        <v>3</v>
      </c>
      <c r="H52" s="150">
        <v>0</v>
      </c>
      <c r="I52" s="150">
        <v>0</v>
      </c>
      <c r="J52" s="150">
        <v>0</v>
      </c>
    </row>
    <row r="53" spans="1:12" ht="12.75" customHeight="1">
      <c r="A53" s="12">
        <v>97</v>
      </c>
      <c r="B53" s="124" t="s">
        <v>53</v>
      </c>
      <c r="C53" s="149">
        <v>65</v>
      </c>
      <c r="D53" s="149">
        <v>3</v>
      </c>
      <c r="E53" s="149">
        <v>4</v>
      </c>
      <c r="F53" s="149">
        <v>0</v>
      </c>
      <c r="G53" s="149">
        <v>0</v>
      </c>
      <c r="H53" s="150">
        <v>0</v>
      </c>
      <c r="I53" s="150">
        <v>0</v>
      </c>
      <c r="J53" s="150">
        <v>0</v>
      </c>
    </row>
    <row r="54" spans="1:12" ht="12.75" customHeight="1">
      <c r="A54" s="12">
        <v>77</v>
      </c>
      <c r="B54" s="156" t="s">
        <v>54</v>
      </c>
      <c r="C54" s="157">
        <v>144</v>
      </c>
      <c r="D54" s="157">
        <v>53</v>
      </c>
      <c r="E54" s="157">
        <v>44</v>
      </c>
      <c r="F54" s="157">
        <v>13</v>
      </c>
      <c r="G54" s="157">
        <v>2</v>
      </c>
      <c r="H54" s="158">
        <v>2</v>
      </c>
      <c r="I54" s="158">
        <v>0</v>
      </c>
      <c r="J54" s="158">
        <v>0</v>
      </c>
    </row>
    <row r="55" spans="1:12" s="154" customFormat="1" ht="13.5" customHeight="1">
      <c r="A55" s="1"/>
      <c r="C55" s="159"/>
      <c r="D55" s="160"/>
      <c r="E55" s="159"/>
      <c r="F55" s="159"/>
      <c r="G55" s="159"/>
      <c r="H55" s="159"/>
      <c r="I55" s="159"/>
      <c r="J55" s="159"/>
      <c r="K55" s="124"/>
      <c r="L55" s="124"/>
    </row>
    <row r="56" spans="1:12" ht="18.75" customHeight="1">
      <c r="B56" s="12" t="s">
        <v>55</v>
      </c>
    </row>
    <row r="57" spans="1:12">
      <c r="B57" s="201" t="s">
        <v>56</v>
      </c>
      <c r="C57" s="201"/>
      <c r="D57" s="201"/>
      <c r="E57" s="201"/>
      <c r="F57" s="201"/>
      <c r="G57" s="201"/>
      <c r="H57" s="201"/>
      <c r="I57" s="201"/>
      <c r="J57" s="201"/>
    </row>
    <row r="58" spans="1:12" ht="12.75" customHeight="1">
      <c r="B58" s="201"/>
      <c r="C58" s="201"/>
      <c r="D58" s="201"/>
      <c r="E58" s="201"/>
      <c r="F58" s="201"/>
      <c r="G58" s="201"/>
      <c r="H58" s="201"/>
      <c r="I58" s="201"/>
      <c r="J58" s="201"/>
    </row>
    <row r="59" spans="1:12" ht="18.75" customHeight="1">
      <c r="B59" s="201"/>
      <c r="C59" s="201"/>
      <c r="D59" s="201"/>
      <c r="E59" s="201"/>
      <c r="F59" s="201"/>
      <c r="G59" s="201"/>
      <c r="H59" s="201"/>
      <c r="I59" s="201"/>
      <c r="J59" s="201"/>
    </row>
    <row r="60" spans="1:12" ht="18.75" customHeight="1">
      <c r="B60" s="201"/>
      <c r="C60" s="201"/>
      <c r="D60" s="201"/>
      <c r="E60" s="201"/>
      <c r="F60" s="201"/>
      <c r="G60" s="201"/>
      <c r="H60" s="201"/>
      <c r="I60" s="201"/>
      <c r="J60" s="201"/>
    </row>
    <row r="61" spans="1:12" ht="18.75" customHeight="1">
      <c r="B61" s="201"/>
      <c r="C61" s="201"/>
      <c r="D61" s="201"/>
      <c r="E61" s="201"/>
      <c r="F61" s="201"/>
      <c r="G61" s="201"/>
      <c r="H61" s="201"/>
      <c r="I61" s="201"/>
      <c r="J61" s="201"/>
    </row>
    <row r="62" spans="1:12" ht="17.25" customHeight="1">
      <c r="B62" s="201"/>
      <c r="C62" s="201"/>
      <c r="D62" s="201"/>
      <c r="E62" s="201"/>
      <c r="F62" s="201"/>
      <c r="G62" s="201"/>
      <c r="H62" s="201"/>
      <c r="I62" s="201"/>
      <c r="J62" s="201"/>
    </row>
    <row r="63" spans="1:12" ht="15.75" customHeight="1">
      <c r="B63" s="12" t="s">
        <v>61</v>
      </c>
    </row>
    <row r="64" spans="1:12" ht="9.75" customHeight="1">
      <c r="B64" s="201"/>
      <c r="C64" s="201"/>
      <c r="D64" s="201"/>
      <c r="E64" s="57"/>
      <c r="F64" s="57"/>
      <c r="G64" s="57"/>
      <c r="H64" s="57"/>
      <c r="I64" s="57"/>
      <c r="J64" s="57"/>
    </row>
    <row r="65" spans="2:2" ht="18.75" customHeight="1">
      <c r="B65" s="140" t="s">
        <v>62</v>
      </c>
    </row>
    <row r="66" spans="2:2">
      <c r="B66" s="142"/>
    </row>
    <row r="68" spans="2:2">
      <c r="B68" s="143"/>
    </row>
  </sheetData>
  <mergeCells count="7">
    <mergeCell ref="B64:D64"/>
    <mergeCell ref="B1:J1"/>
    <mergeCell ref="B2:B4"/>
    <mergeCell ref="C2:D3"/>
    <mergeCell ref="E2:H2"/>
    <mergeCell ref="I2:J3"/>
    <mergeCell ref="B57:J6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K65"/>
  <sheetViews>
    <sheetView showGridLines="0" zoomScale="85" workbookViewId="0">
      <pane xSplit="2" ySplit="3" topLeftCell="C4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RowHeight="12.75"/>
  <cols>
    <col min="1" max="1" width="3.140625" style="1" hidden="1" customWidth="1"/>
    <col min="2" max="2" width="24.7109375" style="124" customWidth="1"/>
    <col min="3" max="3" width="18" style="124" customWidth="1"/>
    <col min="4" max="4" width="18.42578125" style="124" customWidth="1"/>
    <col min="5" max="5" width="13.85546875" style="124" customWidth="1"/>
    <col min="6" max="6" width="14" style="124" customWidth="1"/>
    <col min="7" max="255" width="9.140625" style="124"/>
    <col min="256" max="256" width="0" style="124" hidden="1" customWidth="1"/>
    <col min="257" max="257" width="3.140625" style="124" customWidth="1"/>
    <col min="258" max="258" width="24.7109375" style="124" customWidth="1"/>
    <col min="259" max="259" width="18" style="124" customWidth="1"/>
    <col min="260" max="260" width="18.42578125" style="124" customWidth="1"/>
    <col min="261" max="261" width="13.85546875" style="124" customWidth="1"/>
    <col min="262" max="262" width="14" style="124" customWidth="1"/>
    <col min="263" max="511" width="9.140625" style="124"/>
    <col min="512" max="512" width="0" style="124" hidden="1" customWidth="1"/>
    <col min="513" max="513" width="3.140625" style="124" customWidth="1"/>
    <col min="514" max="514" width="24.7109375" style="124" customWidth="1"/>
    <col min="515" max="515" width="18" style="124" customWidth="1"/>
    <col min="516" max="516" width="18.42578125" style="124" customWidth="1"/>
    <col min="517" max="517" width="13.85546875" style="124" customWidth="1"/>
    <col min="518" max="518" width="14" style="124" customWidth="1"/>
    <col min="519" max="767" width="9.140625" style="124"/>
    <col min="768" max="768" width="0" style="124" hidden="1" customWidth="1"/>
    <col min="769" max="769" width="3.140625" style="124" customWidth="1"/>
    <col min="770" max="770" width="24.7109375" style="124" customWidth="1"/>
    <col min="771" max="771" width="18" style="124" customWidth="1"/>
    <col min="772" max="772" width="18.42578125" style="124" customWidth="1"/>
    <col min="773" max="773" width="13.85546875" style="124" customWidth="1"/>
    <col min="774" max="774" width="14" style="124" customWidth="1"/>
    <col min="775" max="1023" width="9.140625" style="124"/>
    <col min="1024" max="1024" width="0" style="124" hidden="1" customWidth="1"/>
    <col min="1025" max="1025" width="3.140625" style="124" customWidth="1"/>
    <col min="1026" max="1026" width="24.7109375" style="124" customWidth="1"/>
    <col min="1027" max="1027" width="18" style="124" customWidth="1"/>
    <col min="1028" max="1028" width="18.42578125" style="124" customWidth="1"/>
    <col min="1029" max="1029" width="13.85546875" style="124" customWidth="1"/>
    <col min="1030" max="1030" width="14" style="124" customWidth="1"/>
    <col min="1031" max="1279" width="9.140625" style="124"/>
    <col min="1280" max="1280" width="0" style="124" hidden="1" customWidth="1"/>
    <col min="1281" max="1281" width="3.140625" style="124" customWidth="1"/>
    <col min="1282" max="1282" width="24.7109375" style="124" customWidth="1"/>
    <col min="1283" max="1283" width="18" style="124" customWidth="1"/>
    <col min="1284" max="1284" width="18.42578125" style="124" customWidth="1"/>
    <col min="1285" max="1285" width="13.85546875" style="124" customWidth="1"/>
    <col min="1286" max="1286" width="14" style="124" customWidth="1"/>
    <col min="1287" max="1535" width="9.140625" style="124"/>
    <col min="1536" max="1536" width="0" style="124" hidden="1" customWidth="1"/>
    <col min="1537" max="1537" width="3.140625" style="124" customWidth="1"/>
    <col min="1538" max="1538" width="24.7109375" style="124" customWidth="1"/>
    <col min="1539" max="1539" width="18" style="124" customWidth="1"/>
    <col min="1540" max="1540" width="18.42578125" style="124" customWidth="1"/>
    <col min="1541" max="1541" width="13.85546875" style="124" customWidth="1"/>
    <col min="1542" max="1542" width="14" style="124" customWidth="1"/>
    <col min="1543" max="1791" width="9.140625" style="124"/>
    <col min="1792" max="1792" width="0" style="124" hidden="1" customWidth="1"/>
    <col min="1793" max="1793" width="3.140625" style="124" customWidth="1"/>
    <col min="1794" max="1794" width="24.7109375" style="124" customWidth="1"/>
    <col min="1795" max="1795" width="18" style="124" customWidth="1"/>
    <col min="1796" max="1796" width="18.42578125" style="124" customWidth="1"/>
    <col min="1797" max="1797" width="13.85546875" style="124" customWidth="1"/>
    <col min="1798" max="1798" width="14" style="124" customWidth="1"/>
    <col min="1799" max="2047" width="9.140625" style="124"/>
    <col min="2048" max="2048" width="0" style="124" hidden="1" customWidth="1"/>
    <col min="2049" max="2049" width="3.140625" style="124" customWidth="1"/>
    <col min="2050" max="2050" width="24.7109375" style="124" customWidth="1"/>
    <col min="2051" max="2051" width="18" style="124" customWidth="1"/>
    <col min="2052" max="2052" width="18.42578125" style="124" customWidth="1"/>
    <col min="2053" max="2053" width="13.85546875" style="124" customWidth="1"/>
    <col min="2054" max="2054" width="14" style="124" customWidth="1"/>
    <col min="2055" max="2303" width="9.140625" style="124"/>
    <col min="2304" max="2304" width="0" style="124" hidden="1" customWidth="1"/>
    <col min="2305" max="2305" width="3.140625" style="124" customWidth="1"/>
    <col min="2306" max="2306" width="24.7109375" style="124" customWidth="1"/>
    <col min="2307" max="2307" width="18" style="124" customWidth="1"/>
    <col min="2308" max="2308" width="18.42578125" style="124" customWidth="1"/>
    <col min="2309" max="2309" width="13.85546875" style="124" customWidth="1"/>
    <col min="2310" max="2310" width="14" style="124" customWidth="1"/>
    <col min="2311" max="2559" width="9.140625" style="124"/>
    <col min="2560" max="2560" width="0" style="124" hidden="1" customWidth="1"/>
    <col min="2561" max="2561" width="3.140625" style="124" customWidth="1"/>
    <col min="2562" max="2562" width="24.7109375" style="124" customWidth="1"/>
    <col min="2563" max="2563" width="18" style="124" customWidth="1"/>
    <col min="2564" max="2564" width="18.42578125" style="124" customWidth="1"/>
    <col min="2565" max="2565" width="13.85546875" style="124" customWidth="1"/>
    <col min="2566" max="2566" width="14" style="124" customWidth="1"/>
    <col min="2567" max="2815" width="9.140625" style="124"/>
    <col min="2816" max="2816" width="0" style="124" hidden="1" customWidth="1"/>
    <col min="2817" max="2817" width="3.140625" style="124" customWidth="1"/>
    <col min="2818" max="2818" width="24.7109375" style="124" customWidth="1"/>
    <col min="2819" max="2819" width="18" style="124" customWidth="1"/>
    <col min="2820" max="2820" width="18.42578125" style="124" customWidth="1"/>
    <col min="2821" max="2821" width="13.85546875" style="124" customWidth="1"/>
    <col min="2822" max="2822" width="14" style="124" customWidth="1"/>
    <col min="2823" max="3071" width="9.140625" style="124"/>
    <col min="3072" max="3072" width="0" style="124" hidden="1" customWidth="1"/>
    <col min="3073" max="3073" width="3.140625" style="124" customWidth="1"/>
    <col min="3074" max="3074" width="24.7109375" style="124" customWidth="1"/>
    <col min="3075" max="3075" width="18" style="124" customWidth="1"/>
    <col min="3076" max="3076" width="18.42578125" style="124" customWidth="1"/>
    <col min="3077" max="3077" width="13.85546875" style="124" customWidth="1"/>
    <col min="3078" max="3078" width="14" style="124" customWidth="1"/>
    <col min="3079" max="3327" width="9.140625" style="124"/>
    <col min="3328" max="3328" width="0" style="124" hidden="1" customWidth="1"/>
    <col min="3329" max="3329" width="3.140625" style="124" customWidth="1"/>
    <col min="3330" max="3330" width="24.7109375" style="124" customWidth="1"/>
    <col min="3331" max="3331" width="18" style="124" customWidth="1"/>
    <col min="3332" max="3332" width="18.42578125" style="124" customWidth="1"/>
    <col min="3333" max="3333" width="13.85546875" style="124" customWidth="1"/>
    <col min="3334" max="3334" width="14" style="124" customWidth="1"/>
    <col min="3335" max="3583" width="9.140625" style="124"/>
    <col min="3584" max="3584" width="0" style="124" hidden="1" customWidth="1"/>
    <col min="3585" max="3585" width="3.140625" style="124" customWidth="1"/>
    <col min="3586" max="3586" width="24.7109375" style="124" customWidth="1"/>
    <col min="3587" max="3587" width="18" style="124" customWidth="1"/>
    <col min="3588" max="3588" width="18.42578125" style="124" customWidth="1"/>
    <col min="3589" max="3589" width="13.85546875" style="124" customWidth="1"/>
    <col min="3590" max="3590" width="14" style="124" customWidth="1"/>
    <col min="3591" max="3839" width="9.140625" style="124"/>
    <col min="3840" max="3840" width="0" style="124" hidden="1" customWidth="1"/>
    <col min="3841" max="3841" width="3.140625" style="124" customWidth="1"/>
    <col min="3842" max="3842" width="24.7109375" style="124" customWidth="1"/>
    <col min="3843" max="3843" width="18" style="124" customWidth="1"/>
    <col min="3844" max="3844" width="18.42578125" style="124" customWidth="1"/>
    <col min="3845" max="3845" width="13.85546875" style="124" customWidth="1"/>
    <col min="3846" max="3846" width="14" style="124" customWidth="1"/>
    <col min="3847" max="4095" width="9.140625" style="124"/>
    <col min="4096" max="4096" width="0" style="124" hidden="1" customWidth="1"/>
    <col min="4097" max="4097" width="3.140625" style="124" customWidth="1"/>
    <col min="4098" max="4098" width="24.7109375" style="124" customWidth="1"/>
    <col min="4099" max="4099" width="18" style="124" customWidth="1"/>
    <col min="4100" max="4100" width="18.42578125" style="124" customWidth="1"/>
    <col min="4101" max="4101" width="13.85546875" style="124" customWidth="1"/>
    <col min="4102" max="4102" width="14" style="124" customWidth="1"/>
    <col min="4103" max="4351" width="9.140625" style="124"/>
    <col min="4352" max="4352" width="0" style="124" hidden="1" customWidth="1"/>
    <col min="4353" max="4353" width="3.140625" style="124" customWidth="1"/>
    <col min="4354" max="4354" width="24.7109375" style="124" customWidth="1"/>
    <col min="4355" max="4355" width="18" style="124" customWidth="1"/>
    <col min="4356" max="4356" width="18.42578125" style="124" customWidth="1"/>
    <col min="4357" max="4357" width="13.85546875" style="124" customWidth="1"/>
    <col min="4358" max="4358" width="14" style="124" customWidth="1"/>
    <col min="4359" max="4607" width="9.140625" style="124"/>
    <col min="4608" max="4608" width="0" style="124" hidden="1" customWidth="1"/>
    <col min="4609" max="4609" width="3.140625" style="124" customWidth="1"/>
    <col min="4610" max="4610" width="24.7109375" style="124" customWidth="1"/>
    <col min="4611" max="4611" width="18" style="124" customWidth="1"/>
    <col min="4612" max="4612" width="18.42578125" style="124" customWidth="1"/>
    <col min="4613" max="4613" width="13.85546875" style="124" customWidth="1"/>
    <col min="4614" max="4614" width="14" style="124" customWidth="1"/>
    <col min="4615" max="4863" width="9.140625" style="124"/>
    <col min="4864" max="4864" width="0" style="124" hidden="1" customWidth="1"/>
    <col min="4865" max="4865" width="3.140625" style="124" customWidth="1"/>
    <col min="4866" max="4866" width="24.7109375" style="124" customWidth="1"/>
    <col min="4867" max="4867" width="18" style="124" customWidth="1"/>
    <col min="4868" max="4868" width="18.42578125" style="124" customWidth="1"/>
    <col min="4869" max="4869" width="13.85546875" style="124" customWidth="1"/>
    <col min="4870" max="4870" width="14" style="124" customWidth="1"/>
    <col min="4871" max="5119" width="9.140625" style="124"/>
    <col min="5120" max="5120" width="0" style="124" hidden="1" customWidth="1"/>
    <col min="5121" max="5121" width="3.140625" style="124" customWidth="1"/>
    <col min="5122" max="5122" width="24.7109375" style="124" customWidth="1"/>
    <col min="5123" max="5123" width="18" style="124" customWidth="1"/>
    <col min="5124" max="5124" width="18.42578125" style="124" customWidth="1"/>
    <col min="5125" max="5125" width="13.85546875" style="124" customWidth="1"/>
    <col min="5126" max="5126" width="14" style="124" customWidth="1"/>
    <col min="5127" max="5375" width="9.140625" style="124"/>
    <col min="5376" max="5376" width="0" style="124" hidden="1" customWidth="1"/>
    <col min="5377" max="5377" width="3.140625" style="124" customWidth="1"/>
    <col min="5378" max="5378" width="24.7109375" style="124" customWidth="1"/>
    <col min="5379" max="5379" width="18" style="124" customWidth="1"/>
    <col min="5380" max="5380" width="18.42578125" style="124" customWidth="1"/>
    <col min="5381" max="5381" width="13.85546875" style="124" customWidth="1"/>
    <col min="5382" max="5382" width="14" style="124" customWidth="1"/>
    <col min="5383" max="5631" width="9.140625" style="124"/>
    <col min="5632" max="5632" width="0" style="124" hidden="1" customWidth="1"/>
    <col min="5633" max="5633" width="3.140625" style="124" customWidth="1"/>
    <col min="5634" max="5634" width="24.7109375" style="124" customWidth="1"/>
    <col min="5635" max="5635" width="18" style="124" customWidth="1"/>
    <col min="5636" max="5636" width="18.42578125" style="124" customWidth="1"/>
    <col min="5637" max="5637" width="13.85546875" style="124" customWidth="1"/>
    <col min="5638" max="5638" width="14" style="124" customWidth="1"/>
    <col min="5639" max="5887" width="9.140625" style="124"/>
    <col min="5888" max="5888" width="0" style="124" hidden="1" customWidth="1"/>
    <col min="5889" max="5889" width="3.140625" style="124" customWidth="1"/>
    <col min="5890" max="5890" width="24.7109375" style="124" customWidth="1"/>
    <col min="5891" max="5891" width="18" style="124" customWidth="1"/>
    <col min="5892" max="5892" width="18.42578125" style="124" customWidth="1"/>
    <col min="5893" max="5893" width="13.85546875" style="124" customWidth="1"/>
    <col min="5894" max="5894" width="14" style="124" customWidth="1"/>
    <col min="5895" max="6143" width="9.140625" style="124"/>
    <col min="6144" max="6144" width="0" style="124" hidden="1" customWidth="1"/>
    <col min="6145" max="6145" width="3.140625" style="124" customWidth="1"/>
    <col min="6146" max="6146" width="24.7109375" style="124" customWidth="1"/>
    <col min="6147" max="6147" width="18" style="124" customWidth="1"/>
    <col min="6148" max="6148" width="18.42578125" style="124" customWidth="1"/>
    <col min="6149" max="6149" width="13.85546875" style="124" customWidth="1"/>
    <col min="6150" max="6150" width="14" style="124" customWidth="1"/>
    <col min="6151" max="6399" width="9.140625" style="124"/>
    <col min="6400" max="6400" width="0" style="124" hidden="1" customWidth="1"/>
    <col min="6401" max="6401" width="3.140625" style="124" customWidth="1"/>
    <col min="6402" max="6402" width="24.7109375" style="124" customWidth="1"/>
    <col min="6403" max="6403" width="18" style="124" customWidth="1"/>
    <col min="6404" max="6404" width="18.42578125" style="124" customWidth="1"/>
    <col min="6405" max="6405" width="13.85546875" style="124" customWidth="1"/>
    <col min="6406" max="6406" width="14" style="124" customWidth="1"/>
    <col min="6407" max="6655" width="9.140625" style="124"/>
    <col min="6656" max="6656" width="0" style="124" hidden="1" customWidth="1"/>
    <col min="6657" max="6657" width="3.140625" style="124" customWidth="1"/>
    <col min="6658" max="6658" width="24.7109375" style="124" customWidth="1"/>
    <col min="6659" max="6659" width="18" style="124" customWidth="1"/>
    <col min="6660" max="6660" width="18.42578125" style="124" customWidth="1"/>
    <col min="6661" max="6661" width="13.85546875" style="124" customWidth="1"/>
    <col min="6662" max="6662" width="14" style="124" customWidth="1"/>
    <col min="6663" max="6911" width="9.140625" style="124"/>
    <col min="6912" max="6912" width="0" style="124" hidden="1" customWidth="1"/>
    <col min="6913" max="6913" width="3.140625" style="124" customWidth="1"/>
    <col min="6914" max="6914" width="24.7109375" style="124" customWidth="1"/>
    <col min="6915" max="6915" width="18" style="124" customWidth="1"/>
    <col min="6916" max="6916" width="18.42578125" style="124" customWidth="1"/>
    <col min="6917" max="6917" width="13.85546875" style="124" customWidth="1"/>
    <col min="6918" max="6918" width="14" style="124" customWidth="1"/>
    <col min="6919" max="7167" width="9.140625" style="124"/>
    <col min="7168" max="7168" width="0" style="124" hidden="1" customWidth="1"/>
    <col min="7169" max="7169" width="3.140625" style="124" customWidth="1"/>
    <col min="7170" max="7170" width="24.7109375" style="124" customWidth="1"/>
    <col min="7171" max="7171" width="18" style="124" customWidth="1"/>
    <col min="7172" max="7172" width="18.42578125" style="124" customWidth="1"/>
    <col min="7173" max="7173" width="13.85546875" style="124" customWidth="1"/>
    <col min="7174" max="7174" width="14" style="124" customWidth="1"/>
    <col min="7175" max="7423" width="9.140625" style="124"/>
    <col min="7424" max="7424" width="0" style="124" hidden="1" customWidth="1"/>
    <col min="7425" max="7425" width="3.140625" style="124" customWidth="1"/>
    <col min="7426" max="7426" width="24.7109375" style="124" customWidth="1"/>
    <col min="7427" max="7427" width="18" style="124" customWidth="1"/>
    <col min="7428" max="7428" width="18.42578125" style="124" customWidth="1"/>
    <col min="7429" max="7429" width="13.85546875" style="124" customWidth="1"/>
    <col min="7430" max="7430" width="14" style="124" customWidth="1"/>
    <col min="7431" max="7679" width="9.140625" style="124"/>
    <col min="7680" max="7680" width="0" style="124" hidden="1" customWidth="1"/>
    <col min="7681" max="7681" width="3.140625" style="124" customWidth="1"/>
    <col min="7682" max="7682" width="24.7109375" style="124" customWidth="1"/>
    <col min="7683" max="7683" width="18" style="124" customWidth="1"/>
    <col min="7684" max="7684" width="18.42578125" style="124" customWidth="1"/>
    <col min="7685" max="7685" width="13.85546875" style="124" customWidth="1"/>
    <col min="7686" max="7686" width="14" style="124" customWidth="1"/>
    <col min="7687" max="7935" width="9.140625" style="124"/>
    <col min="7936" max="7936" width="0" style="124" hidden="1" customWidth="1"/>
    <col min="7937" max="7937" width="3.140625" style="124" customWidth="1"/>
    <col min="7938" max="7938" width="24.7109375" style="124" customWidth="1"/>
    <col min="7939" max="7939" width="18" style="124" customWidth="1"/>
    <col min="7940" max="7940" width="18.42578125" style="124" customWidth="1"/>
    <col min="7941" max="7941" width="13.85546875" style="124" customWidth="1"/>
    <col min="7942" max="7942" width="14" style="124" customWidth="1"/>
    <col min="7943" max="8191" width="9.140625" style="124"/>
    <col min="8192" max="8192" width="0" style="124" hidden="1" customWidth="1"/>
    <col min="8193" max="8193" width="3.140625" style="124" customWidth="1"/>
    <col min="8194" max="8194" width="24.7109375" style="124" customWidth="1"/>
    <col min="8195" max="8195" width="18" style="124" customWidth="1"/>
    <col min="8196" max="8196" width="18.42578125" style="124" customWidth="1"/>
    <col min="8197" max="8197" width="13.85546875" style="124" customWidth="1"/>
    <col min="8198" max="8198" width="14" style="124" customWidth="1"/>
    <col min="8199" max="8447" width="9.140625" style="124"/>
    <col min="8448" max="8448" width="0" style="124" hidden="1" customWidth="1"/>
    <col min="8449" max="8449" width="3.140625" style="124" customWidth="1"/>
    <col min="8450" max="8450" width="24.7109375" style="124" customWidth="1"/>
    <col min="8451" max="8451" width="18" style="124" customWidth="1"/>
    <col min="8452" max="8452" width="18.42578125" style="124" customWidth="1"/>
    <col min="8453" max="8453" width="13.85546875" style="124" customWidth="1"/>
    <col min="8454" max="8454" width="14" style="124" customWidth="1"/>
    <col min="8455" max="8703" width="9.140625" style="124"/>
    <col min="8704" max="8704" width="0" style="124" hidden="1" customWidth="1"/>
    <col min="8705" max="8705" width="3.140625" style="124" customWidth="1"/>
    <col min="8706" max="8706" width="24.7109375" style="124" customWidth="1"/>
    <col min="8707" max="8707" width="18" style="124" customWidth="1"/>
    <col min="8708" max="8708" width="18.42578125" style="124" customWidth="1"/>
    <col min="8709" max="8709" width="13.85546875" style="124" customWidth="1"/>
    <col min="8710" max="8710" width="14" style="124" customWidth="1"/>
    <col min="8711" max="8959" width="9.140625" style="124"/>
    <col min="8960" max="8960" width="0" style="124" hidden="1" customWidth="1"/>
    <col min="8961" max="8961" width="3.140625" style="124" customWidth="1"/>
    <col min="8962" max="8962" width="24.7109375" style="124" customWidth="1"/>
    <col min="8963" max="8963" width="18" style="124" customWidth="1"/>
    <col min="8964" max="8964" width="18.42578125" style="124" customWidth="1"/>
    <col min="8965" max="8965" width="13.85546875" style="124" customWidth="1"/>
    <col min="8966" max="8966" width="14" style="124" customWidth="1"/>
    <col min="8967" max="9215" width="9.140625" style="124"/>
    <col min="9216" max="9216" width="0" style="124" hidden="1" customWidth="1"/>
    <col min="9217" max="9217" width="3.140625" style="124" customWidth="1"/>
    <col min="9218" max="9218" width="24.7109375" style="124" customWidth="1"/>
    <col min="9219" max="9219" width="18" style="124" customWidth="1"/>
    <col min="9220" max="9220" width="18.42578125" style="124" customWidth="1"/>
    <col min="9221" max="9221" width="13.85546875" style="124" customWidth="1"/>
    <col min="9222" max="9222" width="14" style="124" customWidth="1"/>
    <col min="9223" max="9471" width="9.140625" style="124"/>
    <col min="9472" max="9472" width="0" style="124" hidden="1" customWidth="1"/>
    <col min="9473" max="9473" width="3.140625" style="124" customWidth="1"/>
    <col min="9474" max="9474" width="24.7109375" style="124" customWidth="1"/>
    <col min="9475" max="9475" width="18" style="124" customWidth="1"/>
    <col min="9476" max="9476" width="18.42578125" style="124" customWidth="1"/>
    <col min="9477" max="9477" width="13.85546875" style="124" customWidth="1"/>
    <col min="9478" max="9478" width="14" style="124" customWidth="1"/>
    <col min="9479" max="9727" width="9.140625" style="124"/>
    <col min="9728" max="9728" width="0" style="124" hidden="1" customWidth="1"/>
    <col min="9729" max="9729" width="3.140625" style="124" customWidth="1"/>
    <col min="9730" max="9730" width="24.7109375" style="124" customWidth="1"/>
    <col min="9731" max="9731" width="18" style="124" customWidth="1"/>
    <col min="9732" max="9732" width="18.42578125" style="124" customWidth="1"/>
    <col min="9733" max="9733" width="13.85546875" style="124" customWidth="1"/>
    <col min="9734" max="9734" width="14" style="124" customWidth="1"/>
    <col min="9735" max="9983" width="9.140625" style="124"/>
    <col min="9984" max="9984" width="0" style="124" hidden="1" customWidth="1"/>
    <col min="9985" max="9985" width="3.140625" style="124" customWidth="1"/>
    <col min="9986" max="9986" width="24.7109375" style="124" customWidth="1"/>
    <col min="9987" max="9987" width="18" style="124" customWidth="1"/>
    <col min="9988" max="9988" width="18.42578125" style="124" customWidth="1"/>
    <col min="9989" max="9989" width="13.85546875" style="124" customWidth="1"/>
    <col min="9990" max="9990" width="14" style="124" customWidth="1"/>
    <col min="9991" max="10239" width="9.140625" style="124"/>
    <col min="10240" max="10240" width="0" style="124" hidden="1" customWidth="1"/>
    <col min="10241" max="10241" width="3.140625" style="124" customWidth="1"/>
    <col min="10242" max="10242" width="24.7109375" style="124" customWidth="1"/>
    <col min="10243" max="10243" width="18" style="124" customWidth="1"/>
    <col min="10244" max="10244" width="18.42578125" style="124" customWidth="1"/>
    <col min="10245" max="10245" width="13.85546875" style="124" customWidth="1"/>
    <col min="10246" max="10246" width="14" style="124" customWidth="1"/>
    <col min="10247" max="10495" width="9.140625" style="124"/>
    <col min="10496" max="10496" width="0" style="124" hidden="1" customWidth="1"/>
    <col min="10497" max="10497" width="3.140625" style="124" customWidth="1"/>
    <col min="10498" max="10498" width="24.7109375" style="124" customWidth="1"/>
    <col min="10499" max="10499" width="18" style="124" customWidth="1"/>
    <col min="10500" max="10500" width="18.42578125" style="124" customWidth="1"/>
    <col min="10501" max="10501" width="13.85546875" style="124" customWidth="1"/>
    <col min="10502" max="10502" width="14" style="124" customWidth="1"/>
    <col min="10503" max="10751" width="9.140625" style="124"/>
    <col min="10752" max="10752" width="0" style="124" hidden="1" customWidth="1"/>
    <col min="10753" max="10753" width="3.140625" style="124" customWidth="1"/>
    <col min="10754" max="10754" width="24.7109375" style="124" customWidth="1"/>
    <col min="10755" max="10755" width="18" style="124" customWidth="1"/>
    <col min="10756" max="10756" width="18.42578125" style="124" customWidth="1"/>
    <col min="10757" max="10757" width="13.85546875" style="124" customWidth="1"/>
    <col min="10758" max="10758" width="14" style="124" customWidth="1"/>
    <col min="10759" max="11007" width="9.140625" style="124"/>
    <col min="11008" max="11008" width="0" style="124" hidden="1" customWidth="1"/>
    <col min="11009" max="11009" width="3.140625" style="124" customWidth="1"/>
    <col min="11010" max="11010" width="24.7109375" style="124" customWidth="1"/>
    <col min="11011" max="11011" width="18" style="124" customWidth="1"/>
    <col min="11012" max="11012" width="18.42578125" style="124" customWidth="1"/>
    <col min="11013" max="11013" width="13.85546875" style="124" customWidth="1"/>
    <col min="11014" max="11014" width="14" style="124" customWidth="1"/>
    <col min="11015" max="11263" width="9.140625" style="124"/>
    <col min="11264" max="11264" width="0" style="124" hidden="1" customWidth="1"/>
    <col min="11265" max="11265" width="3.140625" style="124" customWidth="1"/>
    <col min="11266" max="11266" width="24.7109375" style="124" customWidth="1"/>
    <col min="11267" max="11267" width="18" style="124" customWidth="1"/>
    <col min="11268" max="11268" width="18.42578125" style="124" customWidth="1"/>
    <col min="11269" max="11269" width="13.85546875" style="124" customWidth="1"/>
    <col min="11270" max="11270" width="14" style="124" customWidth="1"/>
    <col min="11271" max="11519" width="9.140625" style="124"/>
    <col min="11520" max="11520" width="0" style="124" hidden="1" customWidth="1"/>
    <col min="11521" max="11521" width="3.140625" style="124" customWidth="1"/>
    <col min="11522" max="11522" width="24.7109375" style="124" customWidth="1"/>
    <col min="11523" max="11523" width="18" style="124" customWidth="1"/>
    <col min="11524" max="11524" width="18.42578125" style="124" customWidth="1"/>
    <col min="11525" max="11525" width="13.85546875" style="124" customWidth="1"/>
    <col min="11526" max="11526" width="14" style="124" customWidth="1"/>
    <col min="11527" max="11775" width="9.140625" style="124"/>
    <col min="11776" max="11776" width="0" style="124" hidden="1" customWidth="1"/>
    <col min="11777" max="11777" width="3.140625" style="124" customWidth="1"/>
    <col min="11778" max="11778" width="24.7109375" style="124" customWidth="1"/>
    <col min="11779" max="11779" width="18" style="124" customWidth="1"/>
    <col min="11780" max="11780" width="18.42578125" style="124" customWidth="1"/>
    <col min="11781" max="11781" width="13.85546875" style="124" customWidth="1"/>
    <col min="11782" max="11782" width="14" style="124" customWidth="1"/>
    <col min="11783" max="12031" width="9.140625" style="124"/>
    <col min="12032" max="12032" width="0" style="124" hidden="1" customWidth="1"/>
    <col min="12033" max="12033" width="3.140625" style="124" customWidth="1"/>
    <col min="12034" max="12034" width="24.7109375" style="124" customWidth="1"/>
    <col min="12035" max="12035" width="18" style="124" customWidth="1"/>
    <col min="12036" max="12036" width="18.42578125" style="124" customWidth="1"/>
    <col min="12037" max="12037" width="13.85546875" style="124" customWidth="1"/>
    <col min="12038" max="12038" width="14" style="124" customWidth="1"/>
    <col min="12039" max="12287" width="9.140625" style="124"/>
    <col min="12288" max="12288" width="0" style="124" hidden="1" customWidth="1"/>
    <col min="12289" max="12289" width="3.140625" style="124" customWidth="1"/>
    <col min="12290" max="12290" width="24.7109375" style="124" customWidth="1"/>
    <col min="12291" max="12291" width="18" style="124" customWidth="1"/>
    <col min="12292" max="12292" width="18.42578125" style="124" customWidth="1"/>
    <col min="12293" max="12293" width="13.85546875" style="124" customWidth="1"/>
    <col min="12294" max="12294" width="14" style="124" customWidth="1"/>
    <col min="12295" max="12543" width="9.140625" style="124"/>
    <col min="12544" max="12544" width="0" style="124" hidden="1" customWidth="1"/>
    <col min="12545" max="12545" width="3.140625" style="124" customWidth="1"/>
    <col min="12546" max="12546" width="24.7109375" style="124" customWidth="1"/>
    <col min="12547" max="12547" width="18" style="124" customWidth="1"/>
    <col min="12548" max="12548" width="18.42578125" style="124" customWidth="1"/>
    <col min="12549" max="12549" width="13.85546875" style="124" customWidth="1"/>
    <col min="12550" max="12550" width="14" style="124" customWidth="1"/>
    <col min="12551" max="12799" width="9.140625" style="124"/>
    <col min="12800" max="12800" width="0" style="124" hidden="1" customWidth="1"/>
    <col min="12801" max="12801" width="3.140625" style="124" customWidth="1"/>
    <col min="12802" max="12802" width="24.7109375" style="124" customWidth="1"/>
    <col min="12803" max="12803" width="18" style="124" customWidth="1"/>
    <col min="12804" max="12804" width="18.42578125" style="124" customWidth="1"/>
    <col min="12805" max="12805" width="13.85546875" style="124" customWidth="1"/>
    <col min="12806" max="12806" width="14" style="124" customWidth="1"/>
    <col min="12807" max="13055" width="9.140625" style="124"/>
    <col min="13056" max="13056" width="0" style="124" hidden="1" customWidth="1"/>
    <col min="13057" max="13057" width="3.140625" style="124" customWidth="1"/>
    <col min="13058" max="13058" width="24.7109375" style="124" customWidth="1"/>
    <col min="13059" max="13059" width="18" style="124" customWidth="1"/>
    <col min="13060" max="13060" width="18.42578125" style="124" customWidth="1"/>
    <col min="13061" max="13061" width="13.85546875" style="124" customWidth="1"/>
    <col min="13062" max="13062" width="14" style="124" customWidth="1"/>
    <col min="13063" max="13311" width="9.140625" style="124"/>
    <col min="13312" max="13312" width="0" style="124" hidden="1" customWidth="1"/>
    <col min="13313" max="13313" width="3.140625" style="124" customWidth="1"/>
    <col min="13314" max="13314" width="24.7109375" style="124" customWidth="1"/>
    <col min="13315" max="13315" width="18" style="124" customWidth="1"/>
    <col min="13316" max="13316" width="18.42578125" style="124" customWidth="1"/>
    <col min="13317" max="13317" width="13.85546875" style="124" customWidth="1"/>
    <col min="13318" max="13318" width="14" style="124" customWidth="1"/>
    <col min="13319" max="13567" width="9.140625" style="124"/>
    <col min="13568" max="13568" width="0" style="124" hidden="1" customWidth="1"/>
    <col min="13569" max="13569" width="3.140625" style="124" customWidth="1"/>
    <col min="13570" max="13570" width="24.7109375" style="124" customWidth="1"/>
    <col min="13571" max="13571" width="18" style="124" customWidth="1"/>
    <col min="13572" max="13572" width="18.42578125" style="124" customWidth="1"/>
    <col min="13573" max="13573" width="13.85546875" style="124" customWidth="1"/>
    <col min="13574" max="13574" width="14" style="124" customWidth="1"/>
    <col min="13575" max="13823" width="9.140625" style="124"/>
    <col min="13824" max="13824" width="0" style="124" hidden="1" customWidth="1"/>
    <col min="13825" max="13825" width="3.140625" style="124" customWidth="1"/>
    <col min="13826" max="13826" width="24.7109375" style="124" customWidth="1"/>
    <col min="13827" max="13827" width="18" style="124" customWidth="1"/>
    <col min="13828" max="13828" width="18.42578125" style="124" customWidth="1"/>
    <col min="13829" max="13829" width="13.85546875" style="124" customWidth="1"/>
    <col min="13830" max="13830" width="14" style="124" customWidth="1"/>
    <col min="13831" max="14079" width="9.140625" style="124"/>
    <col min="14080" max="14080" width="0" style="124" hidden="1" customWidth="1"/>
    <col min="14081" max="14081" width="3.140625" style="124" customWidth="1"/>
    <col min="14082" max="14082" width="24.7109375" style="124" customWidth="1"/>
    <col min="14083" max="14083" width="18" style="124" customWidth="1"/>
    <col min="14084" max="14084" width="18.42578125" style="124" customWidth="1"/>
    <col min="14085" max="14085" width="13.85546875" style="124" customWidth="1"/>
    <col min="14086" max="14086" width="14" style="124" customWidth="1"/>
    <col min="14087" max="14335" width="9.140625" style="124"/>
    <col min="14336" max="14336" width="0" style="124" hidden="1" customWidth="1"/>
    <col min="14337" max="14337" width="3.140625" style="124" customWidth="1"/>
    <col min="14338" max="14338" width="24.7109375" style="124" customWidth="1"/>
    <col min="14339" max="14339" width="18" style="124" customWidth="1"/>
    <col min="14340" max="14340" width="18.42578125" style="124" customWidth="1"/>
    <col min="14341" max="14341" width="13.85546875" style="124" customWidth="1"/>
    <col min="14342" max="14342" width="14" style="124" customWidth="1"/>
    <col min="14343" max="14591" width="9.140625" style="124"/>
    <col min="14592" max="14592" width="0" style="124" hidden="1" customWidth="1"/>
    <col min="14593" max="14593" width="3.140625" style="124" customWidth="1"/>
    <col min="14594" max="14594" width="24.7109375" style="124" customWidth="1"/>
    <col min="14595" max="14595" width="18" style="124" customWidth="1"/>
    <col min="14596" max="14596" width="18.42578125" style="124" customWidth="1"/>
    <col min="14597" max="14597" width="13.85546875" style="124" customWidth="1"/>
    <col min="14598" max="14598" width="14" style="124" customWidth="1"/>
    <col min="14599" max="14847" width="9.140625" style="124"/>
    <col min="14848" max="14848" width="0" style="124" hidden="1" customWidth="1"/>
    <col min="14849" max="14849" width="3.140625" style="124" customWidth="1"/>
    <col min="14850" max="14850" width="24.7109375" style="124" customWidth="1"/>
    <col min="14851" max="14851" width="18" style="124" customWidth="1"/>
    <col min="14852" max="14852" width="18.42578125" style="124" customWidth="1"/>
    <col min="14853" max="14853" width="13.85546875" style="124" customWidth="1"/>
    <col min="14854" max="14854" width="14" style="124" customWidth="1"/>
    <col min="14855" max="15103" width="9.140625" style="124"/>
    <col min="15104" max="15104" width="0" style="124" hidden="1" customWidth="1"/>
    <col min="15105" max="15105" width="3.140625" style="124" customWidth="1"/>
    <col min="15106" max="15106" width="24.7109375" style="124" customWidth="1"/>
    <col min="15107" max="15107" width="18" style="124" customWidth="1"/>
    <col min="15108" max="15108" width="18.42578125" style="124" customWidth="1"/>
    <col min="15109" max="15109" width="13.85546875" style="124" customWidth="1"/>
    <col min="15110" max="15110" width="14" style="124" customWidth="1"/>
    <col min="15111" max="15359" width="9.140625" style="124"/>
    <col min="15360" max="15360" width="0" style="124" hidden="1" customWidth="1"/>
    <col min="15361" max="15361" width="3.140625" style="124" customWidth="1"/>
    <col min="15362" max="15362" width="24.7109375" style="124" customWidth="1"/>
    <col min="15363" max="15363" width="18" style="124" customWidth="1"/>
    <col min="15364" max="15364" width="18.42578125" style="124" customWidth="1"/>
    <col min="15365" max="15365" width="13.85546875" style="124" customWidth="1"/>
    <col min="15366" max="15366" width="14" style="124" customWidth="1"/>
    <col min="15367" max="15615" width="9.140625" style="124"/>
    <col min="15616" max="15616" width="0" style="124" hidden="1" customWidth="1"/>
    <col min="15617" max="15617" width="3.140625" style="124" customWidth="1"/>
    <col min="15618" max="15618" width="24.7109375" style="124" customWidth="1"/>
    <col min="15619" max="15619" width="18" style="124" customWidth="1"/>
    <col min="15620" max="15620" width="18.42578125" style="124" customWidth="1"/>
    <col min="15621" max="15621" width="13.85546875" style="124" customWidth="1"/>
    <col min="15622" max="15622" width="14" style="124" customWidth="1"/>
    <col min="15623" max="15871" width="9.140625" style="124"/>
    <col min="15872" max="15872" width="0" style="124" hidden="1" customWidth="1"/>
    <col min="15873" max="15873" width="3.140625" style="124" customWidth="1"/>
    <col min="15874" max="15874" width="24.7109375" style="124" customWidth="1"/>
    <col min="15875" max="15875" width="18" style="124" customWidth="1"/>
    <col min="15876" max="15876" width="18.42578125" style="124" customWidth="1"/>
    <col min="15877" max="15877" width="13.85546875" style="124" customWidth="1"/>
    <col min="15878" max="15878" width="14" style="124" customWidth="1"/>
    <col min="15879" max="16127" width="9.140625" style="124"/>
    <col min="16128" max="16128" width="0" style="124" hidden="1" customWidth="1"/>
    <col min="16129" max="16129" width="3.140625" style="124" customWidth="1"/>
    <col min="16130" max="16130" width="24.7109375" style="124" customWidth="1"/>
    <col min="16131" max="16131" width="18" style="124" customWidth="1"/>
    <col min="16132" max="16132" width="18.42578125" style="124" customWidth="1"/>
    <col min="16133" max="16133" width="13.85546875" style="124" customWidth="1"/>
    <col min="16134" max="16134" width="14" style="124" customWidth="1"/>
    <col min="16135" max="16384" width="9.140625" style="124"/>
  </cols>
  <sheetData>
    <row r="1" spans="1:10" ht="48.75" customHeight="1">
      <c r="B1" s="196" t="s">
        <v>101</v>
      </c>
      <c r="C1" s="196"/>
      <c r="D1" s="196"/>
      <c r="E1" s="196"/>
      <c r="F1" s="196"/>
    </row>
    <row r="2" spans="1:10" ht="15.75" customHeight="1">
      <c r="C2" s="207" t="s">
        <v>1</v>
      </c>
      <c r="D2" s="204" t="s">
        <v>2</v>
      </c>
      <c r="E2" s="204"/>
      <c r="F2" s="207" t="s">
        <v>5</v>
      </c>
    </row>
    <row r="3" spans="1:10" ht="34.5" customHeight="1">
      <c r="A3" s="4"/>
      <c r="C3" s="199"/>
      <c r="D3" s="145" t="s">
        <v>3</v>
      </c>
      <c r="E3" s="145" t="s">
        <v>4</v>
      </c>
      <c r="F3" s="199"/>
    </row>
    <row r="4" spans="1:10" ht="23.25" customHeight="1">
      <c r="A4" s="4"/>
      <c r="B4" s="129" t="s">
        <v>6</v>
      </c>
      <c r="C4" s="161">
        <v>1159</v>
      </c>
      <c r="D4" s="161">
        <v>248</v>
      </c>
      <c r="E4" s="161">
        <v>23</v>
      </c>
      <c r="F4" s="161">
        <v>0</v>
      </c>
      <c r="I4" s="141"/>
    </row>
    <row r="5" spans="1:10" s="129" customFormat="1" ht="25.5" customHeight="1">
      <c r="A5" s="9"/>
      <c r="B5" s="129" t="s">
        <v>7</v>
      </c>
      <c r="C5" s="170">
        <v>894</v>
      </c>
      <c r="D5" s="170">
        <v>191</v>
      </c>
      <c r="E5" s="170">
        <v>19</v>
      </c>
      <c r="F5" s="170">
        <v>0</v>
      </c>
    </row>
    <row r="6" spans="1:10">
      <c r="A6" s="12">
        <v>51</v>
      </c>
      <c r="B6" s="124" t="s">
        <v>8</v>
      </c>
      <c r="C6" s="141">
        <v>35</v>
      </c>
      <c r="D6" s="141">
        <v>7</v>
      </c>
      <c r="E6" s="141">
        <v>0</v>
      </c>
      <c r="F6" s="141">
        <v>0</v>
      </c>
    </row>
    <row r="7" spans="1:10">
      <c r="A7" s="12">
        <v>52</v>
      </c>
      <c r="B7" s="124" t="s">
        <v>9</v>
      </c>
      <c r="C7" s="141">
        <v>41</v>
      </c>
      <c r="D7" s="141">
        <v>8</v>
      </c>
      <c r="E7" s="141">
        <v>0</v>
      </c>
      <c r="F7" s="141">
        <v>0</v>
      </c>
      <c r="J7" s="141"/>
    </row>
    <row r="8" spans="1:10">
      <c r="A8" s="12">
        <v>86</v>
      </c>
      <c r="B8" s="124" t="s">
        <v>10</v>
      </c>
      <c r="C8" s="141">
        <v>20</v>
      </c>
      <c r="D8" s="150">
        <v>3</v>
      </c>
      <c r="E8" s="150">
        <v>0</v>
      </c>
      <c r="F8" s="141">
        <v>0</v>
      </c>
      <c r="J8" s="141"/>
    </row>
    <row r="9" spans="1:10">
      <c r="A9" s="12">
        <v>53</v>
      </c>
      <c r="B9" s="124" t="s">
        <v>11</v>
      </c>
      <c r="C9" s="141">
        <v>21</v>
      </c>
      <c r="D9" s="141">
        <v>7</v>
      </c>
      <c r="E9" s="141">
        <v>1</v>
      </c>
      <c r="F9" s="141">
        <v>0</v>
      </c>
    </row>
    <row r="10" spans="1:10">
      <c r="A10" s="12">
        <v>54</v>
      </c>
      <c r="B10" s="124" t="s">
        <v>12</v>
      </c>
      <c r="C10" s="141">
        <v>26</v>
      </c>
      <c r="D10" s="141">
        <v>1</v>
      </c>
      <c r="E10" s="141">
        <v>0</v>
      </c>
      <c r="F10" s="141">
        <v>0</v>
      </c>
    </row>
    <row r="11" spans="1:10">
      <c r="A11" s="12">
        <v>55</v>
      </c>
      <c r="B11" s="124" t="s">
        <v>13</v>
      </c>
      <c r="C11" s="141">
        <v>14</v>
      </c>
      <c r="D11" s="141">
        <v>2</v>
      </c>
      <c r="E11" s="141">
        <v>1</v>
      </c>
      <c r="F11" s="141">
        <v>0</v>
      </c>
    </row>
    <row r="12" spans="1:10">
      <c r="A12" s="12">
        <v>56</v>
      </c>
      <c r="B12" s="124" t="s">
        <v>14</v>
      </c>
      <c r="C12" s="141">
        <v>7</v>
      </c>
      <c r="D12" s="141">
        <v>0</v>
      </c>
      <c r="E12" s="141">
        <v>2</v>
      </c>
      <c r="F12" s="141">
        <v>0</v>
      </c>
    </row>
    <row r="13" spans="1:10">
      <c r="A13" s="12">
        <v>57</v>
      </c>
      <c r="B13" s="124" t="s">
        <v>15</v>
      </c>
      <c r="C13" s="141">
        <v>17</v>
      </c>
      <c r="D13" s="141">
        <v>1</v>
      </c>
      <c r="E13" s="141">
        <v>0</v>
      </c>
      <c r="F13" s="141">
        <v>0</v>
      </c>
    </row>
    <row r="14" spans="1:10">
      <c r="A14" s="12">
        <v>59</v>
      </c>
      <c r="B14" s="124" t="s">
        <v>16</v>
      </c>
      <c r="C14" s="141">
        <v>10</v>
      </c>
      <c r="D14" s="141">
        <v>4</v>
      </c>
      <c r="E14" s="141">
        <v>0</v>
      </c>
      <c r="F14" s="141">
        <v>0</v>
      </c>
    </row>
    <row r="15" spans="1:10">
      <c r="A15" s="12">
        <v>60</v>
      </c>
      <c r="B15" s="124" t="s">
        <v>17</v>
      </c>
      <c r="C15" s="141">
        <v>13</v>
      </c>
      <c r="D15" s="141">
        <v>2</v>
      </c>
      <c r="E15" s="141">
        <v>0</v>
      </c>
      <c r="F15" s="141">
        <v>0</v>
      </c>
    </row>
    <row r="16" spans="1:10">
      <c r="A16" s="12">
        <v>61</v>
      </c>
      <c r="B16" s="151" t="s">
        <v>18</v>
      </c>
      <c r="C16" s="141">
        <v>34</v>
      </c>
      <c r="D16" s="141">
        <v>4</v>
      </c>
      <c r="E16" s="141">
        <v>1</v>
      </c>
      <c r="F16" s="141">
        <v>0</v>
      </c>
    </row>
    <row r="17" spans="1:6" s="184" customFormat="1">
      <c r="A17" s="12"/>
      <c r="B17" s="132" t="s">
        <v>125</v>
      </c>
      <c r="C17" s="165" t="s">
        <v>126</v>
      </c>
      <c r="D17" s="165" t="s">
        <v>126</v>
      </c>
      <c r="E17" s="165" t="s">
        <v>126</v>
      </c>
      <c r="F17" s="165" t="s">
        <v>126</v>
      </c>
    </row>
    <row r="18" spans="1:6">
      <c r="A18" s="12">
        <v>62</v>
      </c>
      <c r="B18" s="124" t="s">
        <v>19</v>
      </c>
      <c r="C18" s="141">
        <v>22</v>
      </c>
      <c r="D18" s="141">
        <v>1</v>
      </c>
      <c r="E18" s="141">
        <v>0</v>
      </c>
      <c r="F18" s="141">
        <v>0</v>
      </c>
    </row>
    <row r="19" spans="1:6">
      <c r="A19" s="12">
        <v>58</v>
      </c>
      <c r="B19" s="124" t="s">
        <v>20</v>
      </c>
      <c r="C19" s="141">
        <v>10</v>
      </c>
      <c r="D19" s="141">
        <v>1</v>
      </c>
      <c r="E19" s="141">
        <v>0</v>
      </c>
      <c r="F19" s="141">
        <v>0</v>
      </c>
    </row>
    <row r="20" spans="1:6">
      <c r="A20" s="12">
        <v>63</v>
      </c>
      <c r="B20" s="124" t="s">
        <v>21</v>
      </c>
      <c r="C20" s="141">
        <v>33</v>
      </c>
      <c r="D20" s="141">
        <v>9</v>
      </c>
      <c r="E20" s="141">
        <v>0</v>
      </c>
      <c r="F20" s="141">
        <v>0</v>
      </c>
    </row>
    <row r="21" spans="1:6">
      <c r="A21" s="12">
        <v>64</v>
      </c>
      <c r="B21" s="124" t="s">
        <v>22</v>
      </c>
      <c r="C21" s="141">
        <v>51</v>
      </c>
      <c r="D21" s="141">
        <v>17</v>
      </c>
      <c r="E21" s="141">
        <v>4</v>
      </c>
      <c r="F21" s="141">
        <v>0</v>
      </c>
    </row>
    <row r="22" spans="1:6">
      <c r="A22" s="12">
        <v>65</v>
      </c>
      <c r="B22" s="124" t="s">
        <v>23</v>
      </c>
      <c r="C22" s="141">
        <v>33</v>
      </c>
      <c r="D22" s="141">
        <v>10</v>
      </c>
      <c r="E22" s="141">
        <v>1</v>
      </c>
      <c r="F22" s="141">
        <v>0</v>
      </c>
    </row>
    <row r="23" spans="1:6">
      <c r="A23" s="12">
        <v>67</v>
      </c>
      <c r="B23" s="124" t="s">
        <v>24</v>
      </c>
      <c r="C23" s="141">
        <v>37</v>
      </c>
      <c r="D23" s="141">
        <v>13</v>
      </c>
      <c r="E23" s="167">
        <v>2</v>
      </c>
      <c r="F23" s="141">
        <v>0</v>
      </c>
    </row>
    <row r="24" spans="1:6">
      <c r="A24" s="12">
        <v>68</v>
      </c>
      <c r="B24" s="124" t="s">
        <v>25</v>
      </c>
      <c r="C24" s="141">
        <v>32</v>
      </c>
      <c r="D24" s="141">
        <v>6</v>
      </c>
      <c r="E24" s="141">
        <v>1</v>
      </c>
      <c r="F24" s="141">
        <v>0</v>
      </c>
    </row>
    <row r="25" spans="1:6">
      <c r="A25" s="12">
        <v>69</v>
      </c>
      <c r="B25" s="124" t="s">
        <v>26</v>
      </c>
      <c r="C25" s="141">
        <v>29</v>
      </c>
      <c r="D25" s="141">
        <v>7</v>
      </c>
      <c r="E25" s="141">
        <v>2</v>
      </c>
      <c r="F25" s="141">
        <v>0</v>
      </c>
    </row>
    <row r="26" spans="1:6">
      <c r="A26" s="12">
        <v>70</v>
      </c>
      <c r="B26" s="124" t="s">
        <v>27</v>
      </c>
      <c r="C26" s="141">
        <v>40</v>
      </c>
      <c r="D26" s="141">
        <v>5</v>
      </c>
      <c r="E26" s="141">
        <v>3</v>
      </c>
      <c r="F26" s="141">
        <v>0</v>
      </c>
    </row>
    <row r="27" spans="1:6">
      <c r="A27" s="12">
        <v>71</v>
      </c>
      <c r="B27" s="152" t="s">
        <v>28</v>
      </c>
      <c r="C27" s="141">
        <v>6</v>
      </c>
      <c r="D27" s="141">
        <v>3</v>
      </c>
      <c r="E27" s="141">
        <v>0</v>
      </c>
      <c r="F27" s="141">
        <v>0</v>
      </c>
    </row>
    <row r="28" spans="1:6">
      <c r="A28" s="12">
        <v>73</v>
      </c>
      <c r="B28" s="124" t="s">
        <v>29</v>
      </c>
      <c r="C28" s="141">
        <v>20</v>
      </c>
      <c r="D28" s="150">
        <v>6</v>
      </c>
      <c r="E28" s="150">
        <v>0</v>
      </c>
      <c r="F28" s="141">
        <v>0</v>
      </c>
    </row>
    <row r="29" spans="1:6">
      <c r="A29" s="12">
        <v>74</v>
      </c>
      <c r="B29" s="124" t="s">
        <v>30</v>
      </c>
      <c r="C29" s="141">
        <v>15</v>
      </c>
      <c r="D29" s="150">
        <v>6</v>
      </c>
      <c r="E29" s="150">
        <v>0</v>
      </c>
      <c r="F29" s="141">
        <v>0</v>
      </c>
    </row>
    <row r="30" spans="1:6">
      <c r="A30" s="12">
        <v>75</v>
      </c>
      <c r="B30" s="124" t="s">
        <v>31</v>
      </c>
      <c r="C30" s="141">
        <v>25</v>
      </c>
      <c r="D30" s="150">
        <v>5</v>
      </c>
      <c r="E30" s="150">
        <v>0</v>
      </c>
      <c r="F30" s="141">
        <v>0</v>
      </c>
    </row>
    <row r="31" spans="1:6">
      <c r="A31" s="12">
        <v>76</v>
      </c>
      <c r="B31" s="124" t="s">
        <v>32</v>
      </c>
      <c r="C31" s="141">
        <v>11</v>
      </c>
      <c r="D31" s="150">
        <v>3</v>
      </c>
      <c r="E31" s="150">
        <v>0</v>
      </c>
      <c r="F31" s="141">
        <v>0</v>
      </c>
    </row>
    <row r="32" spans="1:6">
      <c r="A32" s="12">
        <v>79</v>
      </c>
      <c r="B32" s="124" t="s">
        <v>33</v>
      </c>
      <c r="C32" s="141">
        <v>28</v>
      </c>
      <c r="D32" s="150">
        <v>11</v>
      </c>
      <c r="E32" s="150">
        <v>0</v>
      </c>
      <c r="F32" s="141">
        <v>0</v>
      </c>
    </row>
    <row r="33" spans="1:11">
      <c r="A33" s="12">
        <v>80</v>
      </c>
      <c r="B33" s="124" t="s">
        <v>34</v>
      </c>
      <c r="C33" s="141">
        <v>31</v>
      </c>
      <c r="D33" s="150">
        <v>4</v>
      </c>
      <c r="E33" s="150">
        <v>0</v>
      </c>
      <c r="F33" s="141">
        <v>0</v>
      </c>
    </row>
    <row r="34" spans="1:11">
      <c r="A34" s="12">
        <v>81</v>
      </c>
      <c r="B34" s="124" t="s">
        <v>35</v>
      </c>
      <c r="C34" s="141">
        <v>17</v>
      </c>
      <c r="D34" s="150">
        <v>3</v>
      </c>
      <c r="E34" s="150">
        <v>0</v>
      </c>
      <c r="F34" s="141">
        <v>0</v>
      </c>
    </row>
    <row r="35" spans="1:11">
      <c r="A35" s="12">
        <v>83</v>
      </c>
      <c r="B35" s="124" t="s">
        <v>36</v>
      </c>
      <c r="C35" s="141">
        <v>15</v>
      </c>
      <c r="D35" s="150">
        <v>5</v>
      </c>
      <c r="E35" s="150">
        <v>0</v>
      </c>
      <c r="F35" s="141">
        <v>0</v>
      </c>
    </row>
    <row r="36" spans="1:11">
      <c r="A36" s="12">
        <v>84</v>
      </c>
      <c r="B36" s="124" t="s">
        <v>37</v>
      </c>
      <c r="C36" s="141">
        <v>15</v>
      </c>
      <c r="D36" s="150">
        <v>7</v>
      </c>
      <c r="E36" s="150">
        <v>0</v>
      </c>
      <c r="F36" s="141">
        <v>0</v>
      </c>
    </row>
    <row r="37" spans="1:11" ht="15">
      <c r="A37" s="12">
        <v>85</v>
      </c>
      <c r="B37" s="124" t="s">
        <v>38</v>
      </c>
      <c r="C37" s="141">
        <v>24</v>
      </c>
      <c r="D37" s="150">
        <v>3</v>
      </c>
      <c r="E37" s="150">
        <v>0</v>
      </c>
      <c r="F37" s="141">
        <v>0</v>
      </c>
      <c r="G37" s="129"/>
    </row>
    <row r="38" spans="1:11" ht="15">
      <c r="A38" s="12">
        <v>87</v>
      </c>
      <c r="B38" s="124" t="s">
        <v>39</v>
      </c>
      <c r="C38" s="141">
        <v>19</v>
      </c>
      <c r="D38" s="150">
        <v>3</v>
      </c>
      <c r="E38" s="150">
        <v>0</v>
      </c>
      <c r="F38" s="141">
        <v>0</v>
      </c>
      <c r="H38" s="129"/>
      <c r="I38" s="129"/>
    </row>
    <row r="39" spans="1:11">
      <c r="A39" s="12">
        <v>90</v>
      </c>
      <c r="B39" s="124" t="s">
        <v>40</v>
      </c>
      <c r="C39" s="141">
        <v>32</v>
      </c>
      <c r="D39" s="150">
        <v>3</v>
      </c>
      <c r="E39" s="150">
        <v>0</v>
      </c>
      <c r="F39" s="141">
        <v>0</v>
      </c>
    </row>
    <row r="40" spans="1:11">
      <c r="A40" s="12">
        <v>91</v>
      </c>
      <c r="B40" s="124" t="s">
        <v>41</v>
      </c>
      <c r="C40" s="141">
        <v>34</v>
      </c>
      <c r="D40" s="150">
        <v>1</v>
      </c>
      <c r="E40" s="150">
        <v>0</v>
      </c>
      <c r="F40" s="141">
        <v>0</v>
      </c>
    </row>
    <row r="41" spans="1:11">
      <c r="A41" s="12">
        <v>92</v>
      </c>
      <c r="B41" s="124" t="s">
        <v>42</v>
      </c>
      <c r="C41" s="141">
        <v>25</v>
      </c>
      <c r="D41" s="150">
        <v>8</v>
      </c>
      <c r="E41" s="150">
        <v>0</v>
      </c>
      <c r="F41" s="141">
        <v>0</v>
      </c>
    </row>
    <row r="42" spans="1:11">
      <c r="A42" s="12">
        <v>94</v>
      </c>
      <c r="B42" s="124" t="s">
        <v>43</v>
      </c>
      <c r="C42" s="141">
        <v>21</v>
      </c>
      <c r="D42" s="150">
        <v>7</v>
      </c>
      <c r="E42" s="150">
        <v>0</v>
      </c>
      <c r="F42" s="141">
        <v>0</v>
      </c>
    </row>
    <row r="43" spans="1:11" ht="15">
      <c r="A43" s="12">
        <v>96</v>
      </c>
      <c r="B43" s="124" t="s">
        <v>44</v>
      </c>
      <c r="C43" s="141">
        <v>20</v>
      </c>
      <c r="D43" s="150">
        <v>4</v>
      </c>
      <c r="E43" s="150">
        <v>1</v>
      </c>
      <c r="F43" s="141">
        <v>0</v>
      </c>
      <c r="J43" s="129"/>
    </row>
    <row r="44" spans="1:11" ht="15">
      <c r="A44" s="12">
        <v>98</v>
      </c>
      <c r="B44" s="124" t="s">
        <v>45</v>
      </c>
      <c r="C44" s="141">
        <v>11</v>
      </c>
      <c r="D44" s="150">
        <v>1</v>
      </c>
      <c r="E44" s="150">
        <v>0</v>
      </c>
      <c r="F44" s="141">
        <v>0</v>
      </c>
      <c r="K44" s="129"/>
    </row>
    <row r="45" spans="1:11">
      <c r="A45" s="12">
        <v>72</v>
      </c>
      <c r="B45" s="152" t="s">
        <v>46</v>
      </c>
      <c r="C45" s="150">
        <v>0</v>
      </c>
      <c r="D45" s="150">
        <v>0</v>
      </c>
      <c r="E45" s="150">
        <v>0</v>
      </c>
      <c r="F45" s="141">
        <v>0</v>
      </c>
    </row>
    <row r="46" spans="1:11" s="129" customFormat="1" ht="25.5" customHeight="1">
      <c r="A46" s="50"/>
      <c r="B46" s="129" t="s">
        <v>47</v>
      </c>
      <c r="C46" s="155">
        <v>265</v>
      </c>
      <c r="D46" s="155">
        <v>57</v>
      </c>
      <c r="E46" s="155">
        <v>4</v>
      </c>
      <c r="F46" s="155">
        <v>0</v>
      </c>
    </row>
    <row r="47" spans="1:11">
      <c r="A47" s="12">
        <v>66</v>
      </c>
      <c r="B47" s="124" t="s">
        <v>48</v>
      </c>
      <c r="C47" s="141">
        <v>30</v>
      </c>
      <c r="D47" s="141">
        <v>7</v>
      </c>
      <c r="E47" s="141">
        <v>0</v>
      </c>
      <c r="F47" s="141">
        <v>0</v>
      </c>
    </row>
    <row r="48" spans="1:11">
      <c r="A48" s="12">
        <v>78</v>
      </c>
      <c r="B48" s="124" t="s">
        <v>49</v>
      </c>
      <c r="C48" s="141">
        <v>15</v>
      </c>
      <c r="D48" s="141">
        <v>3</v>
      </c>
      <c r="E48" s="141">
        <v>1</v>
      </c>
      <c r="F48" s="141">
        <v>0</v>
      </c>
    </row>
    <row r="49" spans="1:6">
      <c r="A49" s="12">
        <v>89</v>
      </c>
      <c r="B49" s="124" t="s">
        <v>50</v>
      </c>
      <c r="C49" s="141">
        <v>28</v>
      </c>
      <c r="D49" s="141">
        <v>2</v>
      </c>
      <c r="E49" s="141">
        <v>0</v>
      </c>
      <c r="F49" s="141">
        <v>0</v>
      </c>
    </row>
    <row r="50" spans="1:6">
      <c r="A50" s="12">
        <v>93</v>
      </c>
      <c r="B50" s="124" t="s">
        <v>51</v>
      </c>
      <c r="C50" s="141">
        <v>7</v>
      </c>
      <c r="D50" s="141">
        <v>4</v>
      </c>
      <c r="E50" s="141">
        <v>0</v>
      </c>
      <c r="F50" s="141">
        <v>0</v>
      </c>
    </row>
    <row r="51" spans="1:6">
      <c r="A51" s="12">
        <v>95</v>
      </c>
      <c r="B51" s="124" t="s">
        <v>52</v>
      </c>
      <c r="C51" s="141">
        <v>28</v>
      </c>
      <c r="D51" s="141">
        <v>5</v>
      </c>
      <c r="E51" s="141">
        <v>0</v>
      </c>
      <c r="F51" s="141">
        <v>0</v>
      </c>
    </row>
    <row r="52" spans="1:6">
      <c r="A52" s="12">
        <v>97</v>
      </c>
      <c r="B52" s="124" t="s">
        <v>53</v>
      </c>
      <c r="C52" s="167">
        <v>61</v>
      </c>
      <c r="D52" s="141">
        <v>10</v>
      </c>
      <c r="E52" s="141">
        <v>1</v>
      </c>
      <c r="F52" s="141">
        <v>0</v>
      </c>
    </row>
    <row r="53" spans="1:6">
      <c r="A53" s="12">
        <v>77</v>
      </c>
      <c r="B53" s="156" t="s">
        <v>54</v>
      </c>
      <c r="C53" s="171">
        <v>96</v>
      </c>
      <c r="D53" s="171">
        <v>26</v>
      </c>
      <c r="E53" s="171">
        <v>2</v>
      </c>
      <c r="F53" s="171">
        <v>0</v>
      </c>
    </row>
    <row r="54" spans="1:6">
      <c r="C54" s="141"/>
      <c r="D54" s="172"/>
      <c r="E54" s="141"/>
      <c r="F54" s="141"/>
    </row>
    <row r="55" spans="1:6" ht="13.5" customHeight="1">
      <c r="B55" s="12" t="s">
        <v>55</v>
      </c>
    </row>
    <row r="56" spans="1:6" ht="13.5" customHeight="1">
      <c r="B56" s="219" t="s">
        <v>56</v>
      </c>
      <c r="C56" s="220"/>
      <c r="D56" s="220"/>
      <c r="E56" s="220"/>
      <c r="F56" s="220"/>
    </row>
    <row r="57" spans="1:6" ht="15" customHeight="1">
      <c r="B57" s="220"/>
      <c r="C57" s="220"/>
      <c r="D57" s="220"/>
      <c r="E57" s="220"/>
      <c r="F57" s="220"/>
    </row>
    <row r="58" spans="1:6" ht="13.5" customHeight="1">
      <c r="B58" s="220"/>
      <c r="C58" s="220"/>
      <c r="D58" s="220"/>
      <c r="E58" s="220"/>
      <c r="F58" s="220"/>
    </row>
    <row r="59" spans="1:6" ht="12.75" customHeight="1">
      <c r="B59" s="220"/>
      <c r="C59" s="220"/>
      <c r="D59" s="220"/>
      <c r="E59" s="220"/>
      <c r="F59" s="220"/>
    </row>
    <row r="60" spans="1:6" ht="15.75" customHeight="1">
      <c r="B60" s="220"/>
      <c r="C60" s="220"/>
      <c r="D60" s="220"/>
      <c r="E60" s="220"/>
      <c r="F60" s="220"/>
    </row>
    <row r="61" spans="1:6" ht="67.5" customHeight="1">
      <c r="B61" s="220"/>
      <c r="C61" s="220"/>
      <c r="D61" s="220"/>
      <c r="E61" s="220"/>
      <c r="F61" s="220"/>
    </row>
    <row r="62" spans="1:6" ht="9.75" customHeight="1">
      <c r="B62" s="57"/>
      <c r="C62" s="57"/>
      <c r="D62" s="57"/>
      <c r="E62" s="57"/>
      <c r="F62" s="57"/>
    </row>
    <row r="63" spans="1:6">
      <c r="B63" s="140" t="s">
        <v>57</v>
      </c>
    </row>
    <row r="65" spans="2:2">
      <c r="B65" s="143"/>
    </row>
  </sheetData>
  <mergeCells count="5">
    <mergeCell ref="B1:F1"/>
    <mergeCell ref="C2:C3"/>
    <mergeCell ref="D2:E2"/>
    <mergeCell ref="F2:F3"/>
    <mergeCell ref="B56:F61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F65"/>
  <sheetViews>
    <sheetView showGridLines="0" zoomScale="85" workbookViewId="0">
      <pane xSplit="2" ySplit="3" topLeftCell="C4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RowHeight="12.75"/>
  <cols>
    <col min="1" max="1" width="3.140625" style="1" hidden="1" customWidth="1"/>
    <col min="2" max="2" width="31.7109375" style="124" customWidth="1"/>
    <col min="3" max="4" width="15.28515625" style="124" customWidth="1"/>
    <col min="5" max="5" width="16.5703125" style="124" customWidth="1"/>
    <col min="6" max="6" width="15" style="124" customWidth="1"/>
    <col min="7" max="255" width="9.140625" style="124"/>
    <col min="256" max="256" width="0" style="124" hidden="1" customWidth="1"/>
    <col min="257" max="257" width="3.140625" style="124" customWidth="1"/>
    <col min="258" max="258" width="31.7109375" style="124" customWidth="1"/>
    <col min="259" max="260" width="15.28515625" style="124" customWidth="1"/>
    <col min="261" max="261" width="16.5703125" style="124" customWidth="1"/>
    <col min="262" max="262" width="15" style="124" customWidth="1"/>
    <col min="263" max="511" width="9.140625" style="124"/>
    <col min="512" max="512" width="0" style="124" hidden="1" customWidth="1"/>
    <col min="513" max="513" width="3.140625" style="124" customWidth="1"/>
    <col min="514" max="514" width="31.7109375" style="124" customWidth="1"/>
    <col min="515" max="516" width="15.28515625" style="124" customWidth="1"/>
    <col min="517" max="517" width="16.5703125" style="124" customWidth="1"/>
    <col min="518" max="518" width="15" style="124" customWidth="1"/>
    <col min="519" max="767" width="9.140625" style="124"/>
    <col min="768" max="768" width="0" style="124" hidden="1" customWidth="1"/>
    <col min="769" max="769" width="3.140625" style="124" customWidth="1"/>
    <col min="770" max="770" width="31.7109375" style="124" customWidth="1"/>
    <col min="771" max="772" width="15.28515625" style="124" customWidth="1"/>
    <col min="773" max="773" width="16.5703125" style="124" customWidth="1"/>
    <col min="774" max="774" width="15" style="124" customWidth="1"/>
    <col min="775" max="1023" width="9.140625" style="124"/>
    <col min="1024" max="1024" width="0" style="124" hidden="1" customWidth="1"/>
    <col min="1025" max="1025" width="3.140625" style="124" customWidth="1"/>
    <col min="1026" max="1026" width="31.7109375" style="124" customWidth="1"/>
    <col min="1027" max="1028" width="15.28515625" style="124" customWidth="1"/>
    <col min="1029" max="1029" width="16.5703125" style="124" customWidth="1"/>
    <col min="1030" max="1030" width="15" style="124" customWidth="1"/>
    <col min="1031" max="1279" width="9.140625" style="124"/>
    <col min="1280" max="1280" width="0" style="124" hidden="1" customWidth="1"/>
    <col min="1281" max="1281" width="3.140625" style="124" customWidth="1"/>
    <col min="1282" max="1282" width="31.7109375" style="124" customWidth="1"/>
    <col min="1283" max="1284" width="15.28515625" style="124" customWidth="1"/>
    <col min="1285" max="1285" width="16.5703125" style="124" customWidth="1"/>
    <col min="1286" max="1286" width="15" style="124" customWidth="1"/>
    <col min="1287" max="1535" width="9.140625" style="124"/>
    <col min="1536" max="1536" width="0" style="124" hidden="1" customWidth="1"/>
    <col min="1537" max="1537" width="3.140625" style="124" customWidth="1"/>
    <col min="1538" max="1538" width="31.7109375" style="124" customWidth="1"/>
    <col min="1539" max="1540" width="15.28515625" style="124" customWidth="1"/>
    <col min="1541" max="1541" width="16.5703125" style="124" customWidth="1"/>
    <col min="1542" max="1542" width="15" style="124" customWidth="1"/>
    <col min="1543" max="1791" width="9.140625" style="124"/>
    <col min="1792" max="1792" width="0" style="124" hidden="1" customWidth="1"/>
    <col min="1793" max="1793" width="3.140625" style="124" customWidth="1"/>
    <col min="1794" max="1794" width="31.7109375" style="124" customWidth="1"/>
    <col min="1795" max="1796" width="15.28515625" style="124" customWidth="1"/>
    <col min="1797" max="1797" width="16.5703125" style="124" customWidth="1"/>
    <col min="1798" max="1798" width="15" style="124" customWidth="1"/>
    <col min="1799" max="2047" width="9.140625" style="124"/>
    <col min="2048" max="2048" width="0" style="124" hidden="1" customWidth="1"/>
    <col min="2049" max="2049" width="3.140625" style="124" customWidth="1"/>
    <col min="2050" max="2050" width="31.7109375" style="124" customWidth="1"/>
    <col min="2051" max="2052" width="15.28515625" style="124" customWidth="1"/>
    <col min="2053" max="2053" width="16.5703125" style="124" customWidth="1"/>
    <col min="2054" max="2054" width="15" style="124" customWidth="1"/>
    <col min="2055" max="2303" width="9.140625" style="124"/>
    <col min="2304" max="2304" width="0" style="124" hidden="1" customWidth="1"/>
    <col min="2305" max="2305" width="3.140625" style="124" customWidth="1"/>
    <col min="2306" max="2306" width="31.7109375" style="124" customWidth="1"/>
    <col min="2307" max="2308" width="15.28515625" style="124" customWidth="1"/>
    <col min="2309" max="2309" width="16.5703125" style="124" customWidth="1"/>
    <col min="2310" max="2310" width="15" style="124" customWidth="1"/>
    <col min="2311" max="2559" width="9.140625" style="124"/>
    <col min="2560" max="2560" width="0" style="124" hidden="1" customWidth="1"/>
    <col min="2561" max="2561" width="3.140625" style="124" customWidth="1"/>
    <col min="2562" max="2562" width="31.7109375" style="124" customWidth="1"/>
    <col min="2563" max="2564" width="15.28515625" style="124" customWidth="1"/>
    <col min="2565" max="2565" width="16.5703125" style="124" customWidth="1"/>
    <col min="2566" max="2566" width="15" style="124" customWidth="1"/>
    <col min="2567" max="2815" width="9.140625" style="124"/>
    <col min="2816" max="2816" width="0" style="124" hidden="1" customWidth="1"/>
    <col min="2817" max="2817" width="3.140625" style="124" customWidth="1"/>
    <col min="2818" max="2818" width="31.7109375" style="124" customWidth="1"/>
    <col min="2819" max="2820" width="15.28515625" style="124" customWidth="1"/>
    <col min="2821" max="2821" width="16.5703125" style="124" customWidth="1"/>
    <col min="2822" max="2822" width="15" style="124" customWidth="1"/>
    <col min="2823" max="3071" width="9.140625" style="124"/>
    <col min="3072" max="3072" width="0" style="124" hidden="1" customWidth="1"/>
    <col min="3073" max="3073" width="3.140625" style="124" customWidth="1"/>
    <col min="3074" max="3074" width="31.7109375" style="124" customWidth="1"/>
    <col min="3075" max="3076" width="15.28515625" style="124" customWidth="1"/>
    <col min="3077" max="3077" width="16.5703125" style="124" customWidth="1"/>
    <col min="3078" max="3078" width="15" style="124" customWidth="1"/>
    <col min="3079" max="3327" width="9.140625" style="124"/>
    <col min="3328" max="3328" width="0" style="124" hidden="1" customWidth="1"/>
    <col min="3329" max="3329" width="3.140625" style="124" customWidth="1"/>
    <col min="3330" max="3330" width="31.7109375" style="124" customWidth="1"/>
    <col min="3331" max="3332" width="15.28515625" style="124" customWidth="1"/>
    <col min="3333" max="3333" width="16.5703125" style="124" customWidth="1"/>
    <col min="3334" max="3334" width="15" style="124" customWidth="1"/>
    <col min="3335" max="3583" width="9.140625" style="124"/>
    <col min="3584" max="3584" width="0" style="124" hidden="1" customWidth="1"/>
    <col min="3585" max="3585" width="3.140625" style="124" customWidth="1"/>
    <col min="3586" max="3586" width="31.7109375" style="124" customWidth="1"/>
    <col min="3587" max="3588" width="15.28515625" style="124" customWidth="1"/>
    <col min="3589" max="3589" width="16.5703125" style="124" customWidth="1"/>
    <col min="3590" max="3590" width="15" style="124" customWidth="1"/>
    <col min="3591" max="3839" width="9.140625" style="124"/>
    <col min="3840" max="3840" width="0" style="124" hidden="1" customWidth="1"/>
    <col min="3841" max="3841" width="3.140625" style="124" customWidth="1"/>
    <col min="3842" max="3842" width="31.7109375" style="124" customWidth="1"/>
    <col min="3843" max="3844" width="15.28515625" style="124" customWidth="1"/>
    <col min="3845" max="3845" width="16.5703125" style="124" customWidth="1"/>
    <col min="3846" max="3846" width="15" style="124" customWidth="1"/>
    <col min="3847" max="4095" width="9.140625" style="124"/>
    <col min="4096" max="4096" width="0" style="124" hidden="1" customWidth="1"/>
    <col min="4097" max="4097" width="3.140625" style="124" customWidth="1"/>
    <col min="4098" max="4098" width="31.7109375" style="124" customWidth="1"/>
    <col min="4099" max="4100" width="15.28515625" style="124" customWidth="1"/>
    <col min="4101" max="4101" width="16.5703125" style="124" customWidth="1"/>
    <col min="4102" max="4102" width="15" style="124" customWidth="1"/>
    <col min="4103" max="4351" width="9.140625" style="124"/>
    <col min="4352" max="4352" width="0" style="124" hidden="1" customWidth="1"/>
    <col min="4353" max="4353" width="3.140625" style="124" customWidth="1"/>
    <col min="4354" max="4354" width="31.7109375" style="124" customWidth="1"/>
    <col min="4355" max="4356" width="15.28515625" style="124" customWidth="1"/>
    <col min="4357" max="4357" width="16.5703125" style="124" customWidth="1"/>
    <col min="4358" max="4358" width="15" style="124" customWidth="1"/>
    <col min="4359" max="4607" width="9.140625" style="124"/>
    <col min="4608" max="4608" width="0" style="124" hidden="1" customWidth="1"/>
    <col min="4609" max="4609" width="3.140625" style="124" customWidth="1"/>
    <col min="4610" max="4610" width="31.7109375" style="124" customWidth="1"/>
    <col min="4611" max="4612" width="15.28515625" style="124" customWidth="1"/>
    <col min="4613" max="4613" width="16.5703125" style="124" customWidth="1"/>
    <col min="4614" max="4614" width="15" style="124" customWidth="1"/>
    <col min="4615" max="4863" width="9.140625" style="124"/>
    <col min="4864" max="4864" width="0" style="124" hidden="1" customWidth="1"/>
    <col min="4865" max="4865" width="3.140625" style="124" customWidth="1"/>
    <col min="4866" max="4866" width="31.7109375" style="124" customWidth="1"/>
    <col min="4867" max="4868" width="15.28515625" style="124" customWidth="1"/>
    <col min="4869" max="4869" width="16.5703125" style="124" customWidth="1"/>
    <col min="4870" max="4870" width="15" style="124" customWidth="1"/>
    <col min="4871" max="5119" width="9.140625" style="124"/>
    <col min="5120" max="5120" width="0" style="124" hidden="1" customWidth="1"/>
    <col min="5121" max="5121" width="3.140625" style="124" customWidth="1"/>
    <col min="5122" max="5122" width="31.7109375" style="124" customWidth="1"/>
    <col min="5123" max="5124" width="15.28515625" style="124" customWidth="1"/>
    <col min="5125" max="5125" width="16.5703125" style="124" customWidth="1"/>
    <col min="5126" max="5126" width="15" style="124" customWidth="1"/>
    <col min="5127" max="5375" width="9.140625" style="124"/>
    <col min="5376" max="5376" width="0" style="124" hidden="1" customWidth="1"/>
    <col min="5377" max="5377" width="3.140625" style="124" customWidth="1"/>
    <col min="5378" max="5378" width="31.7109375" style="124" customWidth="1"/>
    <col min="5379" max="5380" width="15.28515625" style="124" customWidth="1"/>
    <col min="5381" max="5381" width="16.5703125" style="124" customWidth="1"/>
    <col min="5382" max="5382" width="15" style="124" customWidth="1"/>
    <col min="5383" max="5631" width="9.140625" style="124"/>
    <col min="5632" max="5632" width="0" style="124" hidden="1" customWidth="1"/>
    <col min="5633" max="5633" width="3.140625" style="124" customWidth="1"/>
    <col min="5634" max="5634" width="31.7109375" style="124" customWidth="1"/>
    <col min="5635" max="5636" width="15.28515625" style="124" customWidth="1"/>
    <col min="5637" max="5637" width="16.5703125" style="124" customWidth="1"/>
    <col min="5638" max="5638" width="15" style="124" customWidth="1"/>
    <col min="5639" max="5887" width="9.140625" style="124"/>
    <col min="5888" max="5888" width="0" style="124" hidden="1" customWidth="1"/>
    <col min="5889" max="5889" width="3.140625" style="124" customWidth="1"/>
    <col min="5890" max="5890" width="31.7109375" style="124" customWidth="1"/>
    <col min="5891" max="5892" width="15.28515625" style="124" customWidth="1"/>
    <col min="5893" max="5893" width="16.5703125" style="124" customWidth="1"/>
    <col min="5894" max="5894" width="15" style="124" customWidth="1"/>
    <col min="5895" max="6143" width="9.140625" style="124"/>
    <col min="6144" max="6144" width="0" style="124" hidden="1" customWidth="1"/>
    <col min="6145" max="6145" width="3.140625" style="124" customWidth="1"/>
    <col min="6146" max="6146" width="31.7109375" style="124" customWidth="1"/>
    <col min="6147" max="6148" width="15.28515625" style="124" customWidth="1"/>
    <col min="6149" max="6149" width="16.5703125" style="124" customWidth="1"/>
    <col min="6150" max="6150" width="15" style="124" customWidth="1"/>
    <col min="6151" max="6399" width="9.140625" style="124"/>
    <col min="6400" max="6400" width="0" style="124" hidden="1" customWidth="1"/>
    <col min="6401" max="6401" width="3.140625" style="124" customWidth="1"/>
    <col min="6402" max="6402" width="31.7109375" style="124" customWidth="1"/>
    <col min="6403" max="6404" width="15.28515625" style="124" customWidth="1"/>
    <col min="6405" max="6405" width="16.5703125" style="124" customWidth="1"/>
    <col min="6406" max="6406" width="15" style="124" customWidth="1"/>
    <col min="6407" max="6655" width="9.140625" style="124"/>
    <col min="6656" max="6656" width="0" style="124" hidden="1" customWidth="1"/>
    <col min="6657" max="6657" width="3.140625" style="124" customWidth="1"/>
    <col min="6658" max="6658" width="31.7109375" style="124" customWidth="1"/>
    <col min="6659" max="6660" width="15.28515625" style="124" customWidth="1"/>
    <col min="6661" max="6661" width="16.5703125" style="124" customWidth="1"/>
    <col min="6662" max="6662" width="15" style="124" customWidth="1"/>
    <col min="6663" max="6911" width="9.140625" style="124"/>
    <col min="6912" max="6912" width="0" style="124" hidden="1" customWidth="1"/>
    <col min="6913" max="6913" width="3.140625" style="124" customWidth="1"/>
    <col min="6914" max="6914" width="31.7109375" style="124" customWidth="1"/>
    <col min="6915" max="6916" width="15.28515625" style="124" customWidth="1"/>
    <col min="6917" max="6917" width="16.5703125" style="124" customWidth="1"/>
    <col min="6918" max="6918" width="15" style="124" customWidth="1"/>
    <col min="6919" max="7167" width="9.140625" style="124"/>
    <col min="7168" max="7168" width="0" style="124" hidden="1" customWidth="1"/>
    <col min="7169" max="7169" width="3.140625" style="124" customWidth="1"/>
    <col min="7170" max="7170" width="31.7109375" style="124" customWidth="1"/>
    <col min="7171" max="7172" width="15.28515625" style="124" customWidth="1"/>
    <col min="7173" max="7173" width="16.5703125" style="124" customWidth="1"/>
    <col min="7174" max="7174" width="15" style="124" customWidth="1"/>
    <col min="7175" max="7423" width="9.140625" style="124"/>
    <col min="7424" max="7424" width="0" style="124" hidden="1" customWidth="1"/>
    <col min="7425" max="7425" width="3.140625" style="124" customWidth="1"/>
    <col min="7426" max="7426" width="31.7109375" style="124" customWidth="1"/>
    <col min="7427" max="7428" width="15.28515625" style="124" customWidth="1"/>
    <col min="7429" max="7429" width="16.5703125" style="124" customWidth="1"/>
    <col min="7430" max="7430" width="15" style="124" customWidth="1"/>
    <col min="7431" max="7679" width="9.140625" style="124"/>
    <col min="7680" max="7680" width="0" style="124" hidden="1" customWidth="1"/>
    <col min="7681" max="7681" width="3.140625" style="124" customWidth="1"/>
    <col min="7682" max="7682" width="31.7109375" style="124" customWidth="1"/>
    <col min="7683" max="7684" width="15.28515625" style="124" customWidth="1"/>
    <col min="7685" max="7685" width="16.5703125" style="124" customWidth="1"/>
    <col min="7686" max="7686" width="15" style="124" customWidth="1"/>
    <col min="7687" max="7935" width="9.140625" style="124"/>
    <col min="7936" max="7936" width="0" style="124" hidden="1" customWidth="1"/>
    <col min="7937" max="7937" width="3.140625" style="124" customWidth="1"/>
    <col min="7938" max="7938" width="31.7109375" style="124" customWidth="1"/>
    <col min="7939" max="7940" width="15.28515625" style="124" customWidth="1"/>
    <col min="7941" max="7941" width="16.5703125" style="124" customWidth="1"/>
    <col min="7942" max="7942" width="15" style="124" customWidth="1"/>
    <col min="7943" max="8191" width="9.140625" style="124"/>
    <col min="8192" max="8192" width="0" style="124" hidden="1" customWidth="1"/>
    <col min="8193" max="8193" width="3.140625" style="124" customWidth="1"/>
    <col min="8194" max="8194" width="31.7109375" style="124" customWidth="1"/>
    <col min="8195" max="8196" width="15.28515625" style="124" customWidth="1"/>
    <col min="8197" max="8197" width="16.5703125" style="124" customWidth="1"/>
    <col min="8198" max="8198" width="15" style="124" customWidth="1"/>
    <col min="8199" max="8447" width="9.140625" style="124"/>
    <col min="8448" max="8448" width="0" style="124" hidden="1" customWidth="1"/>
    <col min="8449" max="8449" width="3.140625" style="124" customWidth="1"/>
    <col min="8450" max="8450" width="31.7109375" style="124" customWidth="1"/>
    <col min="8451" max="8452" width="15.28515625" style="124" customWidth="1"/>
    <col min="8453" max="8453" width="16.5703125" style="124" customWidth="1"/>
    <col min="8454" max="8454" width="15" style="124" customWidth="1"/>
    <col min="8455" max="8703" width="9.140625" style="124"/>
    <col min="8704" max="8704" width="0" style="124" hidden="1" customWidth="1"/>
    <col min="8705" max="8705" width="3.140625" style="124" customWidth="1"/>
    <col min="8706" max="8706" width="31.7109375" style="124" customWidth="1"/>
    <col min="8707" max="8708" width="15.28515625" style="124" customWidth="1"/>
    <col min="8709" max="8709" width="16.5703125" style="124" customWidth="1"/>
    <col min="8710" max="8710" width="15" style="124" customWidth="1"/>
    <col min="8711" max="8959" width="9.140625" style="124"/>
    <col min="8960" max="8960" width="0" style="124" hidden="1" customWidth="1"/>
    <col min="8961" max="8961" width="3.140625" style="124" customWidth="1"/>
    <col min="8962" max="8962" width="31.7109375" style="124" customWidth="1"/>
    <col min="8963" max="8964" width="15.28515625" style="124" customWidth="1"/>
    <col min="8965" max="8965" width="16.5703125" style="124" customWidth="1"/>
    <col min="8966" max="8966" width="15" style="124" customWidth="1"/>
    <col min="8967" max="9215" width="9.140625" style="124"/>
    <col min="9216" max="9216" width="0" style="124" hidden="1" customWidth="1"/>
    <col min="9217" max="9217" width="3.140625" style="124" customWidth="1"/>
    <col min="9218" max="9218" width="31.7109375" style="124" customWidth="1"/>
    <col min="9219" max="9220" width="15.28515625" style="124" customWidth="1"/>
    <col min="9221" max="9221" width="16.5703125" style="124" customWidth="1"/>
    <col min="9222" max="9222" width="15" style="124" customWidth="1"/>
    <col min="9223" max="9471" width="9.140625" style="124"/>
    <col min="9472" max="9472" width="0" style="124" hidden="1" customWidth="1"/>
    <col min="9473" max="9473" width="3.140625" style="124" customWidth="1"/>
    <col min="9474" max="9474" width="31.7109375" style="124" customWidth="1"/>
    <col min="9475" max="9476" width="15.28515625" style="124" customWidth="1"/>
    <col min="9477" max="9477" width="16.5703125" style="124" customWidth="1"/>
    <col min="9478" max="9478" width="15" style="124" customWidth="1"/>
    <col min="9479" max="9727" width="9.140625" style="124"/>
    <col min="9728" max="9728" width="0" style="124" hidden="1" customWidth="1"/>
    <col min="9729" max="9729" width="3.140625" style="124" customWidth="1"/>
    <col min="9730" max="9730" width="31.7109375" style="124" customWidth="1"/>
    <col min="9731" max="9732" width="15.28515625" style="124" customWidth="1"/>
    <col min="9733" max="9733" width="16.5703125" style="124" customWidth="1"/>
    <col min="9734" max="9734" width="15" style="124" customWidth="1"/>
    <col min="9735" max="9983" width="9.140625" style="124"/>
    <col min="9984" max="9984" width="0" style="124" hidden="1" customWidth="1"/>
    <col min="9985" max="9985" width="3.140625" style="124" customWidth="1"/>
    <col min="9986" max="9986" width="31.7109375" style="124" customWidth="1"/>
    <col min="9987" max="9988" width="15.28515625" style="124" customWidth="1"/>
    <col min="9989" max="9989" width="16.5703125" style="124" customWidth="1"/>
    <col min="9990" max="9990" width="15" style="124" customWidth="1"/>
    <col min="9991" max="10239" width="9.140625" style="124"/>
    <col min="10240" max="10240" width="0" style="124" hidden="1" customWidth="1"/>
    <col min="10241" max="10241" width="3.140625" style="124" customWidth="1"/>
    <col min="10242" max="10242" width="31.7109375" style="124" customWidth="1"/>
    <col min="10243" max="10244" width="15.28515625" style="124" customWidth="1"/>
    <col min="10245" max="10245" width="16.5703125" style="124" customWidth="1"/>
    <col min="10246" max="10246" width="15" style="124" customWidth="1"/>
    <col min="10247" max="10495" width="9.140625" style="124"/>
    <col min="10496" max="10496" width="0" style="124" hidden="1" customWidth="1"/>
    <col min="10497" max="10497" width="3.140625" style="124" customWidth="1"/>
    <col min="10498" max="10498" width="31.7109375" style="124" customWidth="1"/>
    <col min="10499" max="10500" width="15.28515625" style="124" customWidth="1"/>
    <col min="10501" max="10501" width="16.5703125" style="124" customWidth="1"/>
    <col min="10502" max="10502" width="15" style="124" customWidth="1"/>
    <col min="10503" max="10751" width="9.140625" style="124"/>
    <col min="10752" max="10752" width="0" style="124" hidden="1" customWidth="1"/>
    <col min="10753" max="10753" width="3.140625" style="124" customWidth="1"/>
    <col min="10754" max="10754" width="31.7109375" style="124" customWidth="1"/>
    <col min="10755" max="10756" width="15.28515625" style="124" customWidth="1"/>
    <col min="10757" max="10757" width="16.5703125" style="124" customWidth="1"/>
    <col min="10758" max="10758" width="15" style="124" customWidth="1"/>
    <col min="10759" max="11007" width="9.140625" style="124"/>
    <col min="11008" max="11008" width="0" style="124" hidden="1" customWidth="1"/>
    <col min="11009" max="11009" width="3.140625" style="124" customWidth="1"/>
    <col min="11010" max="11010" width="31.7109375" style="124" customWidth="1"/>
    <col min="11011" max="11012" width="15.28515625" style="124" customWidth="1"/>
    <col min="11013" max="11013" width="16.5703125" style="124" customWidth="1"/>
    <col min="11014" max="11014" width="15" style="124" customWidth="1"/>
    <col min="11015" max="11263" width="9.140625" style="124"/>
    <col min="11264" max="11264" width="0" style="124" hidden="1" customWidth="1"/>
    <col min="11265" max="11265" width="3.140625" style="124" customWidth="1"/>
    <col min="11266" max="11266" width="31.7109375" style="124" customWidth="1"/>
    <col min="11267" max="11268" width="15.28515625" style="124" customWidth="1"/>
    <col min="11269" max="11269" width="16.5703125" style="124" customWidth="1"/>
    <col min="11270" max="11270" width="15" style="124" customWidth="1"/>
    <col min="11271" max="11519" width="9.140625" style="124"/>
    <col min="11520" max="11520" width="0" style="124" hidden="1" customWidth="1"/>
    <col min="11521" max="11521" width="3.140625" style="124" customWidth="1"/>
    <col min="11522" max="11522" width="31.7109375" style="124" customWidth="1"/>
    <col min="11523" max="11524" width="15.28515625" style="124" customWidth="1"/>
    <col min="11525" max="11525" width="16.5703125" style="124" customWidth="1"/>
    <col min="11526" max="11526" width="15" style="124" customWidth="1"/>
    <col min="11527" max="11775" width="9.140625" style="124"/>
    <col min="11776" max="11776" width="0" style="124" hidden="1" customWidth="1"/>
    <col min="11777" max="11777" width="3.140625" style="124" customWidth="1"/>
    <col min="11778" max="11778" width="31.7109375" style="124" customWidth="1"/>
    <col min="11779" max="11780" width="15.28515625" style="124" customWidth="1"/>
    <col min="11781" max="11781" width="16.5703125" style="124" customWidth="1"/>
    <col min="11782" max="11782" width="15" style="124" customWidth="1"/>
    <col min="11783" max="12031" width="9.140625" style="124"/>
    <col min="12032" max="12032" width="0" style="124" hidden="1" customWidth="1"/>
    <col min="12033" max="12033" width="3.140625" style="124" customWidth="1"/>
    <col min="12034" max="12034" width="31.7109375" style="124" customWidth="1"/>
    <col min="12035" max="12036" width="15.28515625" style="124" customWidth="1"/>
    <col min="12037" max="12037" width="16.5703125" style="124" customWidth="1"/>
    <col min="12038" max="12038" width="15" style="124" customWidth="1"/>
    <col min="12039" max="12287" width="9.140625" style="124"/>
    <col min="12288" max="12288" width="0" style="124" hidden="1" customWidth="1"/>
    <col min="12289" max="12289" width="3.140625" style="124" customWidth="1"/>
    <col min="12290" max="12290" width="31.7109375" style="124" customWidth="1"/>
    <col min="12291" max="12292" width="15.28515625" style="124" customWidth="1"/>
    <col min="12293" max="12293" width="16.5703125" style="124" customWidth="1"/>
    <col min="12294" max="12294" width="15" style="124" customWidth="1"/>
    <col min="12295" max="12543" width="9.140625" style="124"/>
    <col min="12544" max="12544" width="0" style="124" hidden="1" customWidth="1"/>
    <col min="12545" max="12545" width="3.140625" style="124" customWidth="1"/>
    <col min="12546" max="12546" width="31.7109375" style="124" customWidth="1"/>
    <col min="12547" max="12548" width="15.28515625" style="124" customWidth="1"/>
    <col min="12549" max="12549" width="16.5703125" style="124" customWidth="1"/>
    <col min="12550" max="12550" width="15" style="124" customWidth="1"/>
    <col min="12551" max="12799" width="9.140625" style="124"/>
    <col min="12800" max="12800" width="0" style="124" hidden="1" customWidth="1"/>
    <col min="12801" max="12801" width="3.140625" style="124" customWidth="1"/>
    <col min="12802" max="12802" width="31.7109375" style="124" customWidth="1"/>
    <col min="12803" max="12804" width="15.28515625" style="124" customWidth="1"/>
    <col min="12805" max="12805" width="16.5703125" style="124" customWidth="1"/>
    <col min="12806" max="12806" width="15" style="124" customWidth="1"/>
    <col min="12807" max="13055" width="9.140625" style="124"/>
    <col min="13056" max="13056" width="0" style="124" hidden="1" customWidth="1"/>
    <col min="13057" max="13057" width="3.140625" style="124" customWidth="1"/>
    <col min="13058" max="13058" width="31.7109375" style="124" customWidth="1"/>
    <col min="13059" max="13060" width="15.28515625" style="124" customWidth="1"/>
    <col min="13061" max="13061" width="16.5703125" style="124" customWidth="1"/>
    <col min="13062" max="13062" width="15" style="124" customWidth="1"/>
    <col min="13063" max="13311" width="9.140625" style="124"/>
    <col min="13312" max="13312" width="0" style="124" hidden="1" customWidth="1"/>
    <col min="13313" max="13313" width="3.140625" style="124" customWidth="1"/>
    <col min="13314" max="13314" width="31.7109375" style="124" customWidth="1"/>
    <col min="13315" max="13316" width="15.28515625" style="124" customWidth="1"/>
    <col min="13317" max="13317" width="16.5703125" style="124" customWidth="1"/>
    <col min="13318" max="13318" width="15" style="124" customWidth="1"/>
    <col min="13319" max="13567" width="9.140625" style="124"/>
    <col min="13568" max="13568" width="0" style="124" hidden="1" customWidth="1"/>
    <col min="13569" max="13569" width="3.140625" style="124" customWidth="1"/>
    <col min="13570" max="13570" width="31.7109375" style="124" customWidth="1"/>
    <col min="13571" max="13572" width="15.28515625" style="124" customWidth="1"/>
    <col min="13573" max="13573" width="16.5703125" style="124" customWidth="1"/>
    <col min="13574" max="13574" width="15" style="124" customWidth="1"/>
    <col min="13575" max="13823" width="9.140625" style="124"/>
    <col min="13824" max="13824" width="0" style="124" hidden="1" customWidth="1"/>
    <col min="13825" max="13825" width="3.140625" style="124" customWidth="1"/>
    <col min="13826" max="13826" width="31.7109375" style="124" customWidth="1"/>
    <col min="13827" max="13828" width="15.28515625" style="124" customWidth="1"/>
    <col min="13829" max="13829" width="16.5703125" style="124" customWidth="1"/>
    <col min="13830" max="13830" width="15" style="124" customWidth="1"/>
    <col min="13831" max="14079" width="9.140625" style="124"/>
    <col min="14080" max="14080" width="0" style="124" hidden="1" customWidth="1"/>
    <col min="14081" max="14081" width="3.140625" style="124" customWidth="1"/>
    <col min="14082" max="14082" width="31.7109375" style="124" customWidth="1"/>
    <col min="14083" max="14084" width="15.28515625" style="124" customWidth="1"/>
    <col min="14085" max="14085" width="16.5703125" style="124" customWidth="1"/>
    <col min="14086" max="14086" width="15" style="124" customWidth="1"/>
    <col min="14087" max="14335" width="9.140625" style="124"/>
    <col min="14336" max="14336" width="0" style="124" hidden="1" customWidth="1"/>
    <col min="14337" max="14337" width="3.140625" style="124" customWidth="1"/>
    <col min="14338" max="14338" width="31.7109375" style="124" customWidth="1"/>
    <col min="14339" max="14340" width="15.28515625" style="124" customWidth="1"/>
    <col min="14341" max="14341" width="16.5703125" style="124" customWidth="1"/>
    <col min="14342" max="14342" width="15" style="124" customWidth="1"/>
    <col min="14343" max="14591" width="9.140625" style="124"/>
    <col min="14592" max="14592" width="0" style="124" hidden="1" customWidth="1"/>
    <col min="14593" max="14593" width="3.140625" style="124" customWidth="1"/>
    <col min="14594" max="14594" width="31.7109375" style="124" customWidth="1"/>
    <col min="14595" max="14596" width="15.28515625" style="124" customWidth="1"/>
    <col min="14597" max="14597" width="16.5703125" style="124" customWidth="1"/>
    <col min="14598" max="14598" width="15" style="124" customWidth="1"/>
    <col min="14599" max="14847" width="9.140625" style="124"/>
    <col min="14848" max="14848" width="0" style="124" hidden="1" customWidth="1"/>
    <col min="14849" max="14849" width="3.140625" style="124" customWidth="1"/>
    <col min="14850" max="14850" width="31.7109375" style="124" customWidth="1"/>
    <col min="14851" max="14852" width="15.28515625" style="124" customWidth="1"/>
    <col min="14853" max="14853" width="16.5703125" style="124" customWidth="1"/>
    <col min="14854" max="14854" width="15" style="124" customWidth="1"/>
    <col min="14855" max="15103" width="9.140625" style="124"/>
    <col min="15104" max="15104" width="0" style="124" hidden="1" customWidth="1"/>
    <col min="15105" max="15105" width="3.140625" style="124" customWidth="1"/>
    <col min="15106" max="15106" width="31.7109375" style="124" customWidth="1"/>
    <col min="15107" max="15108" width="15.28515625" style="124" customWidth="1"/>
    <col min="15109" max="15109" width="16.5703125" style="124" customWidth="1"/>
    <col min="15110" max="15110" width="15" style="124" customWidth="1"/>
    <col min="15111" max="15359" width="9.140625" style="124"/>
    <col min="15360" max="15360" width="0" style="124" hidden="1" customWidth="1"/>
    <col min="15361" max="15361" width="3.140625" style="124" customWidth="1"/>
    <col min="15362" max="15362" width="31.7109375" style="124" customWidth="1"/>
    <col min="15363" max="15364" width="15.28515625" style="124" customWidth="1"/>
    <col min="15365" max="15365" width="16.5703125" style="124" customWidth="1"/>
    <col min="15366" max="15366" width="15" style="124" customWidth="1"/>
    <col min="15367" max="15615" width="9.140625" style="124"/>
    <col min="15616" max="15616" width="0" style="124" hidden="1" customWidth="1"/>
    <col min="15617" max="15617" width="3.140625" style="124" customWidth="1"/>
    <col min="15618" max="15618" width="31.7109375" style="124" customWidth="1"/>
    <col min="15619" max="15620" width="15.28515625" style="124" customWidth="1"/>
    <col min="15621" max="15621" width="16.5703125" style="124" customWidth="1"/>
    <col min="15622" max="15622" width="15" style="124" customWidth="1"/>
    <col min="15623" max="15871" width="9.140625" style="124"/>
    <col min="15872" max="15872" width="0" style="124" hidden="1" customWidth="1"/>
    <col min="15873" max="15873" width="3.140625" style="124" customWidth="1"/>
    <col min="15874" max="15874" width="31.7109375" style="124" customWidth="1"/>
    <col min="15875" max="15876" width="15.28515625" style="124" customWidth="1"/>
    <col min="15877" max="15877" width="16.5703125" style="124" customWidth="1"/>
    <col min="15878" max="15878" width="15" style="124" customWidth="1"/>
    <col min="15879" max="16127" width="9.140625" style="124"/>
    <col min="16128" max="16128" width="0" style="124" hidden="1" customWidth="1"/>
    <col min="16129" max="16129" width="3.140625" style="124" customWidth="1"/>
    <col min="16130" max="16130" width="31.7109375" style="124" customWidth="1"/>
    <col min="16131" max="16132" width="15.28515625" style="124" customWidth="1"/>
    <col min="16133" max="16133" width="16.5703125" style="124" customWidth="1"/>
    <col min="16134" max="16134" width="15" style="124" customWidth="1"/>
    <col min="16135" max="16384" width="9.140625" style="124"/>
  </cols>
  <sheetData>
    <row r="1" spans="1:6" ht="50.25" customHeight="1">
      <c r="B1" s="196" t="s">
        <v>102</v>
      </c>
      <c r="C1" s="196"/>
      <c r="D1" s="196"/>
      <c r="E1" s="196"/>
      <c r="F1" s="196"/>
    </row>
    <row r="2" spans="1:6" ht="15.75" customHeight="1">
      <c r="C2" s="207" t="s">
        <v>1</v>
      </c>
      <c r="D2" s="204" t="s">
        <v>2</v>
      </c>
      <c r="E2" s="204"/>
      <c r="F2" s="207" t="s">
        <v>5</v>
      </c>
    </row>
    <row r="3" spans="1:6" ht="39" customHeight="1">
      <c r="A3" s="4"/>
      <c r="C3" s="199"/>
      <c r="D3" s="145" t="s">
        <v>3</v>
      </c>
      <c r="E3" s="145" t="s">
        <v>4</v>
      </c>
      <c r="F3" s="199"/>
    </row>
    <row r="4" spans="1:6" ht="28.5" customHeight="1">
      <c r="A4" s="4"/>
      <c r="B4" s="129" t="s">
        <v>6</v>
      </c>
      <c r="C4" s="161">
        <v>1004</v>
      </c>
      <c r="D4" s="161">
        <v>189</v>
      </c>
      <c r="E4" s="161">
        <v>16</v>
      </c>
      <c r="F4" s="161">
        <v>0</v>
      </c>
    </row>
    <row r="5" spans="1:6" s="154" customFormat="1" ht="26.25" customHeight="1">
      <c r="A5" s="12"/>
      <c r="B5" s="129" t="s">
        <v>7</v>
      </c>
      <c r="C5" s="148">
        <v>662</v>
      </c>
      <c r="D5" s="148">
        <v>114</v>
      </c>
      <c r="E5" s="148">
        <v>9</v>
      </c>
      <c r="F5" s="148">
        <v>0</v>
      </c>
    </row>
    <row r="6" spans="1:6">
      <c r="A6" s="12">
        <v>51</v>
      </c>
      <c r="B6" s="124" t="s">
        <v>8</v>
      </c>
      <c r="C6" s="149">
        <v>27</v>
      </c>
      <c r="D6" s="149">
        <v>8</v>
      </c>
      <c r="E6" s="149">
        <v>0</v>
      </c>
      <c r="F6" s="149">
        <v>0</v>
      </c>
    </row>
    <row r="7" spans="1:6">
      <c r="A7" s="12">
        <v>52</v>
      </c>
      <c r="B7" s="124" t="s">
        <v>9</v>
      </c>
      <c r="C7" s="149">
        <v>16</v>
      </c>
      <c r="D7" s="149">
        <v>2</v>
      </c>
      <c r="E7" s="149">
        <v>0</v>
      </c>
      <c r="F7" s="149">
        <v>0</v>
      </c>
    </row>
    <row r="8" spans="1:6">
      <c r="A8" s="12">
        <v>86</v>
      </c>
      <c r="B8" s="124" t="s">
        <v>10</v>
      </c>
      <c r="C8" s="149">
        <v>27</v>
      </c>
      <c r="D8" s="149">
        <v>2</v>
      </c>
      <c r="E8" s="149">
        <v>0</v>
      </c>
      <c r="F8" s="149">
        <v>0</v>
      </c>
    </row>
    <row r="9" spans="1:6">
      <c r="A9" s="12">
        <v>53</v>
      </c>
      <c r="B9" s="124" t="s">
        <v>11</v>
      </c>
      <c r="C9" s="149">
        <v>9</v>
      </c>
      <c r="D9" s="149">
        <v>2</v>
      </c>
      <c r="E9" s="149">
        <v>0</v>
      </c>
      <c r="F9" s="149">
        <v>0</v>
      </c>
    </row>
    <row r="10" spans="1:6">
      <c r="A10" s="12">
        <v>54</v>
      </c>
      <c r="B10" s="124" t="s">
        <v>12</v>
      </c>
      <c r="C10" s="149">
        <v>28</v>
      </c>
      <c r="D10" s="149">
        <v>4</v>
      </c>
      <c r="E10" s="149">
        <v>0</v>
      </c>
      <c r="F10" s="149">
        <v>0</v>
      </c>
    </row>
    <row r="11" spans="1:6">
      <c r="A11" s="12">
        <v>55</v>
      </c>
      <c r="B11" s="124" t="s">
        <v>13</v>
      </c>
      <c r="C11" s="149">
        <v>10</v>
      </c>
      <c r="D11" s="149">
        <v>1</v>
      </c>
      <c r="E11" s="149">
        <v>0</v>
      </c>
      <c r="F11" s="149">
        <v>0</v>
      </c>
    </row>
    <row r="12" spans="1:6">
      <c r="A12" s="12">
        <v>56</v>
      </c>
      <c r="B12" s="124" t="s">
        <v>14</v>
      </c>
      <c r="C12" s="149">
        <v>23</v>
      </c>
      <c r="D12" s="149">
        <v>1</v>
      </c>
      <c r="E12" s="149">
        <v>0</v>
      </c>
      <c r="F12" s="149">
        <v>0</v>
      </c>
    </row>
    <row r="13" spans="1:6">
      <c r="A13" s="12">
        <v>57</v>
      </c>
      <c r="B13" s="124" t="s">
        <v>15</v>
      </c>
      <c r="C13" s="149">
        <v>5</v>
      </c>
      <c r="D13" s="149">
        <v>0</v>
      </c>
      <c r="E13" s="149">
        <v>0</v>
      </c>
      <c r="F13" s="149">
        <v>0</v>
      </c>
    </row>
    <row r="14" spans="1:6">
      <c r="A14" s="12">
        <v>59</v>
      </c>
      <c r="B14" s="124" t="s">
        <v>16</v>
      </c>
      <c r="C14" s="149">
        <v>11</v>
      </c>
      <c r="D14" s="149">
        <v>0</v>
      </c>
      <c r="E14" s="149">
        <v>0</v>
      </c>
      <c r="F14" s="149">
        <v>0</v>
      </c>
    </row>
    <row r="15" spans="1:6">
      <c r="A15" s="12">
        <v>60</v>
      </c>
      <c r="B15" s="124" t="s">
        <v>17</v>
      </c>
      <c r="C15" s="149">
        <v>4</v>
      </c>
      <c r="D15" s="149">
        <v>0</v>
      </c>
      <c r="E15" s="149">
        <v>0</v>
      </c>
      <c r="F15" s="149">
        <v>0</v>
      </c>
    </row>
    <row r="16" spans="1:6">
      <c r="A16" s="12">
        <v>61</v>
      </c>
      <c r="B16" s="151" t="s">
        <v>18</v>
      </c>
      <c r="C16" s="149">
        <v>22</v>
      </c>
      <c r="D16" s="149">
        <v>5</v>
      </c>
      <c r="E16" s="149">
        <v>1</v>
      </c>
      <c r="F16" s="149">
        <v>0</v>
      </c>
    </row>
    <row r="17" spans="1:6" s="184" customFormat="1">
      <c r="A17" s="12"/>
      <c r="B17" s="132" t="s">
        <v>125</v>
      </c>
      <c r="C17" s="165" t="s">
        <v>126</v>
      </c>
      <c r="D17" s="165" t="s">
        <v>126</v>
      </c>
      <c r="E17" s="165" t="s">
        <v>126</v>
      </c>
      <c r="F17" s="165" t="s">
        <v>126</v>
      </c>
    </row>
    <row r="18" spans="1:6">
      <c r="A18" s="12">
        <v>62</v>
      </c>
      <c r="B18" s="124" t="s">
        <v>19</v>
      </c>
      <c r="C18" s="149">
        <v>20</v>
      </c>
      <c r="D18" s="149">
        <v>2</v>
      </c>
      <c r="E18" s="149">
        <v>0</v>
      </c>
      <c r="F18" s="149">
        <v>0</v>
      </c>
    </row>
    <row r="19" spans="1:6">
      <c r="A19" s="12">
        <v>58</v>
      </c>
      <c r="B19" s="124" t="s">
        <v>20</v>
      </c>
      <c r="C19" s="149">
        <v>1</v>
      </c>
      <c r="D19" s="149">
        <v>0</v>
      </c>
      <c r="E19" s="149">
        <v>0</v>
      </c>
      <c r="F19" s="149">
        <v>0</v>
      </c>
    </row>
    <row r="20" spans="1:6">
      <c r="A20" s="12">
        <v>63</v>
      </c>
      <c r="B20" s="124" t="s">
        <v>21</v>
      </c>
      <c r="C20" s="149">
        <v>20</v>
      </c>
      <c r="D20" s="149">
        <v>3</v>
      </c>
      <c r="E20" s="149">
        <v>0</v>
      </c>
      <c r="F20" s="149">
        <v>0</v>
      </c>
    </row>
    <row r="21" spans="1:6">
      <c r="A21" s="12">
        <v>64</v>
      </c>
      <c r="B21" s="124" t="s">
        <v>22</v>
      </c>
      <c r="C21" s="149">
        <v>74</v>
      </c>
      <c r="D21" s="149">
        <v>18</v>
      </c>
      <c r="E21" s="149">
        <v>2</v>
      </c>
      <c r="F21" s="149">
        <v>0</v>
      </c>
    </row>
    <row r="22" spans="1:6">
      <c r="A22" s="12">
        <v>65</v>
      </c>
      <c r="B22" s="124" t="s">
        <v>23</v>
      </c>
      <c r="C22" s="149">
        <v>15</v>
      </c>
      <c r="D22" s="149">
        <v>0</v>
      </c>
      <c r="E22" s="149">
        <v>0</v>
      </c>
      <c r="F22" s="149">
        <v>0</v>
      </c>
    </row>
    <row r="23" spans="1:6">
      <c r="A23" s="12">
        <v>67</v>
      </c>
      <c r="B23" s="124" t="s">
        <v>24</v>
      </c>
      <c r="C23" s="149">
        <v>36</v>
      </c>
      <c r="D23" s="149">
        <v>2</v>
      </c>
      <c r="E23" s="149">
        <v>0</v>
      </c>
      <c r="F23" s="149">
        <v>0</v>
      </c>
    </row>
    <row r="24" spans="1:6">
      <c r="A24" s="12">
        <v>68</v>
      </c>
      <c r="B24" s="124" t="s">
        <v>25</v>
      </c>
      <c r="C24" s="149">
        <v>30</v>
      </c>
      <c r="D24" s="149">
        <v>8</v>
      </c>
      <c r="E24" s="149">
        <v>0</v>
      </c>
      <c r="F24" s="149">
        <v>0</v>
      </c>
    </row>
    <row r="25" spans="1:6">
      <c r="A25" s="12">
        <v>69</v>
      </c>
      <c r="B25" s="124" t="s">
        <v>26</v>
      </c>
      <c r="C25" s="149">
        <v>20</v>
      </c>
      <c r="D25" s="149">
        <v>5</v>
      </c>
      <c r="E25" s="149">
        <v>1</v>
      </c>
      <c r="F25" s="149">
        <v>0</v>
      </c>
    </row>
    <row r="26" spans="1:6">
      <c r="A26" s="12">
        <v>70</v>
      </c>
      <c r="B26" s="124" t="s">
        <v>27</v>
      </c>
      <c r="C26" s="149">
        <v>13</v>
      </c>
      <c r="D26" s="149">
        <v>1</v>
      </c>
      <c r="E26" s="149">
        <v>0</v>
      </c>
      <c r="F26" s="149">
        <v>0</v>
      </c>
    </row>
    <row r="27" spans="1:6">
      <c r="A27" s="12">
        <v>71</v>
      </c>
      <c r="B27" s="152" t="s">
        <v>28</v>
      </c>
      <c r="C27" s="149">
        <v>2</v>
      </c>
      <c r="D27" s="149">
        <v>0</v>
      </c>
      <c r="E27" s="149">
        <v>0</v>
      </c>
      <c r="F27" s="149">
        <v>0</v>
      </c>
    </row>
    <row r="28" spans="1:6">
      <c r="A28" s="12">
        <v>73</v>
      </c>
      <c r="B28" s="124" t="s">
        <v>29</v>
      </c>
      <c r="C28" s="153">
        <v>21</v>
      </c>
      <c r="D28" s="153">
        <v>5</v>
      </c>
      <c r="E28" s="153">
        <v>0</v>
      </c>
      <c r="F28" s="153">
        <v>0</v>
      </c>
    </row>
    <row r="29" spans="1:6">
      <c r="A29" s="12">
        <v>74</v>
      </c>
      <c r="B29" s="124" t="s">
        <v>30</v>
      </c>
      <c r="C29" s="149">
        <v>20</v>
      </c>
      <c r="D29" s="149">
        <v>2</v>
      </c>
      <c r="E29" s="149">
        <v>0</v>
      </c>
      <c r="F29" s="149">
        <v>0</v>
      </c>
    </row>
    <row r="30" spans="1:6">
      <c r="A30" s="12">
        <v>75</v>
      </c>
      <c r="B30" s="124" t="s">
        <v>31</v>
      </c>
      <c r="C30" s="149">
        <v>14</v>
      </c>
      <c r="D30" s="149">
        <v>5</v>
      </c>
      <c r="E30" s="149">
        <v>0</v>
      </c>
      <c r="F30" s="149">
        <v>0</v>
      </c>
    </row>
    <row r="31" spans="1:6">
      <c r="A31" s="12">
        <v>76</v>
      </c>
      <c r="B31" s="124" t="s">
        <v>32</v>
      </c>
      <c r="C31" s="149">
        <v>8</v>
      </c>
      <c r="D31" s="149">
        <v>1</v>
      </c>
      <c r="E31" s="149">
        <v>2</v>
      </c>
      <c r="F31" s="149">
        <v>0</v>
      </c>
    </row>
    <row r="32" spans="1:6">
      <c r="A32" s="12">
        <v>79</v>
      </c>
      <c r="B32" s="124" t="s">
        <v>33</v>
      </c>
      <c r="C32" s="149">
        <v>19</v>
      </c>
      <c r="D32" s="149">
        <v>6</v>
      </c>
      <c r="E32" s="149">
        <v>0</v>
      </c>
      <c r="F32" s="149">
        <v>0</v>
      </c>
    </row>
    <row r="33" spans="1:6">
      <c r="A33" s="12">
        <v>80</v>
      </c>
      <c r="B33" s="124" t="s">
        <v>34</v>
      </c>
      <c r="C33" s="149">
        <v>17</v>
      </c>
      <c r="D33" s="149">
        <v>4</v>
      </c>
      <c r="E33" s="149">
        <v>0</v>
      </c>
      <c r="F33" s="149">
        <v>0</v>
      </c>
    </row>
    <row r="34" spans="1:6">
      <c r="A34" s="12">
        <v>81</v>
      </c>
      <c r="B34" s="124" t="s">
        <v>35</v>
      </c>
      <c r="C34" s="149">
        <v>23</v>
      </c>
      <c r="D34" s="149">
        <v>2</v>
      </c>
      <c r="E34" s="149">
        <v>0</v>
      </c>
      <c r="F34" s="149">
        <v>0</v>
      </c>
    </row>
    <row r="35" spans="1:6">
      <c r="A35" s="12">
        <v>83</v>
      </c>
      <c r="B35" s="124" t="s">
        <v>36</v>
      </c>
      <c r="C35" s="149">
        <v>5</v>
      </c>
      <c r="D35" s="149">
        <v>0</v>
      </c>
      <c r="E35" s="149">
        <v>0</v>
      </c>
      <c r="F35" s="149">
        <v>0</v>
      </c>
    </row>
    <row r="36" spans="1:6">
      <c r="A36" s="12">
        <v>84</v>
      </c>
      <c r="B36" s="124" t="s">
        <v>37</v>
      </c>
      <c r="C36" s="149">
        <v>20</v>
      </c>
      <c r="D36" s="149">
        <v>6</v>
      </c>
      <c r="E36" s="149">
        <v>2</v>
      </c>
      <c r="F36" s="149">
        <v>0</v>
      </c>
    </row>
    <row r="37" spans="1:6">
      <c r="A37" s="12">
        <v>85</v>
      </c>
      <c r="B37" s="124" t="s">
        <v>38</v>
      </c>
      <c r="C37" s="149">
        <v>9</v>
      </c>
      <c r="D37" s="149">
        <v>0</v>
      </c>
      <c r="E37" s="149">
        <v>0</v>
      </c>
      <c r="F37" s="149">
        <v>0</v>
      </c>
    </row>
    <row r="38" spans="1:6">
      <c r="A38" s="12">
        <v>87</v>
      </c>
      <c r="B38" s="124" t="s">
        <v>39</v>
      </c>
      <c r="C38" s="149">
        <v>10</v>
      </c>
      <c r="D38" s="149">
        <v>1</v>
      </c>
      <c r="E38" s="149">
        <v>0</v>
      </c>
      <c r="F38" s="149">
        <v>0</v>
      </c>
    </row>
    <row r="39" spans="1:6">
      <c r="A39" s="12">
        <v>90</v>
      </c>
      <c r="B39" s="124" t="s">
        <v>40</v>
      </c>
      <c r="C39" s="149">
        <v>19</v>
      </c>
      <c r="D39" s="149">
        <v>1</v>
      </c>
      <c r="E39" s="149">
        <v>0</v>
      </c>
      <c r="F39" s="149">
        <v>0</v>
      </c>
    </row>
    <row r="40" spans="1:6">
      <c r="A40" s="12">
        <v>91</v>
      </c>
      <c r="B40" s="124" t="s">
        <v>41</v>
      </c>
      <c r="C40" s="149">
        <v>13</v>
      </c>
      <c r="D40" s="149">
        <v>1</v>
      </c>
      <c r="E40" s="149">
        <v>0</v>
      </c>
      <c r="F40" s="149">
        <v>0</v>
      </c>
    </row>
    <row r="41" spans="1:6">
      <c r="A41" s="12">
        <v>92</v>
      </c>
      <c r="B41" s="124" t="s">
        <v>42</v>
      </c>
      <c r="C41" s="149">
        <v>19</v>
      </c>
      <c r="D41" s="149">
        <v>5</v>
      </c>
      <c r="E41" s="149">
        <v>0</v>
      </c>
      <c r="F41" s="149">
        <v>0</v>
      </c>
    </row>
    <row r="42" spans="1:6">
      <c r="A42" s="12">
        <v>94</v>
      </c>
      <c r="B42" s="124" t="s">
        <v>43</v>
      </c>
      <c r="C42" s="149">
        <v>14</v>
      </c>
      <c r="D42" s="149">
        <v>6</v>
      </c>
      <c r="E42" s="149">
        <v>0</v>
      </c>
      <c r="F42" s="149">
        <v>0</v>
      </c>
    </row>
    <row r="43" spans="1:6">
      <c r="A43" s="12">
        <v>96</v>
      </c>
      <c r="B43" s="124" t="s">
        <v>44</v>
      </c>
      <c r="C43" s="149">
        <v>8</v>
      </c>
      <c r="D43" s="149">
        <v>3</v>
      </c>
      <c r="E43" s="149">
        <v>0</v>
      </c>
      <c r="F43" s="149">
        <v>0</v>
      </c>
    </row>
    <row r="44" spans="1:6">
      <c r="A44" s="12">
        <v>98</v>
      </c>
      <c r="B44" s="124" t="s">
        <v>45</v>
      </c>
      <c r="C44" s="149">
        <v>9</v>
      </c>
      <c r="D44" s="149">
        <v>2</v>
      </c>
      <c r="E44" s="149">
        <v>0</v>
      </c>
      <c r="F44" s="149">
        <v>0</v>
      </c>
    </row>
    <row r="45" spans="1:6">
      <c r="A45" s="12">
        <v>72</v>
      </c>
      <c r="B45" s="152" t="s">
        <v>46</v>
      </c>
      <c r="C45" s="149">
        <v>1</v>
      </c>
      <c r="D45" s="149">
        <v>0</v>
      </c>
      <c r="E45" s="149">
        <v>1</v>
      </c>
      <c r="F45" s="149">
        <v>0</v>
      </c>
    </row>
    <row r="46" spans="1:6" s="154" customFormat="1" ht="26.25" customHeight="1">
      <c r="A46" s="1"/>
      <c r="B46" s="129" t="s">
        <v>47</v>
      </c>
      <c r="C46" s="148">
        <v>342</v>
      </c>
      <c r="D46" s="148">
        <v>75</v>
      </c>
      <c r="E46" s="148">
        <v>7</v>
      </c>
      <c r="F46" s="148">
        <v>0</v>
      </c>
    </row>
    <row r="47" spans="1:6">
      <c r="A47" s="12">
        <v>66</v>
      </c>
      <c r="B47" s="124" t="s">
        <v>48</v>
      </c>
      <c r="C47" s="149">
        <v>34</v>
      </c>
      <c r="D47" s="149">
        <v>8</v>
      </c>
      <c r="E47" s="149">
        <v>1</v>
      </c>
      <c r="F47" s="149">
        <v>0</v>
      </c>
    </row>
    <row r="48" spans="1:6">
      <c r="A48" s="12">
        <v>78</v>
      </c>
      <c r="B48" s="124" t="s">
        <v>49</v>
      </c>
      <c r="C48" s="150">
        <v>18</v>
      </c>
      <c r="D48" s="150">
        <v>2</v>
      </c>
      <c r="E48" s="150">
        <v>1</v>
      </c>
      <c r="F48" s="150">
        <v>0</v>
      </c>
    </row>
    <row r="49" spans="1:6">
      <c r="A49" s="12">
        <v>89</v>
      </c>
      <c r="B49" s="124" t="s">
        <v>50</v>
      </c>
      <c r="C49" s="150">
        <v>28</v>
      </c>
      <c r="D49" s="150">
        <v>0</v>
      </c>
      <c r="E49" s="150">
        <v>0</v>
      </c>
      <c r="F49" s="150">
        <v>0</v>
      </c>
    </row>
    <row r="50" spans="1:6">
      <c r="A50" s="12">
        <v>93</v>
      </c>
      <c r="B50" s="124" t="s">
        <v>51</v>
      </c>
      <c r="C50" s="150">
        <v>8</v>
      </c>
      <c r="D50" s="150">
        <v>3</v>
      </c>
      <c r="E50" s="150">
        <v>0</v>
      </c>
      <c r="F50" s="150">
        <v>0</v>
      </c>
    </row>
    <row r="51" spans="1:6">
      <c r="A51" s="12">
        <v>95</v>
      </c>
      <c r="B51" s="124" t="s">
        <v>52</v>
      </c>
      <c r="C51" s="150">
        <v>29</v>
      </c>
      <c r="D51" s="150">
        <v>8</v>
      </c>
      <c r="E51" s="150">
        <v>1</v>
      </c>
      <c r="F51" s="150">
        <v>0</v>
      </c>
    </row>
    <row r="52" spans="1:6">
      <c r="A52" s="12">
        <v>97</v>
      </c>
      <c r="B52" s="124" t="s">
        <v>53</v>
      </c>
      <c r="C52" s="150">
        <v>29</v>
      </c>
      <c r="D52" s="150">
        <v>4</v>
      </c>
      <c r="E52" s="150">
        <v>0</v>
      </c>
      <c r="F52" s="150">
        <v>0</v>
      </c>
    </row>
    <row r="53" spans="1:6">
      <c r="A53" s="12">
        <v>77</v>
      </c>
      <c r="B53" s="156" t="s">
        <v>54</v>
      </c>
      <c r="C53" s="158">
        <v>196</v>
      </c>
      <c r="D53" s="158">
        <v>50</v>
      </c>
      <c r="E53" s="158">
        <v>4</v>
      </c>
      <c r="F53" s="158">
        <v>0</v>
      </c>
    </row>
    <row r="54" spans="1:6">
      <c r="C54" s="141"/>
      <c r="D54" s="141"/>
      <c r="E54" s="141"/>
      <c r="F54" s="141"/>
    </row>
    <row r="55" spans="1:6">
      <c r="B55" s="12" t="s">
        <v>55</v>
      </c>
    </row>
    <row r="56" spans="1:6" ht="23.25" customHeight="1">
      <c r="B56" s="201" t="s">
        <v>65</v>
      </c>
      <c r="C56" s="202"/>
      <c r="D56" s="202"/>
      <c r="E56" s="202"/>
      <c r="F56" s="202"/>
    </row>
    <row r="57" spans="1:6" ht="15" customHeight="1">
      <c r="B57" s="202"/>
      <c r="C57" s="202"/>
      <c r="D57" s="202"/>
      <c r="E57" s="202"/>
      <c r="F57" s="202"/>
    </row>
    <row r="58" spans="1:6" ht="13.5" customHeight="1">
      <c r="B58" s="202"/>
      <c r="C58" s="202"/>
      <c r="D58" s="202"/>
      <c r="E58" s="202"/>
      <c r="F58" s="202"/>
    </row>
    <row r="59" spans="1:6" ht="12.75" customHeight="1">
      <c r="B59" s="202"/>
      <c r="C59" s="202"/>
      <c r="D59" s="202"/>
      <c r="E59" s="202"/>
      <c r="F59" s="202"/>
    </row>
    <row r="60" spans="1:6" ht="15.75" customHeight="1">
      <c r="B60" s="202"/>
      <c r="C60" s="202"/>
      <c r="D60" s="202"/>
      <c r="E60" s="202"/>
      <c r="F60" s="202"/>
    </row>
    <row r="61" spans="1:6" ht="39" customHeight="1">
      <c r="B61" s="202"/>
      <c r="C61" s="202"/>
      <c r="D61" s="202"/>
      <c r="E61" s="202"/>
      <c r="F61" s="202"/>
    </row>
    <row r="62" spans="1:6" ht="15" customHeight="1">
      <c r="B62" s="57"/>
      <c r="C62" s="57"/>
      <c r="D62" s="57"/>
      <c r="E62" s="57"/>
      <c r="F62" s="57"/>
    </row>
    <row r="63" spans="1:6">
      <c r="B63" s="140" t="s">
        <v>57</v>
      </c>
    </row>
    <row r="65" spans="2:2">
      <c r="B65" s="143"/>
    </row>
  </sheetData>
  <mergeCells count="5">
    <mergeCell ref="B1:F1"/>
    <mergeCell ref="C2:C3"/>
    <mergeCell ref="D2:E2"/>
    <mergeCell ref="F2:F3"/>
    <mergeCell ref="B56:F6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Q68"/>
  <sheetViews>
    <sheetView showGridLines="0" zoomScale="85" workbookViewId="0">
      <pane xSplit="2" ySplit="3" topLeftCell="C4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0" defaultRowHeight="12.75"/>
  <cols>
    <col min="1" max="1" width="5.7109375" style="1" hidden="1" customWidth="1"/>
    <col min="2" max="2" width="28.7109375" style="124" customWidth="1"/>
    <col min="3" max="4" width="20" style="124" customWidth="1"/>
    <col min="5" max="5" width="15.140625" style="124" customWidth="1"/>
    <col min="6" max="6" width="17.7109375" style="124" customWidth="1"/>
    <col min="7" max="7" width="9.140625" style="124" customWidth="1"/>
    <col min="8" max="11" width="16.28515625" style="124" hidden="1" customWidth="1"/>
    <col min="12" max="256" width="0" style="124" hidden="1"/>
    <col min="257" max="257" width="0" style="124" hidden="1" customWidth="1"/>
    <col min="258" max="258" width="28.7109375" style="124" customWidth="1"/>
    <col min="259" max="260" width="20" style="124" customWidth="1"/>
    <col min="261" max="261" width="15.140625" style="124" customWidth="1"/>
    <col min="262" max="262" width="17.7109375" style="124" customWidth="1"/>
    <col min="263" max="263" width="9.140625" style="124" customWidth="1"/>
    <col min="264" max="267" width="0" style="124" hidden="1" customWidth="1"/>
    <col min="268" max="512" width="0" style="124" hidden="1"/>
    <col min="513" max="513" width="0" style="124" hidden="1" customWidth="1"/>
    <col min="514" max="514" width="28.7109375" style="124" customWidth="1"/>
    <col min="515" max="516" width="20" style="124" customWidth="1"/>
    <col min="517" max="517" width="15.140625" style="124" customWidth="1"/>
    <col min="518" max="518" width="17.7109375" style="124" customWidth="1"/>
    <col min="519" max="519" width="9.140625" style="124" customWidth="1"/>
    <col min="520" max="523" width="0" style="124" hidden="1" customWidth="1"/>
    <col min="524" max="768" width="0" style="124" hidden="1"/>
    <col min="769" max="769" width="0" style="124" hidden="1" customWidth="1"/>
    <col min="770" max="770" width="28.7109375" style="124" customWidth="1"/>
    <col min="771" max="772" width="20" style="124" customWidth="1"/>
    <col min="773" max="773" width="15.140625" style="124" customWidth="1"/>
    <col min="774" max="774" width="17.7109375" style="124" customWidth="1"/>
    <col min="775" max="775" width="9.140625" style="124" customWidth="1"/>
    <col min="776" max="779" width="0" style="124" hidden="1" customWidth="1"/>
    <col min="780" max="1024" width="0" style="124" hidden="1"/>
    <col min="1025" max="1025" width="0" style="124" hidden="1" customWidth="1"/>
    <col min="1026" max="1026" width="28.7109375" style="124" customWidth="1"/>
    <col min="1027" max="1028" width="20" style="124" customWidth="1"/>
    <col min="1029" max="1029" width="15.140625" style="124" customWidth="1"/>
    <col min="1030" max="1030" width="17.7109375" style="124" customWidth="1"/>
    <col min="1031" max="1031" width="9.140625" style="124" customWidth="1"/>
    <col min="1032" max="1035" width="0" style="124" hidden="1" customWidth="1"/>
    <col min="1036" max="1280" width="0" style="124" hidden="1"/>
    <col min="1281" max="1281" width="0" style="124" hidden="1" customWidth="1"/>
    <col min="1282" max="1282" width="28.7109375" style="124" customWidth="1"/>
    <col min="1283" max="1284" width="20" style="124" customWidth="1"/>
    <col min="1285" max="1285" width="15.140625" style="124" customWidth="1"/>
    <col min="1286" max="1286" width="17.7109375" style="124" customWidth="1"/>
    <col min="1287" max="1287" width="9.140625" style="124" customWidth="1"/>
    <col min="1288" max="1291" width="0" style="124" hidden="1" customWidth="1"/>
    <col min="1292" max="1536" width="0" style="124" hidden="1"/>
    <col min="1537" max="1537" width="0" style="124" hidden="1" customWidth="1"/>
    <col min="1538" max="1538" width="28.7109375" style="124" customWidth="1"/>
    <col min="1539" max="1540" width="20" style="124" customWidth="1"/>
    <col min="1541" max="1541" width="15.140625" style="124" customWidth="1"/>
    <col min="1542" max="1542" width="17.7109375" style="124" customWidth="1"/>
    <col min="1543" max="1543" width="9.140625" style="124" customWidth="1"/>
    <col min="1544" max="1547" width="0" style="124" hidden="1" customWidth="1"/>
    <col min="1548" max="1792" width="0" style="124" hidden="1"/>
    <col min="1793" max="1793" width="0" style="124" hidden="1" customWidth="1"/>
    <col min="1794" max="1794" width="28.7109375" style="124" customWidth="1"/>
    <col min="1795" max="1796" width="20" style="124" customWidth="1"/>
    <col min="1797" max="1797" width="15.140625" style="124" customWidth="1"/>
    <col min="1798" max="1798" width="17.7109375" style="124" customWidth="1"/>
    <col min="1799" max="1799" width="9.140625" style="124" customWidth="1"/>
    <col min="1800" max="1803" width="0" style="124" hidden="1" customWidth="1"/>
    <col min="1804" max="2048" width="0" style="124" hidden="1"/>
    <col min="2049" max="2049" width="0" style="124" hidden="1" customWidth="1"/>
    <col min="2050" max="2050" width="28.7109375" style="124" customWidth="1"/>
    <col min="2051" max="2052" width="20" style="124" customWidth="1"/>
    <col min="2053" max="2053" width="15.140625" style="124" customWidth="1"/>
    <col min="2054" max="2054" width="17.7109375" style="124" customWidth="1"/>
    <col min="2055" max="2055" width="9.140625" style="124" customWidth="1"/>
    <col min="2056" max="2059" width="0" style="124" hidden="1" customWidth="1"/>
    <col min="2060" max="2304" width="0" style="124" hidden="1"/>
    <col min="2305" max="2305" width="0" style="124" hidden="1" customWidth="1"/>
    <col min="2306" max="2306" width="28.7109375" style="124" customWidth="1"/>
    <col min="2307" max="2308" width="20" style="124" customWidth="1"/>
    <col min="2309" max="2309" width="15.140625" style="124" customWidth="1"/>
    <col min="2310" max="2310" width="17.7109375" style="124" customWidth="1"/>
    <col min="2311" max="2311" width="9.140625" style="124" customWidth="1"/>
    <col min="2312" max="2315" width="0" style="124" hidden="1" customWidth="1"/>
    <col min="2316" max="2560" width="0" style="124" hidden="1"/>
    <col min="2561" max="2561" width="0" style="124" hidden="1" customWidth="1"/>
    <col min="2562" max="2562" width="28.7109375" style="124" customWidth="1"/>
    <col min="2563" max="2564" width="20" style="124" customWidth="1"/>
    <col min="2565" max="2565" width="15.140625" style="124" customWidth="1"/>
    <col min="2566" max="2566" width="17.7109375" style="124" customWidth="1"/>
    <col min="2567" max="2567" width="9.140625" style="124" customWidth="1"/>
    <col min="2568" max="2571" width="0" style="124" hidden="1" customWidth="1"/>
    <col min="2572" max="2816" width="0" style="124" hidden="1"/>
    <col min="2817" max="2817" width="0" style="124" hidden="1" customWidth="1"/>
    <col min="2818" max="2818" width="28.7109375" style="124" customWidth="1"/>
    <col min="2819" max="2820" width="20" style="124" customWidth="1"/>
    <col min="2821" max="2821" width="15.140625" style="124" customWidth="1"/>
    <col min="2822" max="2822" width="17.7109375" style="124" customWidth="1"/>
    <col min="2823" max="2823" width="9.140625" style="124" customWidth="1"/>
    <col min="2824" max="2827" width="0" style="124" hidden="1" customWidth="1"/>
    <col min="2828" max="3072" width="0" style="124" hidden="1"/>
    <col min="3073" max="3073" width="0" style="124" hidden="1" customWidth="1"/>
    <col min="3074" max="3074" width="28.7109375" style="124" customWidth="1"/>
    <col min="3075" max="3076" width="20" style="124" customWidth="1"/>
    <col min="3077" max="3077" width="15.140625" style="124" customWidth="1"/>
    <col min="3078" max="3078" width="17.7109375" style="124" customWidth="1"/>
    <col min="3079" max="3079" width="9.140625" style="124" customWidth="1"/>
    <col min="3080" max="3083" width="0" style="124" hidden="1" customWidth="1"/>
    <col min="3084" max="3328" width="0" style="124" hidden="1"/>
    <col min="3329" max="3329" width="0" style="124" hidden="1" customWidth="1"/>
    <col min="3330" max="3330" width="28.7109375" style="124" customWidth="1"/>
    <col min="3331" max="3332" width="20" style="124" customWidth="1"/>
    <col min="3333" max="3333" width="15.140625" style="124" customWidth="1"/>
    <col min="3334" max="3334" width="17.7109375" style="124" customWidth="1"/>
    <col min="3335" max="3335" width="9.140625" style="124" customWidth="1"/>
    <col min="3336" max="3339" width="0" style="124" hidden="1" customWidth="1"/>
    <col min="3340" max="3584" width="0" style="124" hidden="1"/>
    <col min="3585" max="3585" width="0" style="124" hidden="1" customWidth="1"/>
    <col min="3586" max="3586" width="28.7109375" style="124" customWidth="1"/>
    <col min="3587" max="3588" width="20" style="124" customWidth="1"/>
    <col min="3589" max="3589" width="15.140625" style="124" customWidth="1"/>
    <col min="3590" max="3590" width="17.7109375" style="124" customWidth="1"/>
    <col min="3591" max="3591" width="9.140625" style="124" customWidth="1"/>
    <col min="3592" max="3595" width="0" style="124" hidden="1" customWidth="1"/>
    <col min="3596" max="3840" width="0" style="124" hidden="1"/>
    <col min="3841" max="3841" width="0" style="124" hidden="1" customWidth="1"/>
    <col min="3842" max="3842" width="28.7109375" style="124" customWidth="1"/>
    <col min="3843" max="3844" width="20" style="124" customWidth="1"/>
    <col min="3845" max="3845" width="15.140625" style="124" customWidth="1"/>
    <col min="3846" max="3846" width="17.7109375" style="124" customWidth="1"/>
    <col min="3847" max="3847" width="9.140625" style="124" customWidth="1"/>
    <col min="3848" max="3851" width="0" style="124" hidden="1" customWidth="1"/>
    <col min="3852" max="4096" width="0" style="124" hidden="1"/>
    <col min="4097" max="4097" width="0" style="124" hidden="1" customWidth="1"/>
    <col min="4098" max="4098" width="28.7109375" style="124" customWidth="1"/>
    <col min="4099" max="4100" width="20" style="124" customWidth="1"/>
    <col min="4101" max="4101" width="15.140625" style="124" customWidth="1"/>
    <col min="4102" max="4102" width="17.7109375" style="124" customWidth="1"/>
    <col min="4103" max="4103" width="9.140625" style="124" customWidth="1"/>
    <col min="4104" max="4107" width="0" style="124" hidden="1" customWidth="1"/>
    <col min="4108" max="4352" width="0" style="124" hidden="1"/>
    <col min="4353" max="4353" width="0" style="124" hidden="1" customWidth="1"/>
    <col min="4354" max="4354" width="28.7109375" style="124" customWidth="1"/>
    <col min="4355" max="4356" width="20" style="124" customWidth="1"/>
    <col min="4357" max="4357" width="15.140625" style="124" customWidth="1"/>
    <col min="4358" max="4358" width="17.7109375" style="124" customWidth="1"/>
    <col min="4359" max="4359" width="9.140625" style="124" customWidth="1"/>
    <col min="4360" max="4363" width="0" style="124" hidden="1" customWidth="1"/>
    <col min="4364" max="4608" width="0" style="124" hidden="1"/>
    <col min="4609" max="4609" width="0" style="124" hidden="1" customWidth="1"/>
    <col min="4610" max="4610" width="28.7109375" style="124" customWidth="1"/>
    <col min="4611" max="4612" width="20" style="124" customWidth="1"/>
    <col min="4613" max="4613" width="15.140625" style="124" customWidth="1"/>
    <col min="4614" max="4614" width="17.7109375" style="124" customWidth="1"/>
    <col min="4615" max="4615" width="9.140625" style="124" customWidth="1"/>
    <col min="4616" max="4619" width="0" style="124" hidden="1" customWidth="1"/>
    <col min="4620" max="4864" width="0" style="124" hidden="1"/>
    <col min="4865" max="4865" width="0" style="124" hidden="1" customWidth="1"/>
    <col min="4866" max="4866" width="28.7109375" style="124" customWidth="1"/>
    <col min="4867" max="4868" width="20" style="124" customWidth="1"/>
    <col min="4869" max="4869" width="15.140625" style="124" customWidth="1"/>
    <col min="4870" max="4870" width="17.7109375" style="124" customWidth="1"/>
    <col min="4871" max="4871" width="9.140625" style="124" customWidth="1"/>
    <col min="4872" max="4875" width="0" style="124" hidden="1" customWidth="1"/>
    <col min="4876" max="5120" width="0" style="124" hidden="1"/>
    <col min="5121" max="5121" width="0" style="124" hidden="1" customWidth="1"/>
    <col min="5122" max="5122" width="28.7109375" style="124" customWidth="1"/>
    <col min="5123" max="5124" width="20" style="124" customWidth="1"/>
    <col min="5125" max="5125" width="15.140625" style="124" customWidth="1"/>
    <col min="5126" max="5126" width="17.7109375" style="124" customWidth="1"/>
    <col min="5127" max="5127" width="9.140625" style="124" customWidth="1"/>
    <col min="5128" max="5131" width="0" style="124" hidden="1" customWidth="1"/>
    <col min="5132" max="5376" width="0" style="124" hidden="1"/>
    <col min="5377" max="5377" width="0" style="124" hidden="1" customWidth="1"/>
    <col min="5378" max="5378" width="28.7109375" style="124" customWidth="1"/>
    <col min="5379" max="5380" width="20" style="124" customWidth="1"/>
    <col min="5381" max="5381" width="15.140625" style="124" customWidth="1"/>
    <col min="5382" max="5382" width="17.7109375" style="124" customWidth="1"/>
    <col min="5383" max="5383" width="9.140625" style="124" customWidth="1"/>
    <col min="5384" max="5387" width="0" style="124" hidden="1" customWidth="1"/>
    <col min="5388" max="5632" width="0" style="124" hidden="1"/>
    <col min="5633" max="5633" width="0" style="124" hidden="1" customWidth="1"/>
    <col min="5634" max="5634" width="28.7109375" style="124" customWidth="1"/>
    <col min="5635" max="5636" width="20" style="124" customWidth="1"/>
    <col min="5637" max="5637" width="15.140625" style="124" customWidth="1"/>
    <col min="5638" max="5638" width="17.7109375" style="124" customWidth="1"/>
    <col min="5639" max="5639" width="9.140625" style="124" customWidth="1"/>
    <col min="5640" max="5643" width="0" style="124" hidden="1" customWidth="1"/>
    <col min="5644" max="5888" width="0" style="124" hidden="1"/>
    <col min="5889" max="5889" width="0" style="124" hidden="1" customWidth="1"/>
    <col min="5890" max="5890" width="28.7109375" style="124" customWidth="1"/>
    <col min="5891" max="5892" width="20" style="124" customWidth="1"/>
    <col min="5893" max="5893" width="15.140625" style="124" customWidth="1"/>
    <col min="5894" max="5894" width="17.7109375" style="124" customWidth="1"/>
    <col min="5895" max="5895" width="9.140625" style="124" customWidth="1"/>
    <col min="5896" max="5899" width="0" style="124" hidden="1" customWidth="1"/>
    <col min="5900" max="6144" width="0" style="124" hidden="1"/>
    <col min="6145" max="6145" width="0" style="124" hidden="1" customWidth="1"/>
    <col min="6146" max="6146" width="28.7109375" style="124" customWidth="1"/>
    <col min="6147" max="6148" width="20" style="124" customWidth="1"/>
    <col min="6149" max="6149" width="15.140625" style="124" customWidth="1"/>
    <col min="6150" max="6150" width="17.7109375" style="124" customWidth="1"/>
    <col min="6151" max="6151" width="9.140625" style="124" customWidth="1"/>
    <col min="6152" max="6155" width="0" style="124" hidden="1" customWidth="1"/>
    <col min="6156" max="6400" width="0" style="124" hidden="1"/>
    <col min="6401" max="6401" width="0" style="124" hidden="1" customWidth="1"/>
    <col min="6402" max="6402" width="28.7109375" style="124" customWidth="1"/>
    <col min="6403" max="6404" width="20" style="124" customWidth="1"/>
    <col min="6405" max="6405" width="15.140625" style="124" customWidth="1"/>
    <col min="6406" max="6406" width="17.7109375" style="124" customWidth="1"/>
    <col min="6407" max="6407" width="9.140625" style="124" customWidth="1"/>
    <col min="6408" max="6411" width="0" style="124" hidden="1" customWidth="1"/>
    <col min="6412" max="6656" width="0" style="124" hidden="1"/>
    <col min="6657" max="6657" width="0" style="124" hidden="1" customWidth="1"/>
    <col min="6658" max="6658" width="28.7109375" style="124" customWidth="1"/>
    <col min="6659" max="6660" width="20" style="124" customWidth="1"/>
    <col min="6661" max="6661" width="15.140625" style="124" customWidth="1"/>
    <col min="6662" max="6662" width="17.7109375" style="124" customWidth="1"/>
    <col min="6663" max="6663" width="9.140625" style="124" customWidth="1"/>
    <col min="6664" max="6667" width="0" style="124" hidden="1" customWidth="1"/>
    <col min="6668" max="6912" width="0" style="124" hidden="1"/>
    <col min="6913" max="6913" width="0" style="124" hidden="1" customWidth="1"/>
    <col min="6914" max="6914" width="28.7109375" style="124" customWidth="1"/>
    <col min="6915" max="6916" width="20" style="124" customWidth="1"/>
    <col min="6917" max="6917" width="15.140625" style="124" customWidth="1"/>
    <col min="6918" max="6918" width="17.7109375" style="124" customWidth="1"/>
    <col min="6919" max="6919" width="9.140625" style="124" customWidth="1"/>
    <col min="6920" max="6923" width="0" style="124" hidden="1" customWidth="1"/>
    <col min="6924" max="7168" width="0" style="124" hidden="1"/>
    <col min="7169" max="7169" width="0" style="124" hidden="1" customWidth="1"/>
    <col min="7170" max="7170" width="28.7109375" style="124" customWidth="1"/>
    <col min="7171" max="7172" width="20" style="124" customWidth="1"/>
    <col min="7173" max="7173" width="15.140625" style="124" customWidth="1"/>
    <col min="7174" max="7174" width="17.7109375" style="124" customWidth="1"/>
    <col min="7175" max="7175" width="9.140625" style="124" customWidth="1"/>
    <col min="7176" max="7179" width="0" style="124" hidden="1" customWidth="1"/>
    <col min="7180" max="7424" width="0" style="124" hidden="1"/>
    <col min="7425" max="7425" width="0" style="124" hidden="1" customWidth="1"/>
    <col min="7426" max="7426" width="28.7109375" style="124" customWidth="1"/>
    <col min="7427" max="7428" width="20" style="124" customWidth="1"/>
    <col min="7429" max="7429" width="15.140625" style="124" customWidth="1"/>
    <col min="7430" max="7430" width="17.7109375" style="124" customWidth="1"/>
    <col min="7431" max="7431" width="9.140625" style="124" customWidth="1"/>
    <col min="7432" max="7435" width="0" style="124" hidden="1" customWidth="1"/>
    <col min="7436" max="7680" width="0" style="124" hidden="1"/>
    <col min="7681" max="7681" width="0" style="124" hidden="1" customWidth="1"/>
    <col min="7682" max="7682" width="28.7109375" style="124" customWidth="1"/>
    <col min="7683" max="7684" width="20" style="124" customWidth="1"/>
    <col min="7685" max="7685" width="15.140625" style="124" customWidth="1"/>
    <col min="7686" max="7686" width="17.7109375" style="124" customWidth="1"/>
    <col min="7687" max="7687" width="9.140625" style="124" customWidth="1"/>
    <col min="7688" max="7691" width="0" style="124" hidden="1" customWidth="1"/>
    <col min="7692" max="7936" width="0" style="124" hidden="1"/>
    <col min="7937" max="7937" width="0" style="124" hidden="1" customWidth="1"/>
    <col min="7938" max="7938" width="28.7109375" style="124" customWidth="1"/>
    <col min="7939" max="7940" width="20" style="124" customWidth="1"/>
    <col min="7941" max="7941" width="15.140625" style="124" customWidth="1"/>
    <col min="7942" max="7942" width="17.7109375" style="124" customWidth="1"/>
    <col min="7943" max="7943" width="9.140625" style="124" customWidth="1"/>
    <col min="7944" max="7947" width="0" style="124" hidden="1" customWidth="1"/>
    <col min="7948" max="8192" width="0" style="124" hidden="1"/>
    <col min="8193" max="8193" width="0" style="124" hidden="1" customWidth="1"/>
    <col min="8194" max="8194" width="28.7109375" style="124" customWidth="1"/>
    <col min="8195" max="8196" width="20" style="124" customWidth="1"/>
    <col min="8197" max="8197" width="15.140625" style="124" customWidth="1"/>
    <col min="8198" max="8198" width="17.7109375" style="124" customWidth="1"/>
    <col min="8199" max="8199" width="9.140625" style="124" customWidth="1"/>
    <col min="8200" max="8203" width="0" style="124" hidden="1" customWidth="1"/>
    <col min="8204" max="8448" width="0" style="124" hidden="1"/>
    <col min="8449" max="8449" width="0" style="124" hidden="1" customWidth="1"/>
    <col min="8450" max="8450" width="28.7109375" style="124" customWidth="1"/>
    <col min="8451" max="8452" width="20" style="124" customWidth="1"/>
    <col min="8453" max="8453" width="15.140625" style="124" customWidth="1"/>
    <col min="8454" max="8454" width="17.7109375" style="124" customWidth="1"/>
    <col min="8455" max="8455" width="9.140625" style="124" customWidth="1"/>
    <col min="8456" max="8459" width="0" style="124" hidden="1" customWidth="1"/>
    <col min="8460" max="8704" width="0" style="124" hidden="1"/>
    <col min="8705" max="8705" width="0" style="124" hidden="1" customWidth="1"/>
    <col min="8706" max="8706" width="28.7109375" style="124" customWidth="1"/>
    <col min="8707" max="8708" width="20" style="124" customWidth="1"/>
    <col min="8709" max="8709" width="15.140625" style="124" customWidth="1"/>
    <col min="8710" max="8710" width="17.7109375" style="124" customWidth="1"/>
    <col min="8711" max="8711" width="9.140625" style="124" customWidth="1"/>
    <col min="8712" max="8715" width="0" style="124" hidden="1" customWidth="1"/>
    <col min="8716" max="8960" width="0" style="124" hidden="1"/>
    <col min="8961" max="8961" width="0" style="124" hidden="1" customWidth="1"/>
    <col min="8962" max="8962" width="28.7109375" style="124" customWidth="1"/>
    <col min="8963" max="8964" width="20" style="124" customWidth="1"/>
    <col min="8965" max="8965" width="15.140625" style="124" customWidth="1"/>
    <col min="8966" max="8966" width="17.7109375" style="124" customWidth="1"/>
    <col min="8967" max="8967" width="9.140625" style="124" customWidth="1"/>
    <col min="8968" max="8971" width="0" style="124" hidden="1" customWidth="1"/>
    <col min="8972" max="9216" width="0" style="124" hidden="1"/>
    <col min="9217" max="9217" width="0" style="124" hidden="1" customWidth="1"/>
    <col min="9218" max="9218" width="28.7109375" style="124" customWidth="1"/>
    <col min="9219" max="9220" width="20" style="124" customWidth="1"/>
    <col min="9221" max="9221" width="15.140625" style="124" customWidth="1"/>
    <col min="9222" max="9222" width="17.7109375" style="124" customWidth="1"/>
    <col min="9223" max="9223" width="9.140625" style="124" customWidth="1"/>
    <col min="9224" max="9227" width="0" style="124" hidden="1" customWidth="1"/>
    <col min="9228" max="9472" width="0" style="124" hidden="1"/>
    <col min="9473" max="9473" width="0" style="124" hidden="1" customWidth="1"/>
    <col min="9474" max="9474" width="28.7109375" style="124" customWidth="1"/>
    <col min="9475" max="9476" width="20" style="124" customWidth="1"/>
    <col min="9477" max="9477" width="15.140625" style="124" customWidth="1"/>
    <col min="9478" max="9478" width="17.7109375" style="124" customWidth="1"/>
    <col min="9479" max="9479" width="9.140625" style="124" customWidth="1"/>
    <col min="9480" max="9483" width="0" style="124" hidden="1" customWidth="1"/>
    <col min="9484" max="9728" width="0" style="124" hidden="1"/>
    <col min="9729" max="9729" width="0" style="124" hidden="1" customWidth="1"/>
    <col min="9730" max="9730" width="28.7109375" style="124" customWidth="1"/>
    <col min="9731" max="9732" width="20" style="124" customWidth="1"/>
    <col min="9733" max="9733" width="15.140625" style="124" customWidth="1"/>
    <col min="9734" max="9734" width="17.7109375" style="124" customWidth="1"/>
    <col min="9735" max="9735" width="9.140625" style="124" customWidth="1"/>
    <col min="9736" max="9739" width="0" style="124" hidden="1" customWidth="1"/>
    <col min="9740" max="9984" width="0" style="124" hidden="1"/>
    <col min="9985" max="9985" width="0" style="124" hidden="1" customWidth="1"/>
    <col min="9986" max="9986" width="28.7109375" style="124" customWidth="1"/>
    <col min="9987" max="9988" width="20" style="124" customWidth="1"/>
    <col min="9989" max="9989" width="15.140625" style="124" customWidth="1"/>
    <col min="9990" max="9990" width="17.7109375" style="124" customWidth="1"/>
    <col min="9991" max="9991" width="9.140625" style="124" customWidth="1"/>
    <col min="9992" max="9995" width="0" style="124" hidden="1" customWidth="1"/>
    <col min="9996" max="10240" width="0" style="124" hidden="1"/>
    <col min="10241" max="10241" width="0" style="124" hidden="1" customWidth="1"/>
    <col min="10242" max="10242" width="28.7109375" style="124" customWidth="1"/>
    <col min="10243" max="10244" width="20" style="124" customWidth="1"/>
    <col min="10245" max="10245" width="15.140625" style="124" customWidth="1"/>
    <col min="10246" max="10246" width="17.7109375" style="124" customWidth="1"/>
    <col min="10247" max="10247" width="9.140625" style="124" customWidth="1"/>
    <col min="10248" max="10251" width="0" style="124" hidden="1" customWidth="1"/>
    <col min="10252" max="10496" width="0" style="124" hidden="1"/>
    <col min="10497" max="10497" width="0" style="124" hidden="1" customWidth="1"/>
    <col min="10498" max="10498" width="28.7109375" style="124" customWidth="1"/>
    <col min="10499" max="10500" width="20" style="124" customWidth="1"/>
    <col min="10501" max="10501" width="15.140625" style="124" customWidth="1"/>
    <col min="10502" max="10502" width="17.7109375" style="124" customWidth="1"/>
    <col min="10503" max="10503" width="9.140625" style="124" customWidth="1"/>
    <col min="10504" max="10507" width="0" style="124" hidden="1" customWidth="1"/>
    <col min="10508" max="10752" width="0" style="124" hidden="1"/>
    <col min="10753" max="10753" width="0" style="124" hidden="1" customWidth="1"/>
    <col min="10754" max="10754" width="28.7109375" style="124" customWidth="1"/>
    <col min="10755" max="10756" width="20" style="124" customWidth="1"/>
    <col min="10757" max="10757" width="15.140625" style="124" customWidth="1"/>
    <col min="10758" max="10758" width="17.7109375" style="124" customWidth="1"/>
    <col min="10759" max="10759" width="9.140625" style="124" customWidth="1"/>
    <col min="10760" max="10763" width="0" style="124" hidden="1" customWidth="1"/>
    <col min="10764" max="11008" width="0" style="124" hidden="1"/>
    <col min="11009" max="11009" width="0" style="124" hidden="1" customWidth="1"/>
    <col min="11010" max="11010" width="28.7109375" style="124" customWidth="1"/>
    <col min="11011" max="11012" width="20" style="124" customWidth="1"/>
    <col min="11013" max="11013" width="15.140625" style="124" customWidth="1"/>
    <col min="11014" max="11014" width="17.7109375" style="124" customWidth="1"/>
    <col min="11015" max="11015" width="9.140625" style="124" customWidth="1"/>
    <col min="11016" max="11019" width="0" style="124" hidden="1" customWidth="1"/>
    <col min="11020" max="11264" width="0" style="124" hidden="1"/>
    <col min="11265" max="11265" width="0" style="124" hidden="1" customWidth="1"/>
    <col min="11266" max="11266" width="28.7109375" style="124" customWidth="1"/>
    <col min="11267" max="11268" width="20" style="124" customWidth="1"/>
    <col min="11269" max="11269" width="15.140625" style="124" customWidth="1"/>
    <col min="11270" max="11270" width="17.7109375" style="124" customWidth="1"/>
    <col min="11271" max="11271" width="9.140625" style="124" customWidth="1"/>
    <col min="11272" max="11275" width="0" style="124" hidden="1" customWidth="1"/>
    <col min="11276" max="11520" width="0" style="124" hidden="1"/>
    <col min="11521" max="11521" width="0" style="124" hidden="1" customWidth="1"/>
    <col min="11522" max="11522" width="28.7109375" style="124" customWidth="1"/>
    <col min="11523" max="11524" width="20" style="124" customWidth="1"/>
    <col min="11525" max="11525" width="15.140625" style="124" customWidth="1"/>
    <col min="11526" max="11526" width="17.7109375" style="124" customWidth="1"/>
    <col min="11527" max="11527" width="9.140625" style="124" customWidth="1"/>
    <col min="11528" max="11531" width="0" style="124" hidden="1" customWidth="1"/>
    <col min="11532" max="11776" width="0" style="124" hidden="1"/>
    <col min="11777" max="11777" width="0" style="124" hidden="1" customWidth="1"/>
    <col min="11778" max="11778" width="28.7109375" style="124" customWidth="1"/>
    <col min="11779" max="11780" width="20" style="124" customWidth="1"/>
    <col min="11781" max="11781" width="15.140625" style="124" customWidth="1"/>
    <col min="11782" max="11782" width="17.7109375" style="124" customWidth="1"/>
    <col min="11783" max="11783" width="9.140625" style="124" customWidth="1"/>
    <col min="11784" max="11787" width="0" style="124" hidden="1" customWidth="1"/>
    <col min="11788" max="12032" width="0" style="124" hidden="1"/>
    <col min="12033" max="12033" width="0" style="124" hidden="1" customWidth="1"/>
    <col min="12034" max="12034" width="28.7109375" style="124" customWidth="1"/>
    <col min="12035" max="12036" width="20" style="124" customWidth="1"/>
    <col min="12037" max="12037" width="15.140625" style="124" customWidth="1"/>
    <col min="12038" max="12038" width="17.7109375" style="124" customWidth="1"/>
    <col min="12039" max="12039" width="9.140625" style="124" customWidth="1"/>
    <col min="12040" max="12043" width="0" style="124" hidden="1" customWidth="1"/>
    <col min="12044" max="12288" width="0" style="124" hidden="1"/>
    <col min="12289" max="12289" width="0" style="124" hidden="1" customWidth="1"/>
    <col min="12290" max="12290" width="28.7109375" style="124" customWidth="1"/>
    <col min="12291" max="12292" width="20" style="124" customWidth="1"/>
    <col min="12293" max="12293" width="15.140625" style="124" customWidth="1"/>
    <col min="12294" max="12294" width="17.7109375" style="124" customWidth="1"/>
    <col min="12295" max="12295" width="9.140625" style="124" customWidth="1"/>
    <col min="12296" max="12299" width="0" style="124" hidden="1" customWidth="1"/>
    <col min="12300" max="12544" width="0" style="124" hidden="1"/>
    <col min="12545" max="12545" width="0" style="124" hidden="1" customWidth="1"/>
    <col min="12546" max="12546" width="28.7109375" style="124" customWidth="1"/>
    <col min="12547" max="12548" width="20" style="124" customWidth="1"/>
    <col min="12549" max="12549" width="15.140625" style="124" customWidth="1"/>
    <col min="12550" max="12550" width="17.7109375" style="124" customWidth="1"/>
    <col min="12551" max="12551" width="9.140625" style="124" customWidth="1"/>
    <col min="12552" max="12555" width="0" style="124" hidden="1" customWidth="1"/>
    <col min="12556" max="12800" width="0" style="124" hidden="1"/>
    <col min="12801" max="12801" width="0" style="124" hidden="1" customWidth="1"/>
    <col min="12802" max="12802" width="28.7109375" style="124" customWidth="1"/>
    <col min="12803" max="12804" width="20" style="124" customWidth="1"/>
    <col min="12805" max="12805" width="15.140625" style="124" customWidth="1"/>
    <col min="12806" max="12806" width="17.7109375" style="124" customWidth="1"/>
    <col min="12807" max="12807" width="9.140625" style="124" customWidth="1"/>
    <col min="12808" max="12811" width="0" style="124" hidden="1" customWidth="1"/>
    <col min="12812" max="13056" width="0" style="124" hidden="1"/>
    <col min="13057" max="13057" width="0" style="124" hidden="1" customWidth="1"/>
    <col min="13058" max="13058" width="28.7109375" style="124" customWidth="1"/>
    <col min="13059" max="13060" width="20" style="124" customWidth="1"/>
    <col min="13061" max="13061" width="15.140625" style="124" customWidth="1"/>
    <col min="13062" max="13062" width="17.7109375" style="124" customWidth="1"/>
    <col min="13063" max="13063" width="9.140625" style="124" customWidth="1"/>
    <col min="13064" max="13067" width="0" style="124" hidden="1" customWidth="1"/>
    <col min="13068" max="13312" width="0" style="124" hidden="1"/>
    <col min="13313" max="13313" width="0" style="124" hidden="1" customWidth="1"/>
    <col min="13314" max="13314" width="28.7109375" style="124" customWidth="1"/>
    <col min="13315" max="13316" width="20" style="124" customWidth="1"/>
    <col min="13317" max="13317" width="15.140625" style="124" customWidth="1"/>
    <col min="13318" max="13318" width="17.7109375" style="124" customWidth="1"/>
    <col min="13319" max="13319" width="9.140625" style="124" customWidth="1"/>
    <col min="13320" max="13323" width="0" style="124" hidden="1" customWidth="1"/>
    <col min="13324" max="13568" width="0" style="124" hidden="1"/>
    <col min="13569" max="13569" width="0" style="124" hidden="1" customWidth="1"/>
    <col min="13570" max="13570" width="28.7109375" style="124" customWidth="1"/>
    <col min="13571" max="13572" width="20" style="124" customWidth="1"/>
    <col min="13573" max="13573" width="15.140625" style="124" customWidth="1"/>
    <col min="13574" max="13574" width="17.7109375" style="124" customWidth="1"/>
    <col min="13575" max="13575" width="9.140625" style="124" customWidth="1"/>
    <col min="13576" max="13579" width="0" style="124" hidden="1" customWidth="1"/>
    <col min="13580" max="13824" width="0" style="124" hidden="1"/>
    <col min="13825" max="13825" width="0" style="124" hidden="1" customWidth="1"/>
    <col min="13826" max="13826" width="28.7109375" style="124" customWidth="1"/>
    <col min="13827" max="13828" width="20" style="124" customWidth="1"/>
    <col min="13829" max="13829" width="15.140625" style="124" customWidth="1"/>
    <col min="13830" max="13830" width="17.7109375" style="124" customWidth="1"/>
    <col min="13831" max="13831" width="9.140625" style="124" customWidth="1"/>
    <col min="13832" max="13835" width="0" style="124" hidden="1" customWidth="1"/>
    <col min="13836" max="14080" width="0" style="124" hidden="1"/>
    <col min="14081" max="14081" width="0" style="124" hidden="1" customWidth="1"/>
    <col min="14082" max="14082" width="28.7109375" style="124" customWidth="1"/>
    <col min="14083" max="14084" width="20" style="124" customWidth="1"/>
    <col min="14085" max="14085" width="15.140625" style="124" customWidth="1"/>
    <col min="14086" max="14086" width="17.7109375" style="124" customWidth="1"/>
    <col min="14087" max="14087" width="9.140625" style="124" customWidth="1"/>
    <col min="14088" max="14091" width="0" style="124" hidden="1" customWidth="1"/>
    <col min="14092" max="14336" width="0" style="124" hidden="1"/>
    <col min="14337" max="14337" width="0" style="124" hidden="1" customWidth="1"/>
    <col min="14338" max="14338" width="28.7109375" style="124" customWidth="1"/>
    <col min="14339" max="14340" width="20" style="124" customWidth="1"/>
    <col min="14341" max="14341" width="15.140625" style="124" customWidth="1"/>
    <col min="14342" max="14342" width="17.7109375" style="124" customWidth="1"/>
    <col min="14343" max="14343" width="9.140625" style="124" customWidth="1"/>
    <col min="14344" max="14347" width="0" style="124" hidden="1" customWidth="1"/>
    <col min="14348" max="14592" width="0" style="124" hidden="1"/>
    <col min="14593" max="14593" width="0" style="124" hidden="1" customWidth="1"/>
    <col min="14594" max="14594" width="28.7109375" style="124" customWidth="1"/>
    <col min="14595" max="14596" width="20" style="124" customWidth="1"/>
    <col min="14597" max="14597" width="15.140625" style="124" customWidth="1"/>
    <col min="14598" max="14598" width="17.7109375" style="124" customWidth="1"/>
    <col min="14599" max="14599" width="9.140625" style="124" customWidth="1"/>
    <col min="14600" max="14603" width="0" style="124" hidden="1" customWidth="1"/>
    <col min="14604" max="14848" width="0" style="124" hidden="1"/>
    <col min="14849" max="14849" width="0" style="124" hidden="1" customWidth="1"/>
    <col min="14850" max="14850" width="28.7109375" style="124" customWidth="1"/>
    <col min="14851" max="14852" width="20" style="124" customWidth="1"/>
    <col min="14853" max="14853" width="15.140625" style="124" customWidth="1"/>
    <col min="14854" max="14854" width="17.7109375" style="124" customWidth="1"/>
    <col min="14855" max="14855" width="9.140625" style="124" customWidth="1"/>
    <col min="14856" max="14859" width="0" style="124" hidden="1" customWidth="1"/>
    <col min="14860" max="15104" width="0" style="124" hidden="1"/>
    <col min="15105" max="15105" width="0" style="124" hidden="1" customWidth="1"/>
    <col min="15106" max="15106" width="28.7109375" style="124" customWidth="1"/>
    <col min="15107" max="15108" width="20" style="124" customWidth="1"/>
    <col min="15109" max="15109" width="15.140625" style="124" customWidth="1"/>
    <col min="15110" max="15110" width="17.7109375" style="124" customWidth="1"/>
    <col min="15111" max="15111" width="9.140625" style="124" customWidth="1"/>
    <col min="15112" max="15115" width="0" style="124" hidden="1" customWidth="1"/>
    <col min="15116" max="15360" width="0" style="124" hidden="1"/>
    <col min="15361" max="15361" width="0" style="124" hidden="1" customWidth="1"/>
    <col min="15362" max="15362" width="28.7109375" style="124" customWidth="1"/>
    <col min="15363" max="15364" width="20" style="124" customWidth="1"/>
    <col min="15365" max="15365" width="15.140625" style="124" customWidth="1"/>
    <col min="15366" max="15366" width="17.7109375" style="124" customWidth="1"/>
    <col min="15367" max="15367" width="9.140625" style="124" customWidth="1"/>
    <col min="15368" max="15371" width="0" style="124" hidden="1" customWidth="1"/>
    <col min="15372" max="15616" width="0" style="124" hidden="1"/>
    <col min="15617" max="15617" width="0" style="124" hidden="1" customWidth="1"/>
    <col min="15618" max="15618" width="28.7109375" style="124" customWidth="1"/>
    <col min="15619" max="15620" width="20" style="124" customWidth="1"/>
    <col min="15621" max="15621" width="15.140625" style="124" customWidth="1"/>
    <col min="15622" max="15622" width="17.7109375" style="124" customWidth="1"/>
    <col min="15623" max="15623" width="9.140625" style="124" customWidth="1"/>
    <col min="15624" max="15627" width="0" style="124" hidden="1" customWidth="1"/>
    <col min="15628" max="15872" width="0" style="124" hidden="1"/>
    <col min="15873" max="15873" width="0" style="124" hidden="1" customWidth="1"/>
    <col min="15874" max="15874" width="28.7109375" style="124" customWidth="1"/>
    <col min="15875" max="15876" width="20" style="124" customWidth="1"/>
    <col min="15877" max="15877" width="15.140625" style="124" customWidth="1"/>
    <col min="15878" max="15878" width="17.7109375" style="124" customWidth="1"/>
    <col min="15879" max="15879" width="9.140625" style="124" customWidth="1"/>
    <col min="15880" max="15883" width="0" style="124" hidden="1" customWidth="1"/>
    <col min="15884" max="16128" width="0" style="124" hidden="1"/>
    <col min="16129" max="16129" width="0" style="124" hidden="1" customWidth="1"/>
    <col min="16130" max="16130" width="28.7109375" style="124" customWidth="1"/>
    <col min="16131" max="16132" width="20" style="124" customWidth="1"/>
    <col min="16133" max="16133" width="15.140625" style="124" customWidth="1"/>
    <col min="16134" max="16134" width="17.7109375" style="124" customWidth="1"/>
    <col min="16135" max="16135" width="9.140625" style="124" customWidth="1"/>
    <col min="16136" max="16139" width="0" style="124" hidden="1" customWidth="1"/>
    <col min="16140" max="16384" width="0" style="124" hidden="1"/>
  </cols>
  <sheetData>
    <row r="1" spans="1:17" ht="60" customHeight="1">
      <c r="B1" s="222" t="s">
        <v>95</v>
      </c>
      <c r="C1" s="223"/>
      <c r="D1" s="223"/>
      <c r="E1" s="223"/>
      <c r="F1" s="224"/>
    </row>
    <row r="2" spans="1:17" ht="14.25">
      <c r="B2" s="197"/>
      <c r="C2" s="198" t="s">
        <v>1</v>
      </c>
      <c r="D2" s="200" t="s">
        <v>2</v>
      </c>
      <c r="E2" s="200"/>
      <c r="H2" s="198"/>
      <c r="I2" s="200"/>
      <c r="J2" s="200"/>
    </row>
    <row r="3" spans="1:17" ht="27" customHeight="1">
      <c r="A3" s="4"/>
      <c r="B3" s="197"/>
      <c r="C3" s="199"/>
      <c r="D3" s="125" t="s">
        <v>3</v>
      </c>
      <c r="E3" s="125" t="s">
        <v>4</v>
      </c>
      <c r="F3" s="125" t="s">
        <v>5</v>
      </c>
      <c r="H3" s="199"/>
      <c r="I3" s="125"/>
      <c r="J3" s="125"/>
      <c r="K3" s="125"/>
    </row>
    <row r="4" spans="1:17" ht="24" customHeight="1">
      <c r="A4" s="4"/>
      <c r="B4" s="126" t="s">
        <v>6</v>
      </c>
      <c r="C4" s="127">
        <v>3228</v>
      </c>
      <c r="D4" s="127">
        <v>521</v>
      </c>
      <c r="E4" s="127">
        <v>74</v>
      </c>
      <c r="F4" s="127">
        <v>1</v>
      </c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7" s="129" customFormat="1" ht="25.5" customHeight="1">
      <c r="A5" s="9"/>
      <c r="B5" s="128" t="s">
        <v>7</v>
      </c>
      <c r="C5" s="127">
        <v>2123</v>
      </c>
      <c r="D5" s="127">
        <v>372</v>
      </c>
      <c r="E5" s="127">
        <v>56</v>
      </c>
      <c r="F5" s="127">
        <v>1</v>
      </c>
      <c r="H5" s="164"/>
      <c r="I5" s="164"/>
      <c r="J5" s="164"/>
      <c r="K5" s="164"/>
      <c r="L5" s="164"/>
      <c r="M5" s="164"/>
      <c r="N5" s="164"/>
      <c r="O5" s="164"/>
      <c r="P5" s="164"/>
      <c r="Q5" s="164"/>
    </row>
    <row r="6" spans="1:17" ht="12.75" customHeight="1">
      <c r="A6" s="12">
        <v>51</v>
      </c>
      <c r="B6" s="130" t="s">
        <v>8</v>
      </c>
      <c r="C6" s="165">
        <v>80</v>
      </c>
      <c r="D6" s="165">
        <v>12</v>
      </c>
      <c r="E6" s="165">
        <v>2</v>
      </c>
      <c r="F6" s="165">
        <v>0</v>
      </c>
      <c r="H6" s="164"/>
      <c r="I6" s="164"/>
      <c r="J6" s="164"/>
      <c r="K6" s="164"/>
      <c r="L6" s="164"/>
      <c r="M6" s="164"/>
      <c r="N6" s="164"/>
      <c r="O6" s="164"/>
      <c r="P6" s="164"/>
      <c r="Q6" s="164"/>
    </row>
    <row r="7" spans="1:17" ht="12.75" customHeight="1">
      <c r="A7" s="12">
        <v>52</v>
      </c>
      <c r="B7" s="130" t="s">
        <v>9</v>
      </c>
      <c r="C7" s="165">
        <v>63</v>
      </c>
      <c r="D7" s="165">
        <v>10</v>
      </c>
      <c r="E7" s="165">
        <v>1</v>
      </c>
      <c r="F7" s="165">
        <v>0</v>
      </c>
      <c r="H7" s="164"/>
      <c r="I7" s="164"/>
      <c r="J7" s="164"/>
      <c r="K7" s="164"/>
      <c r="L7" s="164"/>
      <c r="M7" s="164"/>
      <c r="N7" s="164"/>
      <c r="O7" s="164"/>
      <c r="P7" s="164"/>
      <c r="Q7" s="164"/>
    </row>
    <row r="8" spans="1:17">
      <c r="A8" s="12">
        <v>86</v>
      </c>
      <c r="B8" s="130" t="s">
        <v>10</v>
      </c>
      <c r="C8" s="165">
        <v>67</v>
      </c>
      <c r="D8" s="165">
        <v>12</v>
      </c>
      <c r="E8" s="165">
        <v>1</v>
      </c>
      <c r="F8" s="165">
        <v>0</v>
      </c>
      <c r="H8" s="164"/>
      <c r="I8" s="164"/>
      <c r="J8" s="164"/>
      <c r="K8" s="164"/>
      <c r="L8" s="164"/>
      <c r="M8" s="164"/>
      <c r="N8" s="164"/>
      <c r="O8" s="164"/>
      <c r="P8" s="164"/>
      <c r="Q8" s="164"/>
    </row>
    <row r="9" spans="1:17" ht="12.75" customHeight="1">
      <c r="A9" s="12">
        <v>53</v>
      </c>
      <c r="B9" s="130" t="s">
        <v>11</v>
      </c>
      <c r="C9" s="165">
        <v>24</v>
      </c>
      <c r="D9" s="165">
        <v>7</v>
      </c>
      <c r="E9" s="165">
        <v>0</v>
      </c>
      <c r="F9" s="165">
        <v>0</v>
      </c>
      <c r="H9" s="164"/>
      <c r="I9" s="164"/>
      <c r="J9" s="164"/>
      <c r="K9" s="164"/>
      <c r="L9" s="164"/>
      <c r="M9" s="164"/>
      <c r="N9" s="164"/>
      <c r="O9" s="164"/>
      <c r="P9" s="164"/>
      <c r="Q9" s="164"/>
    </row>
    <row r="10" spans="1:17" ht="12.75" customHeight="1">
      <c r="A10" s="12">
        <v>54</v>
      </c>
      <c r="B10" s="130" t="s">
        <v>12</v>
      </c>
      <c r="C10" s="165">
        <v>96</v>
      </c>
      <c r="D10" s="165">
        <v>0</v>
      </c>
      <c r="E10" s="165">
        <v>9</v>
      </c>
      <c r="F10" s="165">
        <v>0</v>
      </c>
      <c r="H10" s="164"/>
      <c r="I10" s="164"/>
      <c r="J10" s="164"/>
      <c r="K10" s="164"/>
      <c r="L10" s="164"/>
      <c r="M10" s="164"/>
      <c r="N10" s="164"/>
      <c r="O10" s="164"/>
      <c r="P10" s="164"/>
      <c r="Q10" s="164"/>
    </row>
    <row r="11" spans="1:17" ht="12.75" customHeight="1">
      <c r="A11" s="12">
        <v>55</v>
      </c>
      <c r="B11" s="130" t="s">
        <v>13</v>
      </c>
      <c r="C11" s="165">
        <v>25</v>
      </c>
      <c r="D11" s="165">
        <v>5</v>
      </c>
      <c r="E11" s="165">
        <v>0</v>
      </c>
      <c r="F11" s="165">
        <v>0</v>
      </c>
      <c r="H11" s="164"/>
      <c r="I11" s="164"/>
      <c r="J11" s="164"/>
      <c r="K11" s="164"/>
      <c r="L11" s="164"/>
      <c r="M11" s="164"/>
      <c r="N11" s="164"/>
      <c r="O11" s="164"/>
      <c r="P11" s="164"/>
      <c r="Q11" s="164"/>
    </row>
    <row r="12" spans="1:17" ht="12.75" customHeight="1">
      <c r="A12" s="12">
        <v>56</v>
      </c>
      <c r="B12" s="130" t="s">
        <v>14</v>
      </c>
      <c r="C12" s="165">
        <v>13</v>
      </c>
      <c r="D12" s="165">
        <v>2</v>
      </c>
      <c r="E12" s="165">
        <v>0</v>
      </c>
      <c r="F12" s="165">
        <v>0</v>
      </c>
      <c r="H12" s="164"/>
      <c r="I12" s="164"/>
      <c r="J12" s="164"/>
      <c r="K12" s="164"/>
      <c r="L12" s="164"/>
      <c r="M12" s="164"/>
      <c r="N12" s="164"/>
      <c r="O12" s="164"/>
      <c r="P12" s="164"/>
      <c r="Q12" s="164"/>
    </row>
    <row r="13" spans="1:17" ht="12.75" customHeight="1">
      <c r="A13" s="12">
        <v>57</v>
      </c>
      <c r="B13" s="130" t="s">
        <v>15</v>
      </c>
      <c r="C13" s="165">
        <v>49</v>
      </c>
      <c r="D13" s="165">
        <v>13</v>
      </c>
      <c r="E13" s="165">
        <v>13</v>
      </c>
      <c r="F13" s="165">
        <v>0</v>
      </c>
      <c r="H13" s="164"/>
      <c r="I13" s="164"/>
      <c r="J13" s="164"/>
      <c r="K13" s="164"/>
      <c r="L13" s="164"/>
      <c r="M13" s="164"/>
      <c r="N13" s="164"/>
      <c r="O13" s="164"/>
      <c r="P13" s="164"/>
      <c r="Q13" s="164"/>
    </row>
    <row r="14" spans="1:17" ht="12.75" customHeight="1">
      <c r="A14" s="12">
        <v>59</v>
      </c>
      <c r="B14" s="130" t="s">
        <v>16</v>
      </c>
      <c r="C14" s="165">
        <v>28</v>
      </c>
      <c r="D14" s="165">
        <v>12</v>
      </c>
      <c r="E14" s="165">
        <v>0</v>
      </c>
      <c r="F14" s="165">
        <v>0</v>
      </c>
      <c r="H14" s="164"/>
      <c r="I14" s="164"/>
      <c r="J14" s="164"/>
      <c r="K14" s="164"/>
      <c r="L14" s="164"/>
      <c r="M14" s="164"/>
      <c r="N14" s="164"/>
      <c r="O14" s="164"/>
      <c r="P14" s="164"/>
      <c r="Q14" s="164"/>
    </row>
    <row r="15" spans="1:17" ht="12.75" customHeight="1">
      <c r="A15" s="12">
        <v>60</v>
      </c>
      <c r="B15" s="130" t="s">
        <v>17</v>
      </c>
      <c r="C15" s="165">
        <v>36</v>
      </c>
      <c r="D15" s="165">
        <v>4</v>
      </c>
      <c r="E15" s="165">
        <v>0</v>
      </c>
      <c r="F15" s="165"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</row>
    <row r="16" spans="1:17" ht="12.75" customHeight="1">
      <c r="A16" s="12">
        <v>61</v>
      </c>
      <c r="B16" s="132" t="s">
        <v>18</v>
      </c>
      <c r="C16" s="165">
        <v>91</v>
      </c>
      <c r="D16" s="165">
        <v>26</v>
      </c>
      <c r="E16" s="165">
        <v>1</v>
      </c>
      <c r="F16" s="165"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</row>
    <row r="17" spans="1:17" s="184" customFormat="1" ht="12.75" customHeight="1">
      <c r="A17" s="12"/>
      <c r="B17" s="132" t="s">
        <v>125</v>
      </c>
      <c r="C17" s="165" t="s">
        <v>126</v>
      </c>
      <c r="D17" s="165" t="s">
        <v>126</v>
      </c>
      <c r="E17" s="165" t="s">
        <v>126</v>
      </c>
      <c r="F17" s="165" t="s">
        <v>126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</row>
    <row r="18" spans="1:17" ht="12.75" customHeight="1">
      <c r="A18" s="12">
        <v>62</v>
      </c>
      <c r="B18" s="130" t="s">
        <v>19</v>
      </c>
      <c r="C18" s="165">
        <v>83</v>
      </c>
      <c r="D18" s="165">
        <v>11</v>
      </c>
      <c r="E18" s="165">
        <v>2</v>
      </c>
      <c r="F18" s="165"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1:17" ht="12.75" customHeight="1">
      <c r="A19" s="12">
        <v>58</v>
      </c>
      <c r="B19" s="130" t="s">
        <v>20</v>
      </c>
      <c r="C19" s="165">
        <v>25</v>
      </c>
      <c r="D19" s="165">
        <v>5</v>
      </c>
      <c r="E19" s="165">
        <v>0</v>
      </c>
      <c r="F19" s="165"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</row>
    <row r="20" spans="1:17" ht="12.75" customHeight="1">
      <c r="A20" s="12">
        <v>63</v>
      </c>
      <c r="B20" s="130" t="s">
        <v>21</v>
      </c>
      <c r="C20" s="165">
        <v>98</v>
      </c>
      <c r="D20" s="165">
        <v>13</v>
      </c>
      <c r="E20" s="165">
        <v>1</v>
      </c>
      <c r="F20" s="165"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1" spans="1:17" ht="12.75" customHeight="1">
      <c r="A21" s="12">
        <v>64</v>
      </c>
      <c r="B21" s="130" t="s">
        <v>22</v>
      </c>
      <c r="C21" s="165">
        <v>118</v>
      </c>
      <c r="D21" s="165">
        <v>25</v>
      </c>
      <c r="E21" s="165">
        <v>5</v>
      </c>
      <c r="F21" s="165"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</row>
    <row r="22" spans="1:17">
      <c r="A22" s="12">
        <v>65</v>
      </c>
      <c r="B22" s="130" t="s">
        <v>23</v>
      </c>
      <c r="C22" s="165">
        <v>55</v>
      </c>
      <c r="D22" s="165">
        <v>10</v>
      </c>
      <c r="E22" s="165">
        <v>0</v>
      </c>
      <c r="F22" s="165"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</row>
    <row r="23" spans="1:17" ht="12.75" customHeight="1">
      <c r="A23" s="12">
        <v>67</v>
      </c>
      <c r="B23" s="130" t="s">
        <v>24</v>
      </c>
      <c r="C23" s="165">
        <v>55</v>
      </c>
      <c r="D23" s="165">
        <v>10</v>
      </c>
      <c r="E23" s="165">
        <v>5</v>
      </c>
      <c r="F23" s="165"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</row>
    <row r="24" spans="1:17">
      <c r="A24" s="12">
        <v>68</v>
      </c>
      <c r="B24" s="130" t="s">
        <v>25</v>
      </c>
      <c r="C24" s="165">
        <v>69</v>
      </c>
      <c r="D24" s="165">
        <v>4</v>
      </c>
      <c r="E24" s="165">
        <v>0</v>
      </c>
      <c r="F24" s="165"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</row>
    <row r="25" spans="1:17">
      <c r="A25" s="12">
        <v>69</v>
      </c>
      <c r="B25" s="130" t="s">
        <v>26</v>
      </c>
      <c r="C25" s="165">
        <v>40</v>
      </c>
      <c r="D25" s="165">
        <v>12</v>
      </c>
      <c r="E25" s="165">
        <v>0</v>
      </c>
      <c r="F25" s="165"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</row>
    <row r="26" spans="1:17">
      <c r="A26" s="12">
        <v>70</v>
      </c>
      <c r="B26" s="130" t="s">
        <v>27</v>
      </c>
      <c r="C26" s="165">
        <v>85</v>
      </c>
      <c r="D26" s="165">
        <v>10</v>
      </c>
      <c r="E26" s="165">
        <v>5</v>
      </c>
      <c r="F26" s="165">
        <v>0</v>
      </c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1:17">
      <c r="A27" s="12">
        <v>71</v>
      </c>
      <c r="B27" s="133" t="s">
        <v>28</v>
      </c>
      <c r="C27" s="165">
        <v>19</v>
      </c>
      <c r="D27" s="165">
        <v>9</v>
      </c>
      <c r="E27" s="165">
        <v>0</v>
      </c>
      <c r="F27" s="165">
        <v>0</v>
      </c>
      <c r="H27" s="164"/>
      <c r="I27" s="164"/>
      <c r="J27" s="164"/>
      <c r="K27" s="164"/>
      <c r="L27" s="164"/>
      <c r="M27" s="164"/>
      <c r="N27" s="164"/>
      <c r="O27" s="164"/>
      <c r="P27" s="164"/>
      <c r="Q27" s="164"/>
    </row>
    <row r="28" spans="1:17">
      <c r="A28" s="12">
        <v>73</v>
      </c>
      <c r="B28" s="130" t="s">
        <v>29</v>
      </c>
      <c r="C28" s="134">
        <v>70</v>
      </c>
      <c r="D28" s="134">
        <v>9</v>
      </c>
      <c r="E28" s="134">
        <v>0</v>
      </c>
      <c r="F28" s="134">
        <v>0</v>
      </c>
      <c r="H28" s="164"/>
      <c r="I28" s="164"/>
      <c r="J28" s="164"/>
      <c r="K28" s="164"/>
      <c r="L28" s="164"/>
      <c r="M28" s="164"/>
      <c r="N28" s="164"/>
      <c r="O28" s="164"/>
      <c r="P28" s="164"/>
      <c r="Q28" s="164"/>
    </row>
    <row r="29" spans="1:17">
      <c r="A29" s="12">
        <v>74</v>
      </c>
      <c r="B29" s="130" t="s">
        <v>30</v>
      </c>
      <c r="C29" s="165">
        <v>55</v>
      </c>
      <c r="D29" s="165">
        <v>8</v>
      </c>
      <c r="E29" s="165">
        <v>3</v>
      </c>
      <c r="F29" s="165">
        <v>0</v>
      </c>
      <c r="H29" s="164"/>
      <c r="I29" s="164"/>
      <c r="J29" s="164"/>
      <c r="K29" s="164"/>
      <c r="L29" s="164"/>
      <c r="M29" s="164"/>
      <c r="N29" s="164"/>
      <c r="O29" s="164"/>
      <c r="P29" s="164"/>
      <c r="Q29" s="164"/>
    </row>
    <row r="30" spans="1:17">
      <c r="A30" s="12">
        <v>75</v>
      </c>
      <c r="B30" s="130" t="s">
        <v>31</v>
      </c>
      <c r="C30" s="165">
        <v>52</v>
      </c>
      <c r="D30" s="165">
        <v>12</v>
      </c>
      <c r="E30" s="165">
        <v>2</v>
      </c>
      <c r="F30" s="165">
        <v>0</v>
      </c>
      <c r="H30" s="164"/>
      <c r="I30" s="164"/>
      <c r="J30" s="164"/>
      <c r="K30" s="164"/>
      <c r="L30" s="164"/>
      <c r="M30" s="164"/>
      <c r="N30" s="164"/>
      <c r="O30" s="164"/>
      <c r="P30" s="164"/>
      <c r="Q30" s="164"/>
    </row>
    <row r="31" spans="1:17">
      <c r="A31" s="12">
        <v>76</v>
      </c>
      <c r="B31" s="130" t="s">
        <v>32</v>
      </c>
      <c r="C31" s="165">
        <v>27</v>
      </c>
      <c r="D31" s="165">
        <v>7</v>
      </c>
      <c r="E31" s="165">
        <v>2</v>
      </c>
      <c r="F31" s="165">
        <v>0</v>
      </c>
      <c r="H31" s="164"/>
      <c r="I31" s="164"/>
      <c r="J31" s="164"/>
      <c r="K31" s="164"/>
      <c r="L31" s="164"/>
      <c r="M31" s="164"/>
      <c r="N31" s="164"/>
      <c r="O31" s="164"/>
      <c r="P31" s="164"/>
      <c r="Q31" s="164"/>
    </row>
    <row r="32" spans="1:17">
      <c r="A32" s="12">
        <v>79</v>
      </c>
      <c r="B32" s="130" t="s">
        <v>33</v>
      </c>
      <c r="C32" s="165">
        <v>80</v>
      </c>
      <c r="D32" s="165">
        <v>16</v>
      </c>
      <c r="E32" s="165">
        <v>1</v>
      </c>
      <c r="F32" s="165">
        <v>0</v>
      </c>
      <c r="H32" s="164"/>
      <c r="I32" s="164"/>
      <c r="J32" s="164"/>
      <c r="K32" s="164"/>
      <c r="L32" s="164"/>
      <c r="M32" s="164"/>
      <c r="N32" s="164"/>
      <c r="O32" s="164"/>
      <c r="P32" s="164"/>
      <c r="Q32" s="164"/>
    </row>
    <row r="33" spans="1:17">
      <c r="A33" s="12">
        <v>80</v>
      </c>
      <c r="B33" s="130" t="s">
        <v>34</v>
      </c>
      <c r="C33" s="165">
        <v>63</v>
      </c>
      <c r="D33" s="165">
        <v>5</v>
      </c>
      <c r="E33" s="165">
        <v>0</v>
      </c>
      <c r="F33" s="165">
        <v>0</v>
      </c>
      <c r="H33" s="164"/>
      <c r="I33" s="164"/>
      <c r="J33" s="164"/>
      <c r="K33" s="164"/>
      <c r="L33" s="164"/>
      <c r="M33" s="164"/>
      <c r="N33" s="164"/>
      <c r="O33" s="164"/>
      <c r="P33" s="164"/>
      <c r="Q33" s="164"/>
    </row>
    <row r="34" spans="1:17">
      <c r="A34" s="12">
        <v>81</v>
      </c>
      <c r="B34" s="130" t="s">
        <v>35</v>
      </c>
      <c r="C34" s="165">
        <v>45</v>
      </c>
      <c r="D34" s="165">
        <v>11</v>
      </c>
      <c r="E34" s="165">
        <v>1</v>
      </c>
      <c r="F34" s="165">
        <v>0</v>
      </c>
      <c r="H34" s="164"/>
      <c r="I34" s="164"/>
      <c r="J34" s="164"/>
      <c r="K34" s="164"/>
      <c r="L34" s="164"/>
      <c r="M34" s="164"/>
      <c r="N34" s="164"/>
      <c r="O34" s="164"/>
      <c r="P34" s="164"/>
      <c r="Q34" s="164"/>
    </row>
    <row r="35" spans="1:17">
      <c r="A35" s="12">
        <v>83</v>
      </c>
      <c r="B35" s="130" t="s">
        <v>36</v>
      </c>
      <c r="C35" s="165">
        <v>40</v>
      </c>
      <c r="D35" s="165">
        <v>12</v>
      </c>
      <c r="E35" s="165">
        <v>0</v>
      </c>
      <c r="F35" s="165">
        <v>0</v>
      </c>
      <c r="H35" s="164"/>
      <c r="I35" s="164"/>
      <c r="J35" s="164"/>
      <c r="K35" s="164"/>
      <c r="L35" s="164"/>
      <c r="M35" s="164"/>
      <c r="N35" s="164"/>
      <c r="O35" s="164"/>
      <c r="P35" s="164"/>
      <c r="Q35" s="164"/>
    </row>
    <row r="36" spans="1:17">
      <c r="A36" s="12">
        <v>84</v>
      </c>
      <c r="B36" s="130" t="s">
        <v>37</v>
      </c>
      <c r="C36" s="165">
        <v>44</v>
      </c>
      <c r="D36" s="165">
        <v>13</v>
      </c>
      <c r="E36" s="165">
        <v>1</v>
      </c>
      <c r="F36" s="165">
        <v>0</v>
      </c>
      <c r="H36" s="164"/>
      <c r="I36" s="164"/>
      <c r="J36" s="164"/>
      <c r="K36" s="164"/>
      <c r="L36" s="164"/>
      <c r="M36" s="164"/>
      <c r="N36" s="164"/>
      <c r="O36" s="164"/>
      <c r="P36" s="164"/>
      <c r="Q36" s="164"/>
    </row>
    <row r="37" spans="1:17">
      <c r="A37" s="12">
        <v>85</v>
      </c>
      <c r="B37" s="130" t="s">
        <v>38</v>
      </c>
      <c r="C37" s="165">
        <v>64</v>
      </c>
      <c r="D37" s="165">
        <v>6</v>
      </c>
      <c r="E37" s="165">
        <v>1</v>
      </c>
      <c r="F37" s="165">
        <v>0</v>
      </c>
      <c r="H37" s="164"/>
      <c r="I37" s="164"/>
      <c r="J37" s="164"/>
      <c r="K37" s="164"/>
      <c r="L37" s="164"/>
      <c r="M37" s="164"/>
      <c r="N37" s="164"/>
      <c r="O37" s="164"/>
      <c r="P37" s="164"/>
      <c r="Q37" s="164"/>
    </row>
    <row r="38" spans="1:17">
      <c r="A38" s="12">
        <v>87</v>
      </c>
      <c r="B38" s="130" t="s">
        <v>39</v>
      </c>
      <c r="C38" s="165">
        <v>28</v>
      </c>
      <c r="D38" s="165">
        <v>4</v>
      </c>
      <c r="E38" s="165">
        <v>0</v>
      </c>
      <c r="F38" s="165">
        <v>0</v>
      </c>
      <c r="H38" s="164"/>
      <c r="I38" s="164"/>
      <c r="J38" s="164"/>
      <c r="K38" s="164"/>
      <c r="L38" s="164"/>
      <c r="M38" s="164"/>
      <c r="N38" s="164"/>
      <c r="O38" s="164"/>
      <c r="P38" s="164"/>
      <c r="Q38" s="164"/>
    </row>
    <row r="39" spans="1:17">
      <c r="A39" s="12">
        <v>90</v>
      </c>
      <c r="B39" s="130" t="s">
        <v>40</v>
      </c>
      <c r="C39" s="165">
        <v>87</v>
      </c>
      <c r="D39" s="165">
        <v>15</v>
      </c>
      <c r="E39" s="165">
        <v>0</v>
      </c>
      <c r="F39" s="165">
        <v>0</v>
      </c>
      <c r="H39" s="164"/>
      <c r="I39" s="164"/>
      <c r="J39" s="164"/>
      <c r="K39" s="164"/>
      <c r="L39" s="164"/>
      <c r="M39" s="164"/>
      <c r="N39" s="164"/>
      <c r="O39" s="164"/>
      <c r="P39" s="164"/>
      <c r="Q39" s="164"/>
    </row>
    <row r="40" spans="1:17">
      <c r="A40" s="12">
        <v>91</v>
      </c>
      <c r="B40" s="130" t="s">
        <v>41</v>
      </c>
      <c r="C40" s="165">
        <v>56</v>
      </c>
      <c r="D40" s="165">
        <v>3</v>
      </c>
      <c r="E40" s="165">
        <v>0</v>
      </c>
      <c r="F40" s="165">
        <v>1</v>
      </c>
      <c r="H40" s="164"/>
      <c r="I40" s="164"/>
      <c r="J40" s="164"/>
      <c r="K40" s="164"/>
      <c r="L40" s="164"/>
      <c r="M40" s="164"/>
      <c r="N40" s="164"/>
      <c r="O40" s="164"/>
      <c r="P40" s="164"/>
      <c r="Q40" s="164"/>
    </row>
    <row r="41" spans="1:17">
      <c r="A41" s="12">
        <v>92</v>
      </c>
      <c r="B41" s="130" t="s">
        <v>42</v>
      </c>
      <c r="C41" s="165">
        <v>64</v>
      </c>
      <c r="D41" s="165">
        <v>16</v>
      </c>
      <c r="E41" s="165">
        <v>0</v>
      </c>
      <c r="F41" s="165">
        <v>0</v>
      </c>
      <c r="H41" s="164"/>
      <c r="I41" s="164"/>
      <c r="J41" s="164"/>
      <c r="K41" s="164"/>
      <c r="L41" s="164"/>
      <c r="M41" s="164"/>
      <c r="N41" s="164"/>
      <c r="O41" s="164"/>
      <c r="P41" s="164"/>
      <c r="Q41" s="164"/>
    </row>
    <row r="42" spans="1:17">
      <c r="A42" s="12">
        <v>94</v>
      </c>
      <c r="B42" s="130" t="s">
        <v>43</v>
      </c>
      <c r="C42" s="165">
        <v>43</v>
      </c>
      <c r="D42" s="165">
        <v>11</v>
      </c>
      <c r="E42" s="165">
        <v>0</v>
      </c>
      <c r="F42" s="165">
        <v>0</v>
      </c>
      <c r="H42" s="164"/>
      <c r="I42" s="164"/>
      <c r="J42" s="164"/>
      <c r="K42" s="164"/>
      <c r="L42" s="164"/>
      <c r="M42" s="164"/>
      <c r="N42" s="164"/>
      <c r="O42" s="164"/>
      <c r="P42" s="164"/>
      <c r="Q42" s="164"/>
    </row>
    <row r="43" spans="1:17">
      <c r="A43" s="12">
        <v>96</v>
      </c>
      <c r="B43" s="130" t="s">
        <v>44</v>
      </c>
      <c r="C43" s="165">
        <v>42</v>
      </c>
      <c r="D43" s="165">
        <v>5</v>
      </c>
      <c r="E43" s="165">
        <v>0</v>
      </c>
      <c r="F43" s="165">
        <v>0</v>
      </c>
      <c r="H43" s="164"/>
      <c r="I43" s="164"/>
      <c r="J43" s="164"/>
      <c r="K43" s="164"/>
      <c r="L43" s="164"/>
      <c r="M43" s="164"/>
      <c r="N43" s="164"/>
      <c r="O43" s="164"/>
      <c r="P43" s="164"/>
      <c r="Q43" s="164"/>
    </row>
    <row r="44" spans="1:17">
      <c r="A44" s="12">
        <v>98</v>
      </c>
      <c r="B44" s="130" t="s">
        <v>45</v>
      </c>
      <c r="C44" s="165">
        <v>44</v>
      </c>
      <c r="D44" s="165">
        <v>7</v>
      </c>
      <c r="E44" s="165">
        <v>0</v>
      </c>
      <c r="F44" s="165">
        <v>0</v>
      </c>
      <c r="H44" s="164"/>
      <c r="I44" s="164"/>
      <c r="J44" s="164"/>
      <c r="K44" s="164"/>
      <c r="L44" s="164"/>
      <c r="M44" s="164"/>
      <c r="N44" s="164"/>
      <c r="O44" s="164"/>
      <c r="P44" s="164"/>
      <c r="Q44" s="164"/>
    </row>
    <row r="45" spans="1:17">
      <c r="A45" s="12">
        <v>72</v>
      </c>
      <c r="B45" s="133" t="s">
        <v>46</v>
      </c>
      <c r="C45" s="165">
        <v>0</v>
      </c>
      <c r="D45" s="165">
        <v>0</v>
      </c>
      <c r="E45" s="165">
        <v>0</v>
      </c>
      <c r="F45" s="165">
        <v>0</v>
      </c>
      <c r="H45" s="164"/>
      <c r="I45" s="164"/>
      <c r="J45" s="164"/>
      <c r="K45" s="164"/>
      <c r="L45" s="164"/>
      <c r="M45" s="164"/>
      <c r="N45" s="164"/>
      <c r="O45" s="164"/>
      <c r="P45" s="164"/>
      <c r="Q45" s="164"/>
    </row>
    <row r="46" spans="1:17" s="129" customFormat="1" ht="25.5" customHeight="1">
      <c r="B46" s="126" t="s">
        <v>47</v>
      </c>
      <c r="C46" s="127">
        <v>1105</v>
      </c>
      <c r="D46" s="127">
        <v>149</v>
      </c>
      <c r="E46" s="127">
        <v>18</v>
      </c>
      <c r="F46" s="127">
        <v>0</v>
      </c>
      <c r="H46" s="164"/>
      <c r="I46" s="164"/>
      <c r="J46" s="164"/>
      <c r="K46" s="164"/>
      <c r="L46" s="164"/>
      <c r="M46" s="164"/>
      <c r="N46" s="164"/>
      <c r="O46" s="164"/>
      <c r="P46" s="164"/>
      <c r="Q46" s="164"/>
    </row>
    <row r="47" spans="1:17" ht="12.75" customHeight="1">
      <c r="A47" s="12">
        <v>66</v>
      </c>
      <c r="B47" s="136" t="s">
        <v>48</v>
      </c>
      <c r="C47" s="165">
        <v>87</v>
      </c>
      <c r="D47" s="165">
        <v>21</v>
      </c>
      <c r="E47" s="165">
        <v>1</v>
      </c>
      <c r="F47" s="165"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</row>
    <row r="48" spans="1:17" ht="12.75" customHeight="1">
      <c r="A48" s="12">
        <v>78</v>
      </c>
      <c r="B48" s="130" t="s">
        <v>49</v>
      </c>
      <c r="C48" s="165">
        <v>33</v>
      </c>
      <c r="D48" s="165">
        <v>6</v>
      </c>
      <c r="E48" s="165">
        <v>4</v>
      </c>
      <c r="F48" s="165">
        <v>0</v>
      </c>
      <c r="H48" s="164"/>
      <c r="I48" s="164"/>
      <c r="J48" s="164"/>
      <c r="K48" s="164"/>
      <c r="L48" s="164"/>
      <c r="M48" s="164"/>
      <c r="N48" s="164"/>
      <c r="O48" s="164"/>
      <c r="P48" s="164"/>
      <c r="Q48" s="164"/>
    </row>
    <row r="49" spans="1:17" ht="12.75" customHeight="1">
      <c r="A49" s="12">
        <v>89</v>
      </c>
      <c r="B49" s="130" t="s">
        <v>50</v>
      </c>
      <c r="C49" s="165">
        <v>90</v>
      </c>
      <c r="D49" s="165">
        <v>7</v>
      </c>
      <c r="E49" s="165">
        <v>0</v>
      </c>
      <c r="F49" s="165">
        <v>0</v>
      </c>
      <c r="H49" s="164"/>
      <c r="I49" s="164"/>
      <c r="J49" s="164"/>
      <c r="K49" s="164"/>
      <c r="L49" s="164"/>
      <c r="M49" s="164"/>
      <c r="N49" s="164"/>
      <c r="O49" s="164"/>
      <c r="P49" s="164"/>
      <c r="Q49" s="164"/>
    </row>
    <row r="50" spans="1:17" ht="12.75" customHeight="1">
      <c r="A50" s="12">
        <v>93</v>
      </c>
      <c r="B50" s="130" t="s">
        <v>51</v>
      </c>
      <c r="C50" s="165">
        <v>37</v>
      </c>
      <c r="D50" s="165">
        <v>3</v>
      </c>
      <c r="E50" s="165">
        <v>1</v>
      </c>
      <c r="F50" s="165">
        <v>0</v>
      </c>
      <c r="H50" s="164"/>
      <c r="I50" s="164"/>
      <c r="J50" s="164"/>
      <c r="K50" s="164"/>
      <c r="L50" s="164"/>
      <c r="M50" s="164"/>
      <c r="N50" s="164"/>
      <c r="O50" s="164"/>
      <c r="P50" s="164"/>
      <c r="Q50" s="164"/>
    </row>
    <row r="51" spans="1:17" ht="12.75" customHeight="1">
      <c r="A51" s="12">
        <v>95</v>
      </c>
      <c r="B51" s="130" t="s">
        <v>52</v>
      </c>
      <c r="C51" s="165">
        <v>82</v>
      </c>
      <c r="D51" s="165">
        <v>10</v>
      </c>
      <c r="E51" s="165">
        <v>3</v>
      </c>
      <c r="F51" s="165">
        <v>0</v>
      </c>
      <c r="H51" s="164"/>
      <c r="I51" s="164"/>
      <c r="J51" s="164"/>
      <c r="K51" s="164"/>
      <c r="L51" s="164"/>
      <c r="M51" s="164"/>
      <c r="N51" s="164"/>
      <c r="O51" s="164"/>
      <c r="P51" s="164"/>
      <c r="Q51" s="164"/>
    </row>
    <row r="52" spans="1:17" ht="12.75" customHeight="1">
      <c r="A52" s="12">
        <v>97</v>
      </c>
      <c r="B52" s="130" t="s">
        <v>53</v>
      </c>
      <c r="C52" s="165">
        <v>97</v>
      </c>
      <c r="D52" s="165">
        <v>11</v>
      </c>
      <c r="E52" s="165">
        <v>1</v>
      </c>
      <c r="F52" s="165">
        <v>0</v>
      </c>
      <c r="H52" s="164"/>
      <c r="I52" s="164"/>
      <c r="J52" s="164"/>
      <c r="K52" s="164"/>
      <c r="L52" s="164"/>
      <c r="M52" s="164"/>
      <c r="N52" s="164"/>
      <c r="O52" s="164"/>
      <c r="P52" s="164"/>
      <c r="Q52" s="164"/>
    </row>
    <row r="53" spans="1:17" ht="12.75" customHeight="1">
      <c r="A53" s="12">
        <v>77</v>
      </c>
      <c r="B53" s="137" t="s">
        <v>54</v>
      </c>
      <c r="C53" s="166">
        <v>679</v>
      </c>
      <c r="D53" s="166">
        <v>91</v>
      </c>
      <c r="E53" s="166">
        <v>8</v>
      </c>
      <c r="F53" s="166">
        <v>0</v>
      </c>
      <c r="H53" s="164"/>
      <c r="I53" s="164"/>
      <c r="J53" s="164"/>
      <c r="K53" s="164"/>
      <c r="L53" s="164"/>
      <c r="M53" s="164"/>
      <c r="N53" s="164"/>
      <c r="O53" s="164"/>
      <c r="P53" s="164"/>
      <c r="Q53" s="164"/>
    </row>
    <row r="55" spans="1:17" ht="12.75" customHeight="1">
      <c r="B55" s="12" t="s">
        <v>55</v>
      </c>
      <c r="C55" s="139"/>
    </row>
    <row r="56" spans="1:17" ht="12.75" customHeight="1">
      <c r="B56" s="201" t="s">
        <v>56</v>
      </c>
      <c r="C56" s="202"/>
      <c r="D56" s="202"/>
      <c r="E56" s="202"/>
      <c r="F56" s="202"/>
    </row>
    <row r="57" spans="1:17" ht="12.75" customHeight="1">
      <c r="B57" s="202"/>
      <c r="C57" s="202"/>
      <c r="D57" s="202"/>
      <c r="E57" s="202"/>
      <c r="F57" s="202"/>
    </row>
    <row r="58" spans="1:17" ht="12.75" customHeight="1">
      <c r="B58" s="202"/>
      <c r="C58" s="202"/>
      <c r="D58" s="202"/>
      <c r="E58" s="202"/>
      <c r="F58" s="202"/>
    </row>
    <row r="59" spans="1:17" ht="12.75" customHeight="1">
      <c r="B59" s="202"/>
      <c r="C59" s="202"/>
      <c r="D59" s="202"/>
      <c r="E59" s="202"/>
      <c r="F59" s="202"/>
    </row>
    <row r="60" spans="1:17" ht="12.75" customHeight="1">
      <c r="B60" s="202"/>
      <c r="C60" s="202"/>
      <c r="D60" s="202"/>
      <c r="E60" s="202"/>
      <c r="F60" s="202"/>
    </row>
    <row r="61" spans="1:17" ht="12.75" customHeight="1">
      <c r="B61" s="202"/>
      <c r="C61" s="202"/>
      <c r="D61" s="202"/>
      <c r="E61" s="202"/>
      <c r="F61" s="202"/>
    </row>
    <row r="62" spans="1:17" ht="39" customHeight="1">
      <c r="B62" s="202"/>
      <c r="C62" s="202"/>
      <c r="D62" s="202"/>
      <c r="E62" s="202"/>
      <c r="F62" s="202"/>
    </row>
    <row r="63" spans="1:17" ht="12.75" customHeight="1">
      <c r="B63" s="23"/>
      <c r="C63" s="23"/>
      <c r="D63" s="23"/>
      <c r="E63" s="23"/>
      <c r="F63" s="23"/>
    </row>
    <row r="64" spans="1:17" ht="12.75" customHeight="1">
      <c r="B64" s="140" t="s">
        <v>57</v>
      </c>
      <c r="C64" s="141"/>
      <c r="D64" s="141"/>
      <c r="E64" s="141"/>
    </row>
    <row r="65" spans="2:5">
      <c r="B65" s="142"/>
      <c r="C65" s="167"/>
      <c r="D65" s="167"/>
      <c r="E65" s="167"/>
    </row>
    <row r="66" spans="2:5" ht="15">
      <c r="C66" s="168"/>
      <c r="D66" s="169"/>
      <c r="E66" s="169"/>
    </row>
    <row r="67" spans="2:5" ht="15">
      <c r="B67" s="143"/>
      <c r="C67" s="168"/>
      <c r="D67" s="169"/>
      <c r="E67" s="169"/>
    </row>
    <row r="68" spans="2:5">
      <c r="C68" s="141"/>
      <c r="D68" s="141"/>
      <c r="E68" s="141"/>
    </row>
  </sheetData>
  <mergeCells count="7">
    <mergeCell ref="H2:H3"/>
    <mergeCell ref="I2:J2"/>
    <mergeCell ref="B56:F62"/>
    <mergeCell ref="B1:F1"/>
    <mergeCell ref="B2:B3"/>
    <mergeCell ref="C2:C3"/>
    <mergeCell ref="D2:E2"/>
  </mergeCells>
  <conditionalFormatting sqref="H4:Q53">
    <cfRule type="cellIs" dxfId="7" priority="1" stopIfTrue="1" operator="lessThan">
      <formula>-0.5</formula>
    </cfRule>
    <cfRule type="cellIs" dxfId="6" priority="2" stopIfTrue="1" operator="greaterThan">
      <formula>0.5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2"/>
  </sheetPr>
  <dimension ref="A1:U68"/>
  <sheetViews>
    <sheetView showGridLines="0" zoomScale="85" workbookViewId="0">
      <pane xSplit="2" ySplit="4" topLeftCell="C14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0" defaultRowHeight="12.75"/>
  <cols>
    <col min="1" max="1" width="4.7109375" style="1" hidden="1" customWidth="1"/>
    <col min="2" max="2" width="24.7109375" style="124" customWidth="1"/>
    <col min="3" max="3" width="11" style="124" customWidth="1"/>
    <col min="4" max="4" width="11.85546875" style="124" customWidth="1"/>
    <col min="5" max="10" width="11" style="124" customWidth="1"/>
    <col min="11" max="11" width="9.140625" style="124" customWidth="1"/>
    <col min="12" max="256" width="0" style="124" hidden="1"/>
    <col min="257" max="257" width="0" style="124" hidden="1" customWidth="1"/>
    <col min="258" max="258" width="24.7109375" style="124" customWidth="1"/>
    <col min="259" max="259" width="11" style="124" customWidth="1"/>
    <col min="260" max="260" width="11.85546875" style="124" customWidth="1"/>
    <col min="261" max="266" width="11" style="124" customWidth="1"/>
    <col min="267" max="267" width="9.140625" style="124" customWidth="1"/>
    <col min="268" max="512" width="0" style="124" hidden="1"/>
    <col min="513" max="513" width="0" style="124" hidden="1" customWidth="1"/>
    <col min="514" max="514" width="24.7109375" style="124" customWidth="1"/>
    <col min="515" max="515" width="11" style="124" customWidth="1"/>
    <col min="516" max="516" width="11.85546875" style="124" customWidth="1"/>
    <col min="517" max="522" width="11" style="124" customWidth="1"/>
    <col min="523" max="523" width="9.140625" style="124" customWidth="1"/>
    <col min="524" max="768" width="0" style="124" hidden="1"/>
    <col min="769" max="769" width="0" style="124" hidden="1" customWidth="1"/>
    <col min="770" max="770" width="24.7109375" style="124" customWidth="1"/>
    <col min="771" max="771" width="11" style="124" customWidth="1"/>
    <col min="772" max="772" width="11.85546875" style="124" customWidth="1"/>
    <col min="773" max="778" width="11" style="124" customWidth="1"/>
    <col min="779" max="779" width="9.140625" style="124" customWidth="1"/>
    <col min="780" max="1024" width="0" style="124" hidden="1"/>
    <col min="1025" max="1025" width="0" style="124" hidden="1" customWidth="1"/>
    <col min="1026" max="1026" width="24.7109375" style="124" customWidth="1"/>
    <col min="1027" max="1027" width="11" style="124" customWidth="1"/>
    <col min="1028" max="1028" width="11.85546875" style="124" customWidth="1"/>
    <col min="1029" max="1034" width="11" style="124" customWidth="1"/>
    <col min="1035" max="1035" width="9.140625" style="124" customWidth="1"/>
    <col min="1036" max="1280" width="0" style="124" hidden="1"/>
    <col min="1281" max="1281" width="0" style="124" hidden="1" customWidth="1"/>
    <col min="1282" max="1282" width="24.7109375" style="124" customWidth="1"/>
    <col min="1283" max="1283" width="11" style="124" customWidth="1"/>
    <col min="1284" max="1284" width="11.85546875" style="124" customWidth="1"/>
    <col min="1285" max="1290" width="11" style="124" customWidth="1"/>
    <col min="1291" max="1291" width="9.140625" style="124" customWidth="1"/>
    <col min="1292" max="1536" width="0" style="124" hidden="1"/>
    <col min="1537" max="1537" width="0" style="124" hidden="1" customWidth="1"/>
    <col min="1538" max="1538" width="24.7109375" style="124" customWidth="1"/>
    <col min="1539" max="1539" width="11" style="124" customWidth="1"/>
    <col min="1540" max="1540" width="11.85546875" style="124" customWidth="1"/>
    <col min="1541" max="1546" width="11" style="124" customWidth="1"/>
    <col min="1547" max="1547" width="9.140625" style="124" customWidth="1"/>
    <col min="1548" max="1792" width="0" style="124" hidden="1"/>
    <col min="1793" max="1793" width="0" style="124" hidden="1" customWidth="1"/>
    <col min="1794" max="1794" width="24.7109375" style="124" customWidth="1"/>
    <col min="1795" max="1795" width="11" style="124" customWidth="1"/>
    <col min="1796" max="1796" width="11.85546875" style="124" customWidth="1"/>
    <col min="1797" max="1802" width="11" style="124" customWidth="1"/>
    <col min="1803" max="1803" width="9.140625" style="124" customWidth="1"/>
    <col min="1804" max="2048" width="0" style="124" hidden="1"/>
    <col min="2049" max="2049" width="0" style="124" hidden="1" customWidth="1"/>
    <col min="2050" max="2050" width="24.7109375" style="124" customWidth="1"/>
    <col min="2051" max="2051" width="11" style="124" customWidth="1"/>
    <col min="2052" max="2052" width="11.85546875" style="124" customWidth="1"/>
    <col min="2053" max="2058" width="11" style="124" customWidth="1"/>
    <col min="2059" max="2059" width="9.140625" style="124" customWidth="1"/>
    <col min="2060" max="2304" width="0" style="124" hidden="1"/>
    <col min="2305" max="2305" width="0" style="124" hidden="1" customWidth="1"/>
    <col min="2306" max="2306" width="24.7109375" style="124" customWidth="1"/>
    <col min="2307" max="2307" width="11" style="124" customWidth="1"/>
    <col min="2308" max="2308" width="11.85546875" style="124" customWidth="1"/>
    <col min="2309" max="2314" width="11" style="124" customWidth="1"/>
    <col min="2315" max="2315" width="9.140625" style="124" customWidth="1"/>
    <col min="2316" max="2560" width="0" style="124" hidden="1"/>
    <col min="2561" max="2561" width="0" style="124" hidden="1" customWidth="1"/>
    <col min="2562" max="2562" width="24.7109375" style="124" customWidth="1"/>
    <col min="2563" max="2563" width="11" style="124" customWidth="1"/>
    <col min="2564" max="2564" width="11.85546875" style="124" customWidth="1"/>
    <col min="2565" max="2570" width="11" style="124" customWidth="1"/>
    <col min="2571" max="2571" width="9.140625" style="124" customWidth="1"/>
    <col min="2572" max="2816" width="0" style="124" hidden="1"/>
    <col min="2817" max="2817" width="0" style="124" hidden="1" customWidth="1"/>
    <col min="2818" max="2818" width="24.7109375" style="124" customWidth="1"/>
    <col min="2819" max="2819" width="11" style="124" customWidth="1"/>
    <col min="2820" max="2820" width="11.85546875" style="124" customWidth="1"/>
    <col min="2821" max="2826" width="11" style="124" customWidth="1"/>
    <col min="2827" max="2827" width="9.140625" style="124" customWidth="1"/>
    <col min="2828" max="3072" width="0" style="124" hidden="1"/>
    <col min="3073" max="3073" width="0" style="124" hidden="1" customWidth="1"/>
    <col min="3074" max="3074" width="24.7109375" style="124" customWidth="1"/>
    <col min="3075" max="3075" width="11" style="124" customWidth="1"/>
    <col min="3076" max="3076" width="11.85546875" style="124" customWidth="1"/>
    <col min="3077" max="3082" width="11" style="124" customWidth="1"/>
    <col min="3083" max="3083" width="9.140625" style="124" customWidth="1"/>
    <col min="3084" max="3328" width="0" style="124" hidden="1"/>
    <col min="3329" max="3329" width="0" style="124" hidden="1" customWidth="1"/>
    <col min="3330" max="3330" width="24.7109375" style="124" customWidth="1"/>
    <col min="3331" max="3331" width="11" style="124" customWidth="1"/>
    <col min="3332" max="3332" width="11.85546875" style="124" customWidth="1"/>
    <col min="3333" max="3338" width="11" style="124" customWidth="1"/>
    <col min="3339" max="3339" width="9.140625" style="124" customWidth="1"/>
    <col min="3340" max="3584" width="0" style="124" hidden="1"/>
    <col min="3585" max="3585" width="0" style="124" hidden="1" customWidth="1"/>
    <col min="3586" max="3586" width="24.7109375" style="124" customWidth="1"/>
    <col min="3587" max="3587" width="11" style="124" customWidth="1"/>
    <col min="3588" max="3588" width="11.85546875" style="124" customWidth="1"/>
    <col min="3589" max="3594" width="11" style="124" customWidth="1"/>
    <col min="3595" max="3595" width="9.140625" style="124" customWidth="1"/>
    <col min="3596" max="3840" width="0" style="124" hidden="1"/>
    <col min="3841" max="3841" width="0" style="124" hidden="1" customWidth="1"/>
    <col min="3842" max="3842" width="24.7109375" style="124" customWidth="1"/>
    <col min="3843" max="3843" width="11" style="124" customWidth="1"/>
    <col min="3844" max="3844" width="11.85546875" style="124" customWidth="1"/>
    <col min="3845" max="3850" width="11" style="124" customWidth="1"/>
    <col min="3851" max="3851" width="9.140625" style="124" customWidth="1"/>
    <col min="3852" max="4096" width="0" style="124" hidden="1"/>
    <col min="4097" max="4097" width="0" style="124" hidden="1" customWidth="1"/>
    <col min="4098" max="4098" width="24.7109375" style="124" customWidth="1"/>
    <col min="4099" max="4099" width="11" style="124" customWidth="1"/>
    <col min="4100" max="4100" width="11.85546875" style="124" customWidth="1"/>
    <col min="4101" max="4106" width="11" style="124" customWidth="1"/>
    <col min="4107" max="4107" width="9.140625" style="124" customWidth="1"/>
    <col min="4108" max="4352" width="0" style="124" hidden="1"/>
    <col min="4353" max="4353" width="0" style="124" hidden="1" customWidth="1"/>
    <col min="4354" max="4354" width="24.7109375" style="124" customWidth="1"/>
    <col min="4355" max="4355" width="11" style="124" customWidth="1"/>
    <col min="4356" max="4356" width="11.85546875" style="124" customWidth="1"/>
    <col min="4357" max="4362" width="11" style="124" customWidth="1"/>
    <col min="4363" max="4363" width="9.140625" style="124" customWidth="1"/>
    <col min="4364" max="4608" width="0" style="124" hidden="1"/>
    <col min="4609" max="4609" width="0" style="124" hidden="1" customWidth="1"/>
    <col min="4610" max="4610" width="24.7109375" style="124" customWidth="1"/>
    <col min="4611" max="4611" width="11" style="124" customWidth="1"/>
    <col min="4612" max="4612" width="11.85546875" style="124" customWidth="1"/>
    <col min="4613" max="4618" width="11" style="124" customWidth="1"/>
    <col min="4619" max="4619" width="9.140625" style="124" customWidth="1"/>
    <col min="4620" max="4864" width="0" style="124" hidden="1"/>
    <col min="4865" max="4865" width="0" style="124" hidden="1" customWidth="1"/>
    <col min="4866" max="4866" width="24.7109375" style="124" customWidth="1"/>
    <col min="4867" max="4867" width="11" style="124" customWidth="1"/>
    <col min="4868" max="4868" width="11.85546875" style="124" customWidth="1"/>
    <col min="4869" max="4874" width="11" style="124" customWidth="1"/>
    <col min="4875" max="4875" width="9.140625" style="124" customWidth="1"/>
    <col min="4876" max="5120" width="0" style="124" hidden="1"/>
    <col min="5121" max="5121" width="0" style="124" hidden="1" customWidth="1"/>
    <col min="5122" max="5122" width="24.7109375" style="124" customWidth="1"/>
    <col min="5123" max="5123" width="11" style="124" customWidth="1"/>
    <col min="5124" max="5124" width="11.85546875" style="124" customWidth="1"/>
    <col min="5125" max="5130" width="11" style="124" customWidth="1"/>
    <col min="5131" max="5131" width="9.140625" style="124" customWidth="1"/>
    <col min="5132" max="5376" width="0" style="124" hidden="1"/>
    <col min="5377" max="5377" width="0" style="124" hidden="1" customWidth="1"/>
    <col min="5378" max="5378" width="24.7109375" style="124" customWidth="1"/>
    <col min="5379" max="5379" width="11" style="124" customWidth="1"/>
    <col min="5380" max="5380" width="11.85546875" style="124" customWidth="1"/>
    <col min="5381" max="5386" width="11" style="124" customWidth="1"/>
    <col min="5387" max="5387" width="9.140625" style="124" customWidth="1"/>
    <col min="5388" max="5632" width="0" style="124" hidden="1"/>
    <col min="5633" max="5633" width="0" style="124" hidden="1" customWidth="1"/>
    <col min="5634" max="5634" width="24.7109375" style="124" customWidth="1"/>
    <col min="5635" max="5635" width="11" style="124" customWidth="1"/>
    <col min="5636" max="5636" width="11.85546875" style="124" customWidth="1"/>
    <col min="5637" max="5642" width="11" style="124" customWidth="1"/>
    <col min="5643" max="5643" width="9.140625" style="124" customWidth="1"/>
    <col min="5644" max="5888" width="0" style="124" hidden="1"/>
    <col min="5889" max="5889" width="0" style="124" hidden="1" customWidth="1"/>
    <col min="5890" max="5890" width="24.7109375" style="124" customWidth="1"/>
    <col min="5891" max="5891" width="11" style="124" customWidth="1"/>
    <col min="5892" max="5892" width="11.85546875" style="124" customWidth="1"/>
    <col min="5893" max="5898" width="11" style="124" customWidth="1"/>
    <col min="5899" max="5899" width="9.140625" style="124" customWidth="1"/>
    <col min="5900" max="6144" width="0" style="124" hidden="1"/>
    <col min="6145" max="6145" width="0" style="124" hidden="1" customWidth="1"/>
    <col min="6146" max="6146" width="24.7109375" style="124" customWidth="1"/>
    <col min="6147" max="6147" width="11" style="124" customWidth="1"/>
    <col min="6148" max="6148" width="11.85546875" style="124" customWidth="1"/>
    <col min="6149" max="6154" width="11" style="124" customWidth="1"/>
    <col min="6155" max="6155" width="9.140625" style="124" customWidth="1"/>
    <col min="6156" max="6400" width="0" style="124" hidden="1"/>
    <col min="6401" max="6401" width="0" style="124" hidden="1" customWidth="1"/>
    <col min="6402" max="6402" width="24.7109375" style="124" customWidth="1"/>
    <col min="6403" max="6403" width="11" style="124" customWidth="1"/>
    <col min="6404" max="6404" width="11.85546875" style="124" customWidth="1"/>
    <col min="6405" max="6410" width="11" style="124" customWidth="1"/>
    <col min="6411" max="6411" width="9.140625" style="124" customWidth="1"/>
    <col min="6412" max="6656" width="0" style="124" hidden="1"/>
    <col min="6657" max="6657" width="0" style="124" hidden="1" customWidth="1"/>
    <col min="6658" max="6658" width="24.7109375" style="124" customWidth="1"/>
    <col min="6659" max="6659" width="11" style="124" customWidth="1"/>
    <col min="6660" max="6660" width="11.85546875" style="124" customWidth="1"/>
    <col min="6661" max="6666" width="11" style="124" customWidth="1"/>
    <col min="6667" max="6667" width="9.140625" style="124" customWidth="1"/>
    <col min="6668" max="6912" width="0" style="124" hidden="1"/>
    <col min="6913" max="6913" width="0" style="124" hidden="1" customWidth="1"/>
    <col min="6914" max="6914" width="24.7109375" style="124" customWidth="1"/>
    <col min="6915" max="6915" width="11" style="124" customWidth="1"/>
    <col min="6916" max="6916" width="11.85546875" style="124" customWidth="1"/>
    <col min="6917" max="6922" width="11" style="124" customWidth="1"/>
    <col min="6923" max="6923" width="9.140625" style="124" customWidth="1"/>
    <col min="6924" max="7168" width="0" style="124" hidden="1"/>
    <col min="7169" max="7169" width="0" style="124" hidden="1" customWidth="1"/>
    <col min="7170" max="7170" width="24.7109375" style="124" customWidth="1"/>
    <col min="7171" max="7171" width="11" style="124" customWidth="1"/>
    <col min="7172" max="7172" width="11.85546875" style="124" customWidth="1"/>
    <col min="7173" max="7178" width="11" style="124" customWidth="1"/>
    <col min="7179" max="7179" width="9.140625" style="124" customWidth="1"/>
    <col min="7180" max="7424" width="0" style="124" hidden="1"/>
    <col min="7425" max="7425" width="0" style="124" hidden="1" customWidth="1"/>
    <col min="7426" max="7426" width="24.7109375" style="124" customWidth="1"/>
    <col min="7427" max="7427" width="11" style="124" customWidth="1"/>
    <col min="7428" max="7428" width="11.85546875" style="124" customWidth="1"/>
    <col min="7429" max="7434" width="11" style="124" customWidth="1"/>
    <col min="7435" max="7435" width="9.140625" style="124" customWidth="1"/>
    <col min="7436" max="7680" width="0" style="124" hidden="1"/>
    <col min="7681" max="7681" width="0" style="124" hidden="1" customWidth="1"/>
    <col min="7682" max="7682" width="24.7109375" style="124" customWidth="1"/>
    <col min="7683" max="7683" width="11" style="124" customWidth="1"/>
    <col min="7684" max="7684" width="11.85546875" style="124" customWidth="1"/>
    <col min="7685" max="7690" width="11" style="124" customWidth="1"/>
    <col min="7691" max="7691" width="9.140625" style="124" customWidth="1"/>
    <col min="7692" max="7936" width="0" style="124" hidden="1"/>
    <col min="7937" max="7937" width="0" style="124" hidden="1" customWidth="1"/>
    <col min="7938" max="7938" width="24.7109375" style="124" customWidth="1"/>
    <col min="7939" max="7939" width="11" style="124" customWidth="1"/>
    <col min="7940" max="7940" width="11.85546875" style="124" customWidth="1"/>
    <col min="7941" max="7946" width="11" style="124" customWidth="1"/>
    <col min="7947" max="7947" width="9.140625" style="124" customWidth="1"/>
    <col min="7948" max="8192" width="0" style="124" hidden="1"/>
    <col min="8193" max="8193" width="0" style="124" hidden="1" customWidth="1"/>
    <col min="8194" max="8194" width="24.7109375" style="124" customWidth="1"/>
    <col min="8195" max="8195" width="11" style="124" customWidth="1"/>
    <col min="8196" max="8196" width="11.85546875" style="124" customWidth="1"/>
    <col min="8197" max="8202" width="11" style="124" customWidth="1"/>
    <col min="8203" max="8203" width="9.140625" style="124" customWidth="1"/>
    <col min="8204" max="8448" width="0" style="124" hidden="1"/>
    <col min="8449" max="8449" width="0" style="124" hidden="1" customWidth="1"/>
    <col min="8450" max="8450" width="24.7109375" style="124" customWidth="1"/>
    <col min="8451" max="8451" width="11" style="124" customWidth="1"/>
    <col min="8452" max="8452" width="11.85546875" style="124" customWidth="1"/>
    <col min="8453" max="8458" width="11" style="124" customWidth="1"/>
    <col min="8459" max="8459" width="9.140625" style="124" customWidth="1"/>
    <col min="8460" max="8704" width="0" style="124" hidden="1"/>
    <col min="8705" max="8705" width="0" style="124" hidden="1" customWidth="1"/>
    <col min="8706" max="8706" width="24.7109375" style="124" customWidth="1"/>
    <col min="8707" max="8707" width="11" style="124" customWidth="1"/>
    <col min="8708" max="8708" width="11.85546875" style="124" customWidth="1"/>
    <col min="8709" max="8714" width="11" style="124" customWidth="1"/>
    <col min="8715" max="8715" width="9.140625" style="124" customWidth="1"/>
    <col min="8716" max="8960" width="0" style="124" hidden="1"/>
    <col min="8961" max="8961" width="0" style="124" hidden="1" customWidth="1"/>
    <col min="8962" max="8962" width="24.7109375" style="124" customWidth="1"/>
    <col min="8963" max="8963" width="11" style="124" customWidth="1"/>
    <col min="8964" max="8964" width="11.85546875" style="124" customWidth="1"/>
    <col min="8965" max="8970" width="11" style="124" customWidth="1"/>
    <col min="8971" max="8971" width="9.140625" style="124" customWidth="1"/>
    <col min="8972" max="9216" width="0" style="124" hidden="1"/>
    <col min="9217" max="9217" width="0" style="124" hidden="1" customWidth="1"/>
    <col min="9218" max="9218" width="24.7109375" style="124" customWidth="1"/>
    <col min="9219" max="9219" width="11" style="124" customWidth="1"/>
    <col min="9220" max="9220" width="11.85546875" style="124" customWidth="1"/>
    <col min="9221" max="9226" width="11" style="124" customWidth="1"/>
    <col min="9227" max="9227" width="9.140625" style="124" customWidth="1"/>
    <col min="9228" max="9472" width="0" style="124" hidden="1"/>
    <col min="9473" max="9473" width="0" style="124" hidden="1" customWidth="1"/>
    <col min="9474" max="9474" width="24.7109375" style="124" customWidth="1"/>
    <col min="9475" max="9475" width="11" style="124" customWidth="1"/>
    <col min="9476" max="9476" width="11.85546875" style="124" customWidth="1"/>
    <col min="9477" max="9482" width="11" style="124" customWidth="1"/>
    <col min="9483" max="9483" width="9.140625" style="124" customWidth="1"/>
    <col min="9484" max="9728" width="0" style="124" hidden="1"/>
    <col min="9729" max="9729" width="0" style="124" hidden="1" customWidth="1"/>
    <col min="9730" max="9730" width="24.7109375" style="124" customWidth="1"/>
    <col min="9731" max="9731" width="11" style="124" customWidth="1"/>
    <col min="9732" max="9732" width="11.85546875" style="124" customWidth="1"/>
    <col min="9733" max="9738" width="11" style="124" customWidth="1"/>
    <col min="9739" max="9739" width="9.140625" style="124" customWidth="1"/>
    <col min="9740" max="9984" width="0" style="124" hidden="1"/>
    <col min="9985" max="9985" width="0" style="124" hidden="1" customWidth="1"/>
    <col min="9986" max="9986" width="24.7109375" style="124" customWidth="1"/>
    <col min="9987" max="9987" width="11" style="124" customWidth="1"/>
    <col min="9988" max="9988" width="11.85546875" style="124" customWidth="1"/>
    <col min="9989" max="9994" width="11" style="124" customWidth="1"/>
    <col min="9995" max="9995" width="9.140625" style="124" customWidth="1"/>
    <col min="9996" max="10240" width="0" style="124" hidden="1"/>
    <col min="10241" max="10241" width="0" style="124" hidden="1" customWidth="1"/>
    <col min="10242" max="10242" width="24.7109375" style="124" customWidth="1"/>
    <col min="10243" max="10243" width="11" style="124" customWidth="1"/>
    <col min="10244" max="10244" width="11.85546875" style="124" customWidth="1"/>
    <col min="10245" max="10250" width="11" style="124" customWidth="1"/>
    <col min="10251" max="10251" width="9.140625" style="124" customWidth="1"/>
    <col min="10252" max="10496" width="0" style="124" hidden="1"/>
    <col min="10497" max="10497" width="0" style="124" hidden="1" customWidth="1"/>
    <col min="10498" max="10498" width="24.7109375" style="124" customWidth="1"/>
    <col min="10499" max="10499" width="11" style="124" customWidth="1"/>
    <col min="10500" max="10500" width="11.85546875" style="124" customWidth="1"/>
    <col min="10501" max="10506" width="11" style="124" customWidth="1"/>
    <col min="10507" max="10507" width="9.140625" style="124" customWidth="1"/>
    <col min="10508" max="10752" width="0" style="124" hidden="1"/>
    <col min="10753" max="10753" width="0" style="124" hidden="1" customWidth="1"/>
    <col min="10754" max="10754" width="24.7109375" style="124" customWidth="1"/>
    <col min="10755" max="10755" width="11" style="124" customWidth="1"/>
    <col min="10756" max="10756" width="11.85546875" style="124" customWidth="1"/>
    <col min="10757" max="10762" width="11" style="124" customWidth="1"/>
    <col min="10763" max="10763" width="9.140625" style="124" customWidth="1"/>
    <col min="10764" max="11008" width="0" style="124" hidden="1"/>
    <col min="11009" max="11009" width="0" style="124" hidden="1" customWidth="1"/>
    <col min="11010" max="11010" width="24.7109375" style="124" customWidth="1"/>
    <col min="11011" max="11011" width="11" style="124" customWidth="1"/>
    <col min="11012" max="11012" width="11.85546875" style="124" customWidth="1"/>
    <col min="11013" max="11018" width="11" style="124" customWidth="1"/>
    <col min="11019" max="11019" width="9.140625" style="124" customWidth="1"/>
    <col min="11020" max="11264" width="0" style="124" hidden="1"/>
    <col min="11265" max="11265" width="0" style="124" hidden="1" customWidth="1"/>
    <col min="11266" max="11266" width="24.7109375" style="124" customWidth="1"/>
    <col min="11267" max="11267" width="11" style="124" customWidth="1"/>
    <col min="11268" max="11268" width="11.85546875" style="124" customWidth="1"/>
    <col min="11269" max="11274" width="11" style="124" customWidth="1"/>
    <col min="11275" max="11275" width="9.140625" style="124" customWidth="1"/>
    <col min="11276" max="11520" width="0" style="124" hidden="1"/>
    <col min="11521" max="11521" width="0" style="124" hidden="1" customWidth="1"/>
    <col min="11522" max="11522" width="24.7109375" style="124" customWidth="1"/>
    <col min="11523" max="11523" width="11" style="124" customWidth="1"/>
    <col min="11524" max="11524" width="11.85546875" style="124" customWidth="1"/>
    <col min="11525" max="11530" width="11" style="124" customWidth="1"/>
    <col min="11531" max="11531" width="9.140625" style="124" customWidth="1"/>
    <col min="11532" max="11776" width="0" style="124" hidden="1"/>
    <col min="11777" max="11777" width="0" style="124" hidden="1" customWidth="1"/>
    <col min="11778" max="11778" width="24.7109375" style="124" customWidth="1"/>
    <col min="11779" max="11779" width="11" style="124" customWidth="1"/>
    <col min="11780" max="11780" width="11.85546875" style="124" customWidth="1"/>
    <col min="11781" max="11786" width="11" style="124" customWidth="1"/>
    <col min="11787" max="11787" width="9.140625" style="124" customWidth="1"/>
    <col min="11788" max="12032" width="0" style="124" hidden="1"/>
    <col min="12033" max="12033" width="0" style="124" hidden="1" customWidth="1"/>
    <col min="12034" max="12034" width="24.7109375" style="124" customWidth="1"/>
    <col min="12035" max="12035" width="11" style="124" customWidth="1"/>
    <col min="12036" max="12036" width="11.85546875" style="124" customWidth="1"/>
    <col min="12037" max="12042" width="11" style="124" customWidth="1"/>
    <col min="12043" max="12043" width="9.140625" style="124" customWidth="1"/>
    <col min="12044" max="12288" width="0" style="124" hidden="1"/>
    <col min="12289" max="12289" width="0" style="124" hidden="1" customWidth="1"/>
    <col min="12290" max="12290" width="24.7109375" style="124" customWidth="1"/>
    <col min="12291" max="12291" width="11" style="124" customWidth="1"/>
    <col min="12292" max="12292" width="11.85546875" style="124" customWidth="1"/>
    <col min="12293" max="12298" width="11" style="124" customWidth="1"/>
    <col min="12299" max="12299" width="9.140625" style="124" customWidth="1"/>
    <col min="12300" max="12544" width="0" style="124" hidden="1"/>
    <col min="12545" max="12545" width="0" style="124" hidden="1" customWidth="1"/>
    <col min="12546" max="12546" width="24.7109375" style="124" customWidth="1"/>
    <col min="12547" max="12547" width="11" style="124" customWidth="1"/>
    <col min="12548" max="12548" width="11.85546875" style="124" customWidth="1"/>
    <col min="12549" max="12554" width="11" style="124" customWidth="1"/>
    <col min="12555" max="12555" width="9.140625" style="124" customWidth="1"/>
    <col min="12556" max="12800" width="0" style="124" hidden="1"/>
    <col min="12801" max="12801" width="0" style="124" hidden="1" customWidth="1"/>
    <col min="12802" max="12802" width="24.7109375" style="124" customWidth="1"/>
    <col min="12803" max="12803" width="11" style="124" customWidth="1"/>
    <col min="12804" max="12804" width="11.85546875" style="124" customWidth="1"/>
    <col min="12805" max="12810" width="11" style="124" customWidth="1"/>
    <col min="12811" max="12811" width="9.140625" style="124" customWidth="1"/>
    <col min="12812" max="13056" width="0" style="124" hidden="1"/>
    <col min="13057" max="13057" width="0" style="124" hidden="1" customWidth="1"/>
    <col min="13058" max="13058" width="24.7109375" style="124" customWidth="1"/>
    <col min="13059" max="13059" width="11" style="124" customWidth="1"/>
    <col min="13060" max="13060" width="11.85546875" style="124" customWidth="1"/>
    <col min="13061" max="13066" width="11" style="124" customWidth="1"/>
    <col min="13067" max="13067" width="9.140625" style="124" customWidth="1"/>
    <col min="13068" max="13312" width="0" style="124" hidden="1"/>
    <col min="13313" max="13313" width="0" style="124" hidden="1" customWidth="1"/>
    <col min="13314" max="13314" width="24.7109375" style="124" customWidth="1"/>
    <col min="13315" max="13315" width="11" style="124" customWidth="1"/>
    <col min="13316" max="13316" width="11.85546875" style="124" customWidth="1"/>
    <col min="13317" max="13322" width="11" style="124" customWidth="1"/>
    <col min="13323" max="13323" width="9.140625" style="124" customWidth="1"/>
    <col min="13324" max="13568" width="0" style="124" hidden="1"/>
    <col min="13569" max="13569" width="0" style="124" hidden="1" customWidth="1"/>
    <col min="13570" max="13570" width="24.7109375" style="124" customWidth="1"/>
    <col min="13571" max="13571" width="11" style="124" customWidth="1"/>
    <col min="13572" max="13572" width="11.85546875" style="124" customWidth="1"/>
    <col min="13573" max="13578" width="11" style="124" customWidth="1"/>
    <col min="13579" max="13579" width="9.140625" style="124" customWidth="1"/>
    <col min="13580" max="13824" width="0" style="124" hidden="1"/>
    <col min="13825" max="13825" width="0" style="124" hidden="1" customWidth="1"/>
    <col min="13826" max="13826" width="24.7109375" style="124" customWidth="1"/>
    <col min="13827" max="13827" width="11" style="124" customWidth="1"/>
    <col min="13828" max="13828" width="11.85546875" style="124" customWidth="1"/>
    <col min="13829" max="13834" width="11" style="124" customWidth="1"/>
    <col min="13835" max="13835" width="9.140625" style="124" customWidth="1"/>
    <col min="13836" max="14080" width="0" style="124" hidden="1"/>
    <col min="14081" max="14081" width="0" style="124" hidden="1" customWidth="1"/>
    <col min="14082" max="14082" width="24.7109375" style="124" customWidth="1"/>
    <col min="14083" max="14083" width="11" style="124" customWidth="1"/>
    <col min="14084" max="14084" width="11.85546875" style="124" customWidth="1"/>
    <col min="14085" max="14090" width="11" style="124" customWidth="1"/>
    <col min="14091" max="14091" width="9.140625" style="124" customWidth="1"/>
    <col min="14092" max="14336" width="0" style="124" hidden="1"/>
    <col min="14337" max="14337" width="0" style="124" hidden="1" customWidth="1"/>
    <col min="14338" max="14338" width="24.7109375" style="124" customWidth="1"/>
    <col min="14339" max="14339" width="11" style="124" customWidth="1"/>
    <col min="14340" max="14340" width="11.85546875" style="124" customWidth="1"/>
    <col min="14341" max="14346" width="11" style="124" customWidth="1"/>
    <col min="14347" max="14347" width="9.140625" style="124" customWidth="1"/>
    <col min="14348" max="14592" width="0" style="124" hidden="1"/>
    <col min="14593" max="14593" width="0" style="124" hidden="1" customWidth="1"/>
    <col min="14594" max="14594" width="24.7109375" style="124" customWidth="1"/>
    <col min="14595" max="14595" width="11" style="124" customWidth="1"/>
    <col min="14596" max="14596" width="11.85546875" style="124" customWidth="1"/>
    <col min="14597" max="14602" width="11" style="124" customWidth="1"/>
    <col min="14603" max="14603" width="9.140625" style="124" customWidth="1"/>
    <col min="14604" max="14848" width="0" style="124" hidden="1"/>
    <col min="14849" max="14849" width="0" style="124" hidden="1" customWidth="1"/>
    <col min="14850" max="14850" width="24.7109375" style="124" customWidth="1"/>
    <col min="14851" max="14851" width="11" style="124" customWidth="1"/>
    <col min="14852" max="14852" width="11.85546875" style="124" customWidth="1"/>
    <col min="14853" max="14858" width="11" style="124" customWidth="1"/>
    <col min="14859" max="14859" width="9.140625" style="124" customWidth="1"/>
    <col min="14860" max="15104" width="0" style="124" hidden="1"/>
    <col min="15105" max="15105" width="0" style="124" hidden="1" customWidth="1"/>
    <col min="15106" max="15106" width="24.7109375" style="124" customWidth="1"/>
    <col min="15107" max="15107" width="11" style="124" customWidth="1"/>
    <col min="15108" max="15108" width="11.85546875" style="124" customWidth="1"/>
    <col min="15109" max="15114" width="11" style="124" customWidth="1"/>
    <col min="15115" max="15115" width="9.140625" style="124" customWidth="1"/>
    <col min="15116" max="15360" width="0" style="124" hidden="1"/>
    <col min="15361" max="15361" width="0" style="124" hidden="1" customWidth="1"/>
    <col min="15362" max="15362" width="24.7109375" style="124" customWidth="1"/>
    <col min="15363" max="15363" width="11" style="124" customWidth="1"/>
    <col min="15364" max="15364" width="11.85546875" style="124" customWidth="1"/>
    <col min="15365" max="15370" width="11" style="124" customWidth="1"/>
    <col min="15371" max="15371" width="9.140625" style="124" customWidth="1"/>
    <col min="15372" max="15616" width="0" style="124" hidden="1"/>
    <col min="15617" max="15617" width="0" style="124" hidden="1" customWidth="1"/>
    <col min="15618" max="15618" width="24.7109375" style="124" customWidth="1"/>
    <col min="15619" max="15619" width="11" style="124" customWidth="1"/>
    <col min="15620" max="15620" width="11.85546875" style="124" customWidth="1"/>
    <col min="15621" max="15626" width="11" style="124" customWidth="1"/>
    <col min="15627" max="15627" width="9.140625" style="124" customWidth="1"/>
    <col min="15628" max="15872" width="0" style="124" hidden="1"/>
    <col min="15873" max="15873" width="0" style="124" hidden="1" customWidth="1"/>
    <col min="15874" max="15874" width="24.7109375" style="124" customWidth="1"/>
    <col min="15875" max="15875" width="11" style="124" customWidth="1"/>
    <col min="15876" max="15876" width="11.85546875" style="124" customWidth="1"/>
    <col min="15877" max="15882" width="11" style="124" customWidth="1"/>
    <col min="15883" max="15883" width="9.140625" style="124" customWidth="1"/>
    <col min="15884" max="16128" width="0" style="124" hidden="1"/>
    <col min="16129" max="16129" width="0" style="124" hidden="1" customWidth="1"/>
    <col min="16130" max="16130" width="24.7109375" style="124" customWidth="1"/>
    <col min="16131" max="16131" width="11" style="124" customWidth="1"/>
    <col min="16132" max="16132" width="11.85546875" style="124" customWidth="1"/>
    <col min="16133" max="16138" width="11" style="124" customWidth="1"/>
    <col min="16139" max="16139" width="9.140625" style="124" customWidth="1"/>
    <col min="16140" max="16384" width="0" style="124" hidden="1"/>
  </cols>
  <sheetData>
    <row r="1" spans="1:21" ht="48" customHeight="1">
      <c r="B1" s="222" t="s">
        <v>96</v>
      </c>
      <c r="C1" s="223"/>
      <c r="D1" s="223"/>
      <c r="E1" s="223"/>
      <c r="F1" s="223"/>
      <c r="G1" s="223"/>
      <c r="H1" s="223"/>
      <c r="I1" s="223"/>
      <c r="J1" s="224"/>
    </row>
    <row r="2" spans="1:21" ht="12.75" customHeight="1">
      <c r="B2" s="197"/>
      <c r="C2" s="221" t="s">
        <v>1</v>
      </c>
      <c r="D2" s="221"/>
      <c r="E2" s="200" t="s">
        <v>2</v>
      </c>
      <c r="F2" s="200"/>
      <c r="G2" s="200"/>
      <c r="H2" s="200"/>
      <c r="I2" s="221" t="s">
        <v>5</v>
      </c>
      <c r="J2" s="221"/>
      <c r="L2" s="221"/>
      <c r="M2" s="221"/>
      <c r="N2" s="204"/>
      <c r="O2" s="204"/>
      <c r="P2" s="204"/>
      <c r="Q2" s="204"/>
      <c r="R2" s="205"/>
      <c r="S2" s="205"/>
    </row>
    <row r="3" spans="1:21" ht="30" customHeight="1">
      <c r="A3" s="4"/>
      <c r="B3" s="197"/>
      <c r="C3" s="206"/>
      <c r="D3" s="206"/>
      <c r="E3" s="144" t="s">
        <v>3</v>
      </c>
      <c r="F3" s="144"/>
      <c r="G3" s="144" t="s">
        <v>4</v>
      </c>
      <c r="H3" s="144"/>
      <c r="I3" s="206"/>
      <c r="J3" s="206"/>
      <c r="L3" s="206"/>
      <c r="M3" s="206"/>
      <c r="N3" s="144"/>
      <c r="O3" s="144"/>
      <c r="P3" s="144"/>
      <c r="Q3" s="144"/>
      <c r="R3" s="206"/>
      <c r="S3" s="206"/>
    </row>
    <row r="4" spans="1:21" ht="45.75" customHeight="1">
      <c r="B4" s="203"/>
      <c r="C4" s="145" t="s">
        <v>59</v>
      </c>
      <c r="D4" s="146" t="s">
        <v>60</v>
      </c>
      <c r="E4" s="145" t="s">
        <v>59</v>
      </c>
      <c r="F4" s="146" t="s">
        <v>60</v>
      </c>
      <c r="G4" s="145" t="s">
        <v>59</v>
      </c>
      <c r="H4" s="146" t="s">
        <v>60</v>
      </c>
      <c r="I4" s="145" t="s">
        <v>59</v>
      </c>
      <c r="J4" s="146" t="s">
        <v>60</v>
      </c>
      <c r="L4" s="145"/>
      <c r="M4" s="146"/>
      <c r="N4" s="145"/>
      <c r="O4" s="146"/>
      <c r="P4" s="145"/>
      <c r="Q4" s="146"/>
      <c r="R4" s="145"/>
      <c r="S4" s="146"/>
    </row>
    <row r="5" spans="1:21" ht="30" customHeight="1">
      <c r="B5" s="129" t="s">
        <v>6</v>
      </c>
      <c r="C5" s="135">
        <v>656</v>
      </c>
      <c r="D5" s="135">
        <v>301</v>
      </c>
      <c r="E5" s="135">
        <v>105</v>
      </c>
      <c r="F5" s="135">
        <v>58</v>
      </c>
      <c r="G5" s="135">
        <v>20</v>
      </c>
      <c r="H5" s="135">
        <v>11</v>
      </c>
      <c r="I5" s="135">
        <v>0</v>
      </c>
      <c r="J5" s="135">
        <v>0</v>
      </c>
      <c r="L5" s="164"/>
      <c r="M5" s="164"/>
      <c r="N5" s="164"/>
      <c r="O5" s="164"/>
      <c r="P5" s="164"/>
      <c r="Q5" s="164"/>
      <c r="R5" s="164"/>
      <c r="S5" s="164"/>
      <c r="T5" s="164"/>
      <c r="U5" s="164"/>
    </row>
    <row r="6" spans="1:21" s="129" customFormat="1" ht="25.5" customHeight="1">
      <c r="A6" s="9"/>
      <c r="B6" s="129" t="s">
        <v>7</v>
      </c>
      <c r="C6" s="148">
        <v>463</v>
      </c>
      <c r="D6" s="148">
        <v>237</v>
      </c>
      <c r="E6" s="148">
        <v>69</v>
      </c>
      <c r="F6" s="148">
        <v>41</v>
      </c>
      <c r="G6" s="148">
        <v>15</v>
      </c>
      <c r="H6" s="148">
        <v>10</v>
      </c>
      <c r="I6" s="148">
        <v>0</v>
      </c>
      <c r="J6" s="148">
        <v>0</v>
      </c>
      <c r="L6" s="164"/>
      <c r="M6" s="164"/>
      <c r="N6" s="164"/>
      <c r="O6" s="164"/>
      <c r="P6" s="164"/>
      <c r="Q6" s="164"/>
      <c r="R6" s="164"/>
      <c r="S6" s="164"/>
      <c r="T6" s="164"/>
      <c r="U6" s="164"/>
    </row>
    <row r="7" spans="1:21" ht="12.75" customHeight="1">
      <c r="A7" s="12">
        <v>51</v>
      </c>
      <c r="B7" s="124" t="s">
        <v>8</v>
      </c>
      <c r="C7" s="149">
        <v>12</v>
      </c>
      <c r="D7" s="149">
        <v>5</v>
      </c>
      <c r="E7" s="149">
        <v>1</v>
      </c>
      <c r="F7" s="149">
        <v>0</v>
      </c>
      <c r="G7" s="149">
        <v>0</v>
      </c>
      <c r="H7" s="150">
        <v>0</v>
      </c>
      <c r="I7" s="150">
        <v>0</v>
      </c>
      <c r="J7" s="150">
        <v>0</v>
      </c>
      <c r="L7" s="164"/>
      <c r="M7" s="164"/>
      <c r="N7" s="164"/>
      <c r="O7" s="164"/>
      <c r="P7" s="164"/>
      <c r="Q7" s="164"/>
      <c r="R7" s="164"/>
      <c r="S7" s="164"/>
      <c r="T7" s="164"/>
      <c r="U7" s="164"/>
    </row>
    <row r="8" spans="1:21" ht="12.75" customHeight="1">
      <c r="A8" s="12">
        <v>52</v>
      </c>
      <c r="B8" s="124" t="s">
        <v>9</v>
      </c>
      <c r="C8" s="149">
        <v>18</v>
      </c>
      <c r="D8" s="149">
        <v>4</v>
      </c>
      <c r="E8" s="149">
        <v>2</v>
      </c>
      <c r="F8" s="149">
        <v>0</v>
      </c>
      <c r="G8" s="149">
        <v>1</v>
      </c>
      <c r="H8" s="150">
        <v>0</v>
      </c>
      <c r="I8" s="150">
        <v>0</v>
      </c>
      <c r="J8" s="150">
        <v>0</v>
      </c>
      <c r="L8" s="164"/>
      <c r="M8" s="164"/>
      <c r="N8" s="164"/>
      <c r="O8" s="164"/>
      <c r="P8" s="164"/>
      <c r="Q8" s="164"/>
      <c r="R8" s="164"/>
      <c r="S8" s="164"/>
      <c r="T8" s="164"/>
      <c r="U8" s="164"/>
    </row>
    <row r="9" spans="1:21" ht="12.75" customHeight="1">
      <c r="A9" s="12">
        <v>86</v>
      </c>
      <c r="B9" s="124" t="s">
        <v>10</v>
      </c>
      <c r="C9" s="150">
        <v>11</v>
      </c>
      <c r="D9" s="150">
        <v>4</v>
      </c>
      <c r="E9" s="150">
        <v>2</v>
      </c>
      <c r="F9" s="150">
        <v>0</v>
      </c>
      <c r="G9" s="150">
        <v>0</v>
      </c>
      <c r="H9" s="150">
        <v>0</v>
      </c>
      <c r="I9" s="150">
        <v>0</v>
      </c>
      <c r="J9" s="150">
        <v>0</v>
      </c>
      <c r="L9" s="164"/>
      <c r="M9" s="164"/>
      <c r="N9" s="164"/>
      <c r="O9" s="164"/>
      <c r="P9" s="164"/>
      <c r="Q9" s="164"/>
      <c r="R9" s="164"/>
      <c r="S9" s="164"/>
      <c r="T9" s="164"/>
      <c r="U9" s="164"/>
    </row>
    <row r="10" spans="1:21" ht="12.75" customHeight="1">
      <c r="A10" s="12">
        <v>53</v>
      </c>
      <c r="B10" s="124" t="s">
        <v>11</v>
      </c>
      <c r="C10" s="149">
        <v>4</v>
      </c>
      <c r="D10" s="149">
        <v>2</v>
      </c>
      <c r="E10" s="149">
        <v>1</v>
      </c>
      <c r="F10" s="149">
        <v>1</v>
      </c>
      <c r="G10" s="149">
        <v>0</v>
      </c>
      <c r="H10" s="150">
        <v>0</v>
      </c>
      <c r="I10" s="150">
        <v>0</v>
      </c>
      <c r="J10" s="150">
        <v>0</v>
      </c>
      <c r="L10" s="164"/>
      <c r="M10" s="164"/>
      <c r="N10" s="164"/>
      <c r="O10" s="164"/>
      <c r="P10" s="164"/>
      <c r="Q10" s="164"/>
      <c r="R10" s="164"/>
      <c r="S10" s="164"/>
      <c r="T10" s="164"/>
      <c r="U10" s="164"/>
    </row>
    <row r="11" spans="1:21" ht="12.75" customHeight="1">
      <c r="A11" s="12">
        <v>54</v>
      </c>
      <c r="B11" s="124" t="s">
        <v>12</v>
      </c>
      <c r="C11" s="149">
        <v>24</v>
      </c>
      <c r="D11" s="149">
        <v>13</v>
      </c>
      <c r="E11" s="149">
        <v>0</v>
      </c>
      <c r="F11" s="149">
        <v>0</v>
      </c>
      <c r="G11" s="149">
        <v>1</v>
      </c>
      <c r="H11" s="150">
        <v>1</v>
      </c>
      <c r="I11" s="150">
        <v>0</v>
      </c>
      <c r="J11" s="150">
        <v>0</v>
      </c>
      <c r="L11" s="164"/>
      <c r="M11" s="164"/>
      <c r="N11" s="164"/>
      <c r="O11" s="164"/>
      <c r="P11" s="164"/>
      <c r="Q11" s="164"/>
      <c r="R11" s="164"/>
      <c r="S11" s="164"/>
      <c r="T11" s="164"/>
      <c r="U11" s="164"/>
    </row>
    <row r="12" spans="1:21" ht="12.75" customHeight="1">
      <c r="A12" s="12">
        <v>55</v>
      </c>
      <c r="B12" s="124" t="s">
        <v>13</v>
      </c>
      <c r="C12" s="149">
        <v>8</v>
      </c>
      <c r="D12" s="149">
        <v>4</v>
      </c>
      <c r="E12" s="149">
        <v>2</v>
      </c>
      <c r="F12" s="149">
        <v>1</v>
      </c>
      <c r="G12" s="149">
        <v>0</v>
      </c>
      <c r="H12" s="150">
        <v>0</v>
      </c>
      <c r="I12" s="150">
        <v>0</v>
      </c>
      <c r="J12" s="150">
        <v>0</v>
      </c>
      <c r="L12" s="164"/>
      <c r="M12" s="164"/>
      <c r="N12" s="164"/>
      <c r="O12" s="164"/>
      <c r="P12" s="164"/>
      <c r="Q12" s="164"/>
      <c r="R12" s="164"/>
      <c r="S12" s="164"/>
      <c r="T12" s="164"/>
      <c r="U12" s="164"/>
    </row>
    <row r="13" spans="1:21" ht="12.75" customHeight="1">
      <c r="A13" s="12">
        <v>56</v>
      </c>
      <c r="B13" s="124" t="s">
        <v>14</v>
      </c>
      <c r="C13" s="149">
        <v>3</v>
      </c>
      <c r="D13" s="149">
        <v>2</v>
      </c>
      <c r="E13" s="149">
        <v>1</v>
      </c>
      <c r="F13" s="149">
        <v>1</v>
      </c>
      <c r="G13" s="149">
        <v>0</v>
      </c>
      <c r="H13" s="150">
        <v>0</v>
      </c>
      <c r="I13" s="150">
        <v>0</v>
      </c>
      <c r="J13" s="150">
        <v>0</v>
      </c>
      <c r="L13" s="164"/>
      <c r="M13" s="164"/>
      <c r="N13" s="164"/>
      <c r="O13" s="164"/>
      <c r="P13" s="164"/>
      <c r="Q13" s="164"/>
      <c r="R13" s="164"/>
      <c r="S13" s="164"/>
      <c r="T13" s="164"/>
      <c r="U13" s="164"/>
    </row>
    <row r="14" spans="1:21" ht="12.75" customHeight="1">
      <c r="A14" s="12">
        <v>57</v>
      </c>
      <c r="B14" s="124" t="s">
        <v>15</v>
      </c>
      <c r="C14" s="149">
        <v>15</v>
      </c>
      <c r="D14" s="149">
        <v>11</v>
      </c>
      <c r="E14" s="149">
        <v>6</v>
      </c>
      <c r="F14" s="149">
        <v>4</v>
      </c>
      <c r="G14" s="149">
        <v>6</v>
      </c>
      <c r="H14" s="150">
        <v>4</v>
      </c>
      <c r="I14" s="150">
        <v>0</v>
      </c>
      <c r="J14" s="150">
        <v>0</v>
      </c>
      <c r="L14" s="164"/>
      <c r="M14" s="164"/>
      <c r="N14" s="164"/>
      <c r="O14" s="164"/>
      <c r="P14" s="164"/>
      <c r="Q14" s="164"/>
      <c r="R14" s="164"/>
      <c r="S14" s="164"/>
      <c r="T14" s="164"/>
      <c r="U14" s="164"/>
    </row>
    <row r="15" spans="1:21" ht="12.75" customHeight="1">
      <c r="A15" s="12">
        <v>59</v>
      </c>
      <c r="B15" s="124" t="s">
        <v>16</v>
      </c>
      <c r="C15" s="149">
        <v>2</v>
      </c>
      <c r="D15" s="149">
        <v>6</v>
      </c>
      <c r="E15" s="149">
        <v>0</v>
      </c>
      <c r="F15" s="149">
        <v>3</v>
      </c>
      <c r="G15" s="149">
        <v>0</v>
      </c>
      <c r="H15" s="150">
        <v>0</v>
      </c>
      <c r="I15" s="150">
        <v>0</v>
      </c>
      <c r="J15" s="150">
        <v>0</v>
      </c>
      <c r="L15" s="164"/>
      <c r="M15" s="164"/>
      <c r="N15" s="164"/>
      <c r="O15" s="164"/>
      <c r="P15" s="164"/>
      <c r="Q15" s="164"/>
      <c r="R15" s="164"/>
      <c r="S15" s="164"/>
      <c r="T15" s="164"/>
      <c r="U15" s="164"/>
    </row>
    <row r="16" spans="1:21" ht="12.75" customHeight="1">
      <c r="A16" s="12">
        <v>60</v>
      </c>
      <c r="B16" s="124" t="s">
        <v>17</v>
      </c>
      <c r="C16" s="149">
        <v>8</v>
      </c>
      <c r="D16" s="149">
        <v>3</v>
      </c>
      <c r="E16" s="149">
        <v>1</v>
      </c>
      <c r="F16" s="149">
        <v>1</v>
      </c>
      <c r="G16" s="149">
        <v>0</v>
      </c>
      <c r="H16" s="150">
        <v>0</v>
      </c>
      <c r="I16" s="150">
        <v>0</v>
      </c>
      <c r="J16" s="150">
        <v>0</v>
      </c>
      <c r="L16" s="164"/>
      <c r="M16" s="164"/>
      <c r="N16" s="164"/>
      <c r="O16" s="164"/>
      <c r="P16" s="164"/>
      <c r="Q16" s="164"/>
      <c r="R16" s="164"/>
      <c r="S16" s="164"/>
      <c r="T16" s="164"/>
      <c r="U16" s="164"/>
    </row>
    <row r="17" spans="1:21" ht="12.75" customHeight="1">
      <c r="A17" s="12">
        <v>61</v>
      </c>
      <c r="B17" s="151" t="s">
        <v>18</v>
      </c>
      <c r="C17" s="149">
        <v>15</v>
      </c>
      <c r="D17" s="149">
        <v>18</v>
      </c>
      <c r="E17" s="149">
        <v>4</v>
      </c>
      <c r="F17" s="149">
        <v>5</v>
      </c>
      <c r="G17" s="149">
        <v>0</v>
      </c>
      <c r="H17" s="150">
        <v>0</v>
      </c>
      <c r="I17" s="150">
        <v>0</v>
      </c>
      <c r="J17" s="150">
        <v>0</v>
      </c>
      <c r="L17" s="164"/>
      <c r="M17" s="164"/>
      <c r="N17" s="164"/>
      <c r="O17" s="164"/>
      <c r="P17" s="164"/>
      <c r="Q17" s="164"/>
      <c r="R17" s="164"/>
      <c r="S17" s="164"/>
      <c r="T17" s="164"/>
      <c r="U17" s="164"/>
    </row>
    <row r="18" spans="1:21" s="184" customFormat="1" ht="12.75" customHeight="1">
      <c r="A18" s="12"/>
      <c r="B18" s="132" t="s">
        <v>125</v>
      </c>
      <c r="C18" s="165" t="s">
        <v>126</v>
      </c>
      <c r="D18" s="165" t="s">
        <v>126</v>
      </c>
      <c r="E18" s="165" t="s">
        <v>126</v>
      </c>
      <c r="F18" s="165" t="s">
        <v>126</v>
      </c>
      <c r="G18" s="149" t="s">
        <v>126</v>
      </c>
      <c r="H18" s="150" t="s">
        <v>126</v>
      </c>
      <c r="I18" s="150" t="s">
        <v>126</v>
      </c>
      <c r="J18" s="150" t="s">
        <v>126</v>
      </c>
      <c r="L18" s="164"/>
      <c r="M18" s="164"/>
      <c r="N18" s="164"/>
      <c r="O18" s="164"/>
      <c r="P18" s="164"/>
      <c r="Q18" s="164"/>
      <c r="R18" s="164"/>
      <c r="S18" s="164"/>
      <c r="T18" s="164"/>
      <c r="U18" s="164"/>
    </row>
    <row r="19" spans="1:21" ht="12.75" customHeight="1">
      <c r="A19" s="12">
        <v>62</v>
      </c>
      <c r="B19" s="124" t="s">
        <v>19</v>
      </c>
      <c r="C19" s="149">
        <v>13</v>
      </c>
      <c r="D19" s="149">
        <v>13</v>
      </c>
      <c r="E19" s="149">
        <v>0</v>
      </c>
      <c r="F19" s="149">
        <v>2</v>
      </c>
      <c r="G19" s="149">
        <v>0</v>
      </c>
      <c r="H19" s="150">
        <v>0</v>
      </c>
      <c r="I19" s="150">
        <v>0</v>
      </c>
      <c r="J19" s="150">
        <v>0</v>
      </c>
      <c r="L19" s="164"/>
      <c r="M19" s="164"/>
      <c r="N19" s="164"/>
      <c r="O19" s="164"/>
      <c r="P19" s="164"/>
      <c r="Q19" s="164"/>
      <c r="R19" s="164"/>
      <c r="S19" s="164"/>
      <c r="T19" s="164"/>
      <c r="U19" s="164"/>
    </row>
    <row r="20" spans="1:21" ht="12.75" customHeight="1">
      <c r="A20" s="12">
        <v>58</v>
      </c>
      <c r="B20" s="124" t="s">
        <v>20</v>
      </c>
      <c r="C20" s="149">
        <v>4</v>
      </c>
      <c r="D20" s="149">
        <v>7</v>
      </c>
      <c r="E20" s="149">
        <v>0</v>
      </c>
      <c r="F20" s="149">
        <v>3</v>
      </c>
      <c r="G20" s="149">
        <v>0</v>
      </c>
      <c r="H20" s="150">
        <v>0</v>
      </c>
      <c r="I20" s="150">
        <v>0</v>
      </c>
      <c r="J20" s="150">
        <v>0</v>
      </c>
      <c r="L20" s="164"/>
      <c r="M20" s="164"/>
      <c r="N20" s="164"/>
      <c r="O20" s="164"/>
      <c r="P20" s="164"/>
      <c r="Q20" s="164"/>
      <c r="R20" s="164"/>
      <c r="S20" s="164"/>
      <c r="T20" s="164"/>
      <c r="U20" s="164"/>
    </row>
    <row r="21" spans="1:21" ht="12.75" customHeight="1">
      <c r="A21" s="12">
        <v>63</v>
      </c>
      <c r="B21" s="124" t="s">
        <v>21</v>
      </c>
      <c r="C21" s="149">
        <v>21</v>
      </c>
      <c r="D21" s="149">
        <v>16</v>
      </c>
      <c r="E21" s="149">
        <v>2</v>
      </c>
      <c r="F21" s="149">
        <v>2</v>
      </c>
      <c r="G21" s="149">
        <v>0</v>
      </c>
      <c r="H21" s="150">
        <v>0</v>
      </c>
      <c r="I21" s="150">
        <v>0</v>
      </c>
      <c r="J21" s="150">
        <v>0</v>
      </c>
      <c r="L21" s="164"/>
      <c r="M21" s="164"/>
      <c r="N21" s="164"/>
      <c r="O21" s="164"/>
      <c r="P21" s="164"/>
      <c r="Q21" s="164"/>
      <c r="R21" s="164"/>
      <c r="S21" s="164"/>
      <c r="T21" s="164"/>
      <c r="U21" s="164"/>
    </row>
    <row r="22" spans="1:21" ht="12.75" customHeight="1">
      <c r="A22" s="12">
        <v>64</v>
      </c>
      <c r="B22" s="124" t="s">
        <v>22</v>
      </c>
      <c r="C22" s="149">
        <v>19</v>
      </c>
      <c r="D22" s="149">
        <v>16</v>
      </c>
      <c r="E22" s="149">
        <v>1</v>
      </c>
      <c r="F22" s="149">
        <v>2</v>
      </c>
      <c r="G22" s="149">
        <v>1</v>
      </c>
      <c r="H22" s="150">
        <v>0</v>
      </c>
      <c r="I22" s="150">
        <v>0</v>
      </c>
      <c r="J22" s="150">
        <v>0</v>
      </c>
      <c r="L22" s="164"/>
      <c r="M22" s="164"/>
      <c r="N22" s="164"/>
      <c r="O22" s="164"/>
      <c r="P22" s="164"/>
      <c r="Q22" s="164"/>
      <c r="R22" s="164"/>
      <c r="S22" s="164"/>
      <c r="T22" s="164"/>
      <c r="U22" s="164"/>
    </row>
    <row r="23" spans="1:21" ht="12.75" customHeight="1">
      <c r="A23" s="12">
        <v>65</v>
      </c>
      <c r="B23" s="124" t="s">
        <v>23</v>
      </c>
      <c r="C23" s="149">
        <v>3</v>
      </c>
      <c r="D23" s="149">
        <v>6</v>
      </c>
      <c r="E23" s="149">
        <v>1</v>
      </c>
      <c r="F23" s="149">
        <v>2</v>
      </c>
      <c r="G23" s="149">
        <v>0</v>
      </c>
      <c r="H23" s="150">
        <v>0</v>
      </c>
      <c r="I23" s="150">
        <v>0</v>
      </c>
      <c r="J23" s="150">
        <v>0</v>
      </c>
      <c r="L23" s="164"/>
      <c r="M23" s="164"/>
      <c r="N23" s="164"/>
      <c r="O23" s="164"/>
      <c r="P23" s="164"/>
      <c r="Q23" s="164"/>
      <c r="R23" s="164"/>
      <c r="S23" s="164"/>
      <c r="T23" s="164"/>
      <c r="U23" s="164"/>
    </row>
    <row r="24" spans="1:21" ht="12.75" customHeight="1">
      <c r="A24" s="12">
        <v>67</v>
      </c>
      <c r="B24" s="124" t="s">
        <v>24</v>
      </c>
      <c r="C24" s="149">
        <v>14</v>
      </c>
      <c r="D24" s="149">
        <v>7</v>
      </c>
      <c r="E24" s="149">
        <v>0</v>
      </c>
      <c r="F24" s="149">
        <v>2</v>
      </c>
      <c r="G24" s="149">
        <v>1</v>
      </c>
      <c r="H24" s="150">
        <v>2</v>
      </c>
      <c r="I24" s="150">
        <v>0</v>
      </c>
      <c r="J24" s="150">
        <v>0</v>
      </c>
      <c r="L24" s="164"/>
      <c r="M24" s="164"/>
      <c r="N24" s="164"/>
      <c r="O24" s="164"/>
      <c r="P24" s="164"/>
      <c r="Q24" s="164"/>
      <c r="R24" s="164"/>
      <c r="S24" s="164"/>
      <c r="T24" s="164"/>
      <c r="U24" s="164"/>
    </row>
    <row r="25" spans="1:21" ht="12.75" customHeight="1">
      <c r="A25" s="12">
        <v>68</v>
      </c>
      <c r="B25" s="124" t="s">
        <v>25</v>
      </c>
      <c r="C25" s="149">
        <v>18</v>
      </c>
      <c r="D25" s="149">
        <v>5</v>
      </c>
      <c r="E25" s="149">
        <v>1</v>
      </c>
      <c r="F25" s="149">
        <v>1</v>
      </c>
      <c r="G25" s="149">
        <v>0</v>
      </c>
      <c r="H25" s="150">
        <v>0</v>
      </c>
      <c r="I25" s="150">
        <v>0</v>
      </c>
      <c r="J25" s="150">
        <v>0</v>
      </c>
      <c r="L25" s="164"/>
      <c r="M25" s="164"/>
      <c r="N25" s="164"/>
      <c r="O25" s="164"/>
      <c r="P25" s="164"/>
      <c r="Q25" s="164"/>
      <c r="R25" s="164"/>
      <c r="S25" s="164"/>
      <c r="T25" s="164"/>
      <c r="U25" s="164"/>
    </row>
    <row r="26" spans="1:21" ht="12.75" customHeight="1">
      <c r="A26" s="12">
        <v>69</v>
      </c>
      <c r="B26" s="124" t="s">
        <v>26</v>
      </c>
      <c r="C26" s="149">
        <v>4</v>
      </c>
      <c r="D26" s="149">
        <v>1</v>
      </c>
      <c r="E26" s="149">
        <v>2</v>
      </c>
      <c r="F26" s="149">
        <v>0</v>
      </c>
      <c r="G26" s="149">
        <v>0</v>
      </c>
      <c r="H26" s="150">
        <v>0</v>
      </c>
      <c r="I26" s="150">
        <v>0</v>
      </c>
      <c r="J26" s="150">
        <v>0</v>
      </c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21" ht="12.75" customHeight="1">
      <c r="A27" s="12">
        <v>70</v>
      </c>
      <c r="B27" s="124" t="s">
        <v>27</v>
      </c>
      <c r="C27" s="149">
        <v>14</v>
      </c>
      <c r="D27" s="149">
        <v>10</v>
      </c>
      <c r="E27" s="149">
        <v>1</v>
      </c>
      <c r="F27" s="149">
        <v>1</v>
      </c>
      <c r="G27" s="149">
        <v>1</v>
      </c>
      <c r="H27" s="150">
        <v>1</v>
      </c>
      <c r="I27" s="150">
        <v>0</v>
      </c>
      <c r="J27" s="150">
        <v>0</v>
      </c>
      <c r="L27" s="164"/>
      <c r="M27" s="164"/>
      <c r="N27" s="164"/>
      <c r="O27" s="164"/>
      <c r="P27" s="164"/>
      <c r="Q27" s="164"/>
      <c r="R27" s="164"/>
      <c r="S27" s="164"/>
      <c r="T27" s="164"/>
      <c r="U27" s="164"/>
    </row>
    <row r="28" spans="1:21" ht="12.75" customHeight="1">
      <c r="A28" s="12">
        <v>71</v>
      </c>
      <c r="B28" s="152" t="s">
        <v>28</v>
      </c>
      <c r="C28" s="149">
        <v>4</v>
      </c>
      <c r="D28" s="149">
        <v>2</v>
      </c>
      <c r="E28" s="149">
        <v>4</v>
      </c>
      <c r="F28" s="149">
        <v>2</v>
      </c>
      <c r="G28" s="149">
        <v>0</v>
      </c>
      <c r="H28" s="150">
        <v>0</v>
      </c>
      <c r="I28" s="150">
        <v>0</v>
      </c>
      <c r="J28" s="150">
        <v>0</v>
      </c>
      <c r="L28" s="164"/>
      <c r="M28" s="164"/>
      <c r="N28" s="164"/>
      <c r="O28" s="164"/>
      <c r="P28" s="164"/>
      <c r="Q28" s="164"/>
      <c r="R28" s="164"/>
      <c r="S28" s="164"/>
      <c r="T28" s="164"/>
      <c r="U28" s="164"/>
    </row>
    <row r="29" spans="1:21" ht="12.75" customHeight="1">
      <c r="A29" s="12">
        <v>73</v>
      </c>
      <c r="B29" s="124" t="s">
        <v>29</v>
      </c>
      <c r="C29" s="153">
        <v>37</v>
      </c>
      <c r="D29" s="153">
        <v>2</v>
      </c>
      <c r="E29" s="153">
        <v>3</v>
      </c>
      <c r="F29" s="153">
        <v>0</v>
      </c>
      <c r="G29" s="153">
        <v>0</v>
      </c>
      <c r="H29" s="153">
        <v>0</v>
      </c>
      <c r="I29" s="153">
        <v>0</v>
      </c>
      <c r="J29" s="153">
        <v>0</v>
      </c>
      <c r="L29" s="164"/>
      <c r="M29" s="164"/>
      <c r="N29" s="164"/>
      <c r="O29" s="164"/>
      <c r="P29" s="164"/>
      <c r="Q29" s="164"/>
      <c r="R29" s="164"/>
      <c r="S29" s="164"/>
      <c r="T29" s="164"/>
      <c r="U29" s="164"/>
    </row>
    <row r="30" spans="1:21" ht="12.75" customHeight="1">
      <c r="A30" s="12">
        <v>74</v>
      </c>
      <c r="B30" s="124" t="s">
        <v>30</v>
      </c>
      <c r="C30" s="149">
        <v>10</v>
      </c>
      <c r="D30" s="149">
        <v>4</v>
      </c>
      <c r="E30" s="149">
        <v>1</v>
      </c>
      <c r="F30" s="149">
        <v>0</v>
      </c>
      <c r="G30" s="149">
        <v>1</v>
      </c>
      <c r="H30" s="150">
        <v>0</v>
      </c>
      <c r="I30" s="150">
        <v>0</v>
      </c>
      <c r="J30" s="150">
        <v>0</v>
      </c>
      <c r="L30" s="164"/>
      <c r="M30" s="164"/>
      <c r="N30" s="164"/>
      <c r="O30" s="164"/>
      <c r="P30" s="164"/>
      <c r="Q30" s="164"/>
      <c r="R30" s="164"/>
      <c r="S30" s="164"/>
      <c r="T30" s="164"/>
      <c r="U30" s="164"/>
    </row>
    <row r="31" spans="1:21" ht="12.75" customHeight="1">
      <c r="A31" s="12">
        <v>75</v>
      </c>
      <c r="B31" s="124" t="s">
        <v>31</v>
      </c>
      <c r="C31" s="149">
        <v>13</v>
      </c>
      <c r="D31" s="149">
        <v>4</v>
      </c>
      <c r="E31" s="149">
        <v>4</v>
      </c>
      <c r="F31" s="149">
        <v>0</v>
      </c>
      <c r="G31" s="149">
        <v>2</v>
      </c>
      <c r="H31" s="150">
        <v>0</v>
      </c>
      <c r="I31" s="150">
        <v>0</v>
      </c>
      <c r="J31" s="150">
        <v>0</v>
      </c>
      <c r="L31" s="164"/>
      <c r="M31" s="164"/>
      <c r="N31" s="164"/>
      <c r="O31" s="164"/>
      <c r="P31" s="164"/>
      <c r="Q31" s="164"/>
      <c r="R31" s="164"/>
      <c r="S31" s="164"/>
      <c r="T31" s="164"/>
      <c r="U31" s="164"/>
    </row>
    <row r="32" spans="1:21" ht="12.75" customHeight="1">
      <c r="A32" s="12">
        <v>76</v>
      </c>
      <c r="B32" s="124" t="s">
        <v>32</v>
      </c>
      <c r="C32" s="150">
        <v>5</v>
      </c>
      <c r="D32" s="150">
        <v>11</v>
      </c>
      <c r="E32" s="150">
        <v>1</v>
      </c>
      <c r="F32" s="150">
        <v>2</v>
      </c>
      <c r="G32" s="150">
        <v>0</v>
      </c>
      <c r="H32" s="150">
        <v>1</v>
      </c>
      <c r="I32" s="150">
        <v>0</v>
      </c>
      <c r="J32" s="150">
        <v>0</v>
      </c>
      <c r="L32" s="164"/>
      <c r="M32" s="164"/>
      <c r="N32" s="164"/>
      <c r="O32" s="164"/>
      <c r="P32" s="164"/>
      <c r="Q32" s="164"/>
      <c r="R32" s="164"/>
      <c r="S32" s="164"/>
      <c r="T32" s="164"/>
      <c r="U32" s="164"/>
    </row>
    <row r="33" spans="1:21" ht="12.75" customHeight="1">
      <c r="A33" s="12">
        <v>79</v>
      </c>
      <c r="B33" s="124" t="s">
        <v>33</v>
      </c>
      <c r="C33" s="150">
        <v>19</v>
      </c>
      <c r="D33" s="150">
        <v>9</v>
      </c>
      <c r="E33" s="150">
        <v>5</v>
      </c>
      <c r="F33" s="150">
        <v>0</v>
      </c>
      <c r="G33" s="150">
        <v>0</v>
      </c>
      <c r="H33" s="150">
        <v>0</v>
      </c>
      <c r="I33" s="150">
        <v>0</v>
      </c>
      <c r="J33" s="150">
        <v>0</v>
      </c>
      <c r="L33" s="164"/>
      <c r="M33" s="164"/>
      <c r="N33" s="164"/>
      <c r="O33" s="164"/>
      <c r="P33" s="164"/>
      <c r="Q33" s="164"/>
      <c r="R33" s="164"/>
      <c r="S33" s="164"/>
      <c r="T33" s="164"/>
      <c r="U33" s="164"/>
    </row>
    <row r="34" spans="1:21" ht="12.75" customHeight="1">
      <c r="A34" s="12">
        <v>80</v>
      </c>
      <c r="B34" s="124" t="s">
        <v>34</v>
      </c>
      <c r="C34" s="150">
        <v>8</v>
      </c>
      <c r="D34" s="150">
        <v>5</v>
      </c>
      <c r="E34" s="150">
        <v>2</v>
      </c>
      <c r="F34" s="150">
        <v>0</v>
      </c>
      <c r="G34" s="150">
        <v>0</v>
      </c>
      <c r="H34" s="150">
        <v>0</v>
      </c>
      <c r="I34" s="150">
        <v>0</v>
      </c>
      <c r="J34" s="150">
        <v>0</v>
      </c>
      <c r="L34" s="164"/>
      <c r="M34" s="164"/>
      <c r="N34" s="164"/>
      <c r="O34" s="164"/>
      <c r="P34" s="164"/>
      <c r="Q34" s="164"/>
      <c r="R34" s="164"/>
      <c r="S34" s="164"/>
      <c r="T34" s="164"/>
      <c r="U34" s="164"/>
    </row>
    <row r="35" spans="1:21" ht="12.75" customHeight="1">
      <c r="A35" s="12">
        <v>81</v>
      </c>
      <c r="B35" s="124" t="s">
        <v>35</v>
      </c>
      <c r="C35" s="150">
        <v>14</v>
      </c>
      <c r="D35" s="150">
        <v>4</v>
      </c>
      <c r="E35" s="150">
        <v>1</v>
      </c>
      <c r="F35" s="150">
        <v>0</v>
      </c>
      <c r="G35" s="150">
        <v>1</v>
      </c>
      <c r="H35" s="150">
        <v>0</v>
      </c>
      <c r="I35" s="150">
        <v>0</v>
      </c>
      <c r="J35" s="150">
        <v>0</v>
      </c>
      <c r="L35" s="164"/>
      <c r="M35" s="164"/>
      <c r="N35" s="164"/>
      <c r="O35" s="164"/>
      <c r="P35" s="164"/>
      <c r="Q35" s="164"/>
      <c r="R35" s="164"/>
      <c r="S35" s="164"/>
      <c r="T35" s="164"/>
      <c r="U35" s="164"/>
    </row>
    <row r="36" spans="1:21" ht="12.75" customHeight="1">
      <c r="A36" s="12">
        <v>83</v>
      </c>
      <c r="B36" s="124" t="s">
        <v>36</v>
      </c>
      <c r="C36" s="150">
        <v>7</v>
      </c>
      <c r="D36" s="150">
        <v>7</v>
      </c>
      <c r="E36" s="150">
        <v>3</v>
      </c>
      <c r="F36" s="150">
        <v>1</v>
      </c>
      <c r="G36" s="150">
        <v>0</v>
      </c>
      <c r="H36" s="150">
        <v>0</v>
      </c>
      <c r="I36" s="150">
        <v>0</v>
      </c>
      <c r="J36" s="150">
        <v>0</v>
      </c>
      <c r="L36" s="164"/>
      <c r="M36" s="164"/>
      <c r="N36" s="164"/>
      <c r="O36" s="164"/>
      <c r="P36" s="164"/>
      <c r="Q36" s="164"/>
      <c r="R36" s="164"/>
      <c r="S36" s="164"/>
      <c r="T36" s="164"/>
      <c r="U36" s="164"/>
    </row>
    <row r="37" spans="1:21" ht="12.75" customHeight="1">
      <c r="A37" s="12">
        <v>84</v>
      </c>
      <c r="B37" s="124" t="s">
        <v>37</v>
      </c>
      <c r="C37" s="150">
        <v>13</v>
      </c>
      <c r="D37" s="150">
        <v>7</v>
      </c>
      <c r="E37" s="150">
        <v>4</v>
      </c>
      <c r="F37" s="150">
        <v>0</v>
      </c>
      <c r="G37" s="150">
        <v>0</v>
      </c>
      <c r="H37" s="150">
        <v>1</v>
      </c>
      <c r="I37" s="150">
        <v>0</v>
      </c>
      <c r="J37" s="150">
        <v>0</v>
      </c>
      <c r="L37" s="164"/>
      <c r="M37" s="164"/>
      <c r="N37" s="164"/>
      <c r="O37" s="164"/>
      <c r="P37" s="164"/>
      <c r="Q37" s="164"/>
      <c r="R37" s="164"/>
      <c r="S37" s="164"/>
      <c r="T37" s="164"/>
      <c r="U37" s="164"/>
    </row>
    <row r="38" spans="1:21" ht="12.75" customHeight="1">
      <c r="A38" s="12">
        <v>85</v>
      </c>
      <c r="B38" s="124" t="s">
        <v>38</v>
      </c>
      <c r="C38" s="150">
        <v>21</v>
      </c>
      <c r="D38" s="150">
        <v>8</v>
      </c>
      <c r="E38" s="150">
        <v>1</v>
      </c>
      <c r="F38" s="150">
        <v>2</v>
      </c>
      <c r="G38" s="150">
        <v>0</v>
      </c>
      <c r="H38" s="150">
        <v>0</v>
      </c>
      <c r="I38" s="150">
        <v>0</v>
      </c>
      <c r="J38" s="150">
        <v>0</v>
      </c>
      <c r="L38" s="164"/>
      <c r="M38" s="164"/>
      <c r="N38" s="164"/>
      <c r="O38" s="164"/>
      <c r="P38" s="164"/>
      <c r="Q38" s="164"/>
      <c r="R38" s="164"/>
      <c r="S38" s="164"/>
      <c r="T38" s="164"/>
      <c r="U38" s="164"/>
    </row>
    <row r="39" spans="1:21" ht="12.75" customHeight="1">
      <c r="A39" s="12">
        <v>87</v>
      </c>
      <c r="B39" s="124" t="s">
        <v>39</v>
      </c>
      <c r="C39" s="150">
        <v>5</v>
      </c>
      <c r="D39" s="150">
        <v>3</v>
      </c>
      <c r="E39" s="150">
        <v>1</v>
      </c>
      <c r="F39" s="150">
        <v>1</v>
      </c>
      <c r="G39" s="150">
        <v>0</v>
      </c>
      <c r="H39" s="150">
        <v>0</v>
      </c>
      <c r="I39" s="150">
        <v>0</v>
      </c>
      <c r="J39" s="150">
        <v>0</v>
      </c>
      <c r="L39" s="164"/>
      <c r="M39" s="164"/>
      <c r="N39" s="164"/>
      <c r="O39" s="164"/>
      <c r="P39" s="164"/>
      <c r="Q39" s="164"/>
      <c r="R39" s="164"/>
      <c r="S39" s="164"/>
      <c r="T39" s="164"/>
      <c r="U39" s="164"/>
    </row>
    <row r="40" spans="1:21" ht="12.75" customHeight="1">
      <c r="A40" s="12">
        <v>90</v>
      </c>
      <c r="B40" s="124" t="s">
        <v>40</v>
      </c>
      <c r="C40" s="150">
        <v>13</v>
      </c>
      <c r="D40" s="150">
        <v>4</v>
      </c>
      <c r="E40" s="150">
        <v>2</v>
      </c>
      <c r="F40" s="150">
        <v>1</v>
      </c>
      <c r="G40" s="150">
        <v>0</v>
      </c>
      <c r="H40" s="150">
        <v>0</v>
      </c>
      <c r="I40" s="150">
        <v>0</v>
      </c>
      <c r="J40" s="150">
        <v>0</v>
      </c>
      <c r="L40" s="164"/>
      <c r="M40" s="164"/>
      <c r="N40" s="164"/>
      <c r="O40" s="164"/>
      <c r="P40" s="164"/>
      <c r="Q40" s="164"/>
      <c r="R40" s="164"/>
      <c r="S40" s="164"/>
      <c r="T40" s="164"/>
      <c r="U40" s="164"/>
    </row>
    <row r="41" spans="1:21" ht="12.75" customHeight="1">
      <c r="A41" s="12">
        <v>91</v>
      </c>
      <c r="B41" s="124" t="s">
        <v>41</v>
      </c>
      <c r="C41" s="150">
        <v>16</v>
      </c>
      <c r="D41" s="150">
        <v>3</v>
      </c>
      <c r="E41" s="150">
        <v>0</v>
      </c>
      <c r="F41" s="150">
        <v>0</v>
      </c>
      <c r="G41" s="150">
        <v>0</v>
      </c>
      <c r="H41" s="150">
        <v>0</v>
      </c>
      <c r="I41" s="150">
        <v>0</v>
      </c>
      <c r="J41" s="150">
        <v>0</v>
      </c>
      <c r="K41" s="129"/>
      <c r="L41" s="164"/>
      <c r="M41" s="164"/>
      <c r="N41" s="164"/>
      <c r="O41" s="164"/>
      <c r="P41" s="164"/>
      <c r="Q41" s="164"/>
      <c r="R41" s="164"/>
      <c r="S41" s="164"/>
      <c r="T41" s="164"/>
      <c r="U41" s="164"/>
    </row>
    <row r="42" spans="1:21" ht="12.75" customHeight="1">
      <c r="A42" s="12">
        <v>92</v>
      </c>
      <c r="B42" s="124" t="s">
        <v>42</v>
      </c>
      <c r="C42" s="150">
        <v>12</v>
      </c>
      <c r="D42" s="150">
        <v>1</v>
      </c>
      <c r="E42" s="150">
        <v>3</v>
      </c>
      <c r="F42" s="150">
        <v>0</v>
      </c>
      <c r="G42" s="150">
        <v>0</v>
      </c>
      <c r="H42" s="150">
        <v>0</v>
      </c>
      <c r="I42" s="150">
        <v>0</v>
      </c>
      <c r="J42" s="150">
        <v>0</v>
      </c>
      <c r="L42" s="164"/>
      <c r="M42" s="164"/>
      <c r="N42" s="164"/>
      <c r="O42" s="164"/>
      <c r="P42" s="164"/>
      <c r="Q42" s="164"/>
      <c r="R42" s="164"/>
      <c r="S42" s="164"/>
      <c r="T42" s="164"/>
      <c r="U42" s="164"/>
    </row>
    <row r="43" spans="1:21" ht="12.75" customHeight="1">
      <c r="A43" s="12">
        <v>94</v>
      </c>
      <c r="B43" s="124" t="s">
        <v>43</v>
      </c>
      <c r="C43" s="150">
        <v>16</v>
      </c>
      <c r="D43" s="150">
        <v>2</v>
      </c>
      <c r="E43" s="150">
        <v>2</v>
      </c>
      <c r="F43" s="150">
        <v>0</v>
      </c>
      <c r="G43" s="150">
        <v>0</v>
      </c>
      <c r="H43" s="150">
        <v>0</v>
      </c>
      <c r="I43" s="150">
        <v>0</v>
      </c>
      <c r="J43" s="150">
        <v>0</v>
      </c>
      <c r="L43" s="164"/>
      <c r="M43" s="164"/>
      <c r="N43" s="164"/>
      <c r="O43" s="164"/>
      <c r="P43" s="164"/>
      <c r="Q43" s="164"/>
      <c r="R43" s="164"/>
      <c r="S43" s="164"/>
      <c r="T43" s="164"/>
      <c r="U43" s="164"/>
    </row>
    <row r="44" spans="1:21" ht="12.75" customHeight="1">
      <c r="A44" s="12">
        <v>96</v>
      </c>
      <c r="B44" s="124" t="s">
        <v>44</v>
      </c>
      <c r="C44" s="150">
        <v>7</v>
      </c>
      <c r="D44" s="150">
        <v>6</v>
      </c>
      <c r="E44" s="150">
        <v>2</v>
      </c>
      <c r="F44" s="150">
        <v>1</v>
      </c>
      <c r="G44" s="150">
        <v>0</v>
      </c>
      <c r="H44" s="150">
        <v>0</v>
      </c>
      <c r="I44" s="150">
        <v>0</v>
      </c>
      <c r="J44" s="150">
        <v>0</v>
      </c>
      <c r="L44" s="164"/>
      <c r="M44" s="164"/>
      <c r="N44" s="164"/>
      <c r="O44" s="164"/>
      <c r="P44" s="164"/>
      <c r="Q44" s="164"/>
      <c r="R44" s="164"/>
      <c r="S44" s="164"/>
      <c r="T44" s="164"/>
      <c r="U44" s="164"/>
    </row>
    <row r="45" spans="1:21" ht="12.75" customHeight="1">
      <c r="A45" s="12">
        <v>98</v>
      </c>
      <c r="B45" s="124" t="s">
        <v>45</v>
      </c>
      <c r="C45" s="150">
        <v>13</v>
      </c>
      <c r="D45" s="150">
        <v>2</v>
      </c>
      <c r="E45" s="150">
        <v>2</v>
      </c>
      <c r="F45" s="150">
        <v>0</v>
      </c>
      <c r="G45" s="150">
        <v>0</v>
      </c>
      <c r="H45" s="150">
        <v>0</v>
      </c>
      <c r="I45" s="150">
        <v>0</v>
      </c>
      <c r="J45" s="150">
        <v>0</v>
      </c>
      <c r="L45" s="164"/>
      <c r="M45" s="164"/>
      <c r="N45" s="164"/>
      <c r="O45" s="164"/>
      <c r="P45" s="164"/>
      <c r="Q45" s="164"/>
      <c r="R45" s="164"/>
      <c r="S45" s="164"/>
      <c r="T45" s="164"/>
      <c r="U45" s="164"/>
    </row>
    <row r="46" spans="1:21" ht="12.75" customHeight="1">
      <c r="A46" s="12">
        <v>72</v>
      </c>
      <c r="B46" s="152" t="s">
        <v>46</v>
      </c>
      <c r="C46" s="149">
        <v>0</v>
      </c>
      <c r="D46" s="149">
        <v>0</v>
      </c>
      <c r="E46" s="149">
        <v>0</v>
      </c>
      <c r="F46" s="149">
        <v>0</v>
      </c>
      <c r="G46" s="149">
        <v>0</v>
      </c>
      <c r="H46" s="150">
        <v>0</v>
      </c>
      <c r="I46" s="150">
        <v>0</v>
      </c>
      <c r="J46" s="150">
        <v>0</v>
      </c>
      <c r="L46" s="164"/>
      <c r="M46" s="164"/>
      <c r="N46" s="164"/>
      <c r="O46" s="164"/>
      <c r="P46" s="164"/>
      <c r="Q46" s="164"/>
      <c r="R46" s="164"/>
      <c r="S46" s="164"/>
      <c r="T46" s="164"/>
      <c r="U46" s="164"/>
    </row>
    <row r="47" spans="1:21" s="129" customFormat="1" ht="25.5" customHeight="1">
      <c r="B47" s="129" t="s">
        <v>47</v>
      </c>
      <c r="C47" s="155">
        <v>193</v>
      </c>
      <c r="D47" s="155">
        <v>64</v>
      </c>
      <c r="E47" s="155">
        <v>36</v>
      </c>
      <c r="F47" s="155">
        <v>17</v>
      </c>
      <c r="G47" s="155">
        <v>5</v>
      </c>
      <c r="H47" s="155">
        <v>1</v>
      </c>
      <c r="I47" s="155">
        <v>0</v>
      </c>
      <c r="J47" s="155">
        <v>0</v>
      </c>
      <c r="L47" s="164"/>
      <c r="M47" s="164"/>
      <c r="N47" s="164"/>
      <c r="O47" s="164"/>
      <c r="P47" s="164"/>
      <c r="Q47" s="164"/>
      <c r="R47" s="164"/>
      <c r="S47" s="164"/>
      <c r="T47" s="164"/>
      <c r="U47" s="164"/>
    </row>
    <row r="48" spans="1:21" ht="12.75" customHeight="1">
      <c r="A48" s="12">
        <v>66</v>
      </c>
      <c r="B48" s="124" t="s">
        <v>48</v>
      </c>
      <c r="C48" s="149">
        <v>46</v>
      </c>
      <c r="D48" s="149">
        <v>3</v>
      </c>
      <c r="E48" s="149">
        <v>10</v>
      </c>
      <c r="F48" s="149">
        <v>1</v>
      </c>
      <c r="G48" s="149">
        <v>0</v>
      </c>
      <c r="H48" s="150">
        <v>0</v>
      </c>
      <c r="I48" s="150">
        <v>0</v>
      </c>
      <c r="J48" s="150">
        <v>0</v>
      </c>
      <c r="L48" s="164"/>
      <c r="M48" s="164"/>
      <c r="N48" s="164"/>
      <c r="O48" s="164"/>
      <c r="P48" s="164"/>
      <c r="Q48" s="164"/>
      <c r="R48" s="164"/>
      <c r="S48" s="164"/>
      <c r="T48" s="164"/>
      <c r="U48" s="164"/>
    </row>
    <row r="49" spans="1:21" ht="12.75" customHeight="1">
      <c r="A49" s="12">
        <v>78</v>
      </c>
      <c r="B49" s="124" t="s">
        <v>49</v>
      </c>
      <c r="C49" s="149">
        <v>19</v>
      </c>
      <c r="D49" s="149">
        <v>5</v>
      </c>
      <c r="E49" s="149">
        <v>0</v>
      </c>
      <c r="F49" s="149">
        <v>1</v>
      </c>
      <c r="G49" s="149">
        <v>3</v>
      </c>
      <c r="H49" s="150">
        <v>0</v>
      </c>
      <c r="I49" s="150">
        <v>0</v>
      </c>
      <c r="J49" s="150">
        <v>0</v>
      </c>
      <c r="L49" s="164"/>
      <c r="M49" s="164"/>
      <c r="N49" s="164"/>
      <c r="O49" s="164"/>
      <c r="P49" s="164"/>
      <c r="Q49" s="164"/>
      <c r="R49" s="164"/>
      <c r="S49" s="164"/>
      <c r="T49" s="164"/>
      <c r="U49" s="164"/>
    </row>
    <row r="50" spans="1:21" ht="12.75" customHeight="1">
      <c r="A50" s="12">
        <v>89</v>
      </c>
      <c r="B50" s="124" t="s">
        <v>50</v>
      </c>
      <c r="C50" s="149">
        <v>14</v>
      </c>
      <c r="D50" s="149">
        <v>16</v>
      </c>
      <c r="E50" s="149">
        <v>2</v>
      </c>
      <c r="F50" s="149">
        <v>2</v>
      </c>
      <c r="G50" s="149">
        <v>0</v>
      </c>
      <c r="H50" s="150">
        <v>0</v>
      </c>
      <c r="I50" s="150">
        <v>0</v>
      </c>
      <c r="J50" s="150">
        <v>0</v>
      </c>
      <c r="L50" s="164"/>
      <c r="M50" s="164"/>
      <c r="N50" s="164"/>
      <c r="O50" s="164"/>
      <c r="P50" s="164"/>
      <c r="Q50" s="164"/>
      <c r="R50" s="164"/>
      <c r="S50" s="164"/>
      <c r="T50" s="164"/>
      <c r="U50" s="164"/>
    </row>
    <row r="51" spans="1:21" ht="12.75" customHeight="1">
      <c r="A51" s="12">
        <v>93</v>
      </c>
      <c r="B51" s="124" t="s">
        <v>51</v>
      </c>
      <c r="C51" s="149">
        <v>4</v>
      </c>
      <c r="D51" s="149">
        <v>5</v>
      </c>
      <c r="E51" s="149">
        <v>0</v>
      </c>
      <c r="F51" s="149">
        <v>2</v>
      </c>
      <c r="G51" s="149">
        <v>0</v>
      </c>
      <c r="H51" s="150">
        <v>0</v>
      </c>
      <c r="I51" s="150">
        <v>0</v>
      </c>
      <c r="J51" s="150">
        <v>0</v>
      </c>
      <c r="L51" s="164"/>
      <c r="M51" s="164"/>
      <c r="N51" s="164"/>
      <c r="O51" s="164"/>
      <c r="P51" s="164"/>
      <c r="Q51" s="164"/>
      <c r="R51" s="164"/>
      <c r="S51" s="164"/>
      <c r="T51" s="164"/>
      <c r="U51" s="164"/>
    </row>
    <row r="52" spans="1:21" ht="12.75" customHeight="1">
      <c r="A52" s="12">
        <v>95</v>
      </c>
      <c r="B52" s="124" t="s">
        <v>52</v>
      </c>
      <c r="C52" s="149">
        <v>23</v>
      </c>
      <c r="D52" s="149">
        <v>3</v>
      </c>
      <c r="E52" s="149">
        <v>2</v>
      </c>
      <c r="F52" s="149">
        <v>0</v>
      </c>
      <c r="G52" s="149">
        <v>1</v>
      </c>
      <c r="H52" s="150">
        <v>0</v>
      </c>
      <c r="I52" s="150">
        <v>0</v>
      </c>
      <c r="J52" s="150">
        <v>0</v>
      </c>
      <c r="L52" s="164"/>
      <c r="M52" s="164"/>
      <c r="N52" s="164"/>
      <c r="O52" s="164"/>
      <c r="P52" s="164"/>
      <c r="Q52" s="164"/>
      <c r="R52" s="164"/>
      <c r="S52" s="164"/>
      <c r="T52" s="164"/>
      <c r="U52" s="164"/>
    </row>
    <row r="53" spans="1:21" ht="12.75" customHeight="1">
      <c r="A53" s="12">
        <v>97</v>
      </c>
      <c r="B53" s="124" t="s">
        <v>53</v>
      </c>
      <c r="C53" s="149">
        <v>18</v>
      </c>
      <c r="D53" s="149">
        <v>3</v>
      </c>
      <c r="E53" s="149">
        <v>1</v>
      </c>
      <c r="F53" s="149">
        <v>0</v>
      </c>
      <c r="G53" s="149">
        <v>1</v>
      </c>
      <c r="H53" s="150">
        <v>0</v>
      </c>
      <c r="I53" s="150">
        <v>0</v>
      </c>
      <c r="J53" s="150">
        <v>0</v>
      </c>
      <c r="L53" s="164"/>
      <c r="M53" s="164"/>
      <c r="N53" s="164"/>
      <c r="O53" s="164"/>
      <c r="P53" s="164"/>
      <c r="Q53" s="164"/>
      <c r="R53" s="164"/>
      <c r="S53" s="164"/>
      <c r="T53" s="164"/>
      <c r="U53" s="164"/>
    </row>
    <row r="54" spans="1:21" ht="12.75" customHeight="1">
      <c r="A54" s="12">
        <v>77</v>
      </c>
      <c r="B54" s="156" t="s">
        <v>54</v>
      </c>
      <c r="C54" s="157">
        <v>69</v>
      </c>
      <c r="D54" s="157">
        <v>29</v>
      </c>
      <c r="E54" s="157">
        <v>21</v>
      </c>
      <c r="F54" s="157">
        <v>11</v>
      </c>
      <c r="G54" s="157">
        <v>0</v>
      </c>
      <c r="H54" s="158">
        <v>1</v>
      </c>
      <c r="I54" s="158">
        <v>0</v>
      </c>
      <c r="J54" s="158">
        <v>0</v>
      </c>
      <c r="L54" s="164"/>
      <c r="M54" s="164"/>
      <c r="N54" s="164"/>
      <c r="O54" s="164"/>
      <c r="P54" s="164"/>
      <c r="Q54" s="164"/>
      <c r="R54" s="164"/>
      <c r="S54" s="164"/>
      <c r="T54" s="164"/>
      <c r="U54" s="164"/>
    </row>
    <row r="55" spans="1:21" s="154" customFormat="1" ht="13.5" customHeight="1">
      <c r="A55" s="1"/>
      <c r="C55" s="159"/>
      <c r="D55" s="160"/>
      <c r="E55" s="159"/>
      <c r="F55" s="159"/>
      <c r="G55" s="159"/>
      <c r="H55" s="159"/>
      <c r="I55" s="159"/>
      <c r="J55" s="159"/>
      <c r="K55" s="124"/>
      <c r="L55" s="124"/>
    </row>
    <row r="56" spans="1:21" ht="18.75" customHeight="1">
      <c r="B56" s="12" t="s">
        <v>55</v>
      </c>
    </row>
    <row r="57" spans="1:21">
      <c r="B57" s="201" t="s">
        <v>56</v>
      </c>
      <c r="C57" s="201"/>
      <c r="D57" s="201"/>
      <c r="E57" s="201"/>
      <c r="F57" s="201"/>
      <c r="G57" s="201"/>
      <c r="H57" s="201"/>
      <c r="I57" s="201"/>
      <c r="J57" s="201"/>
    </row>
    <row r="58" spans="1:21" ht="12.75" customHeight="1">
      <c r="B58" s="201"/>
      <c r="C58" s="201"/>
      <c r="D58" s="201"/>
      <c r="E58" s="201"/>
      <c r="F58" s="201"/>
      <c r="G58" s="201"/>
      <c r="H58" s="201"/>
      <c r="I58" s="201"/>
      <c r="J58" s="201"/>
    </row>
    <row r="59" spans="1:21" ht="18.75" customHeight="1">
      <c r="B59" s="201"/>
      <c r="C59" s="201"/>
      <c r="D59" s="201"/>
      <c r="E59" s="201"/>
      <c r="F59" s="201"/>
      <c r="G59" s="201"/>
      <c r="H59" s="201"/>
      <c r="I59" s="201"/>
      <c r="J59" s="201"/>
    </row>
    <row r="60" spans="1:21" ht="18.75" customHeight="1">
      <c r="B60" s="201"/>
      <c r="C60" s="201"/>
      <c r="D60" s="201"/>
      <c r="E60" s="201"/>
      <c r="F60" s="201"/>
      <c r="G60" s="201"/>
      <c r="H60" s="201"/>
      <c r="I60" s="201"/>
      <c r="J60" s="201"/>
    </row>
    <row r="61" spans="1:21" ht="18.75" customHeight="1">
      <c r="B61" s="201"/>
      <c r="C61" s="201"/>
      <c r="D61" s="201"/>
      <c r="E61" s="201"/>
      <c r="F61" s="201"/>
      <c r="G61" s="201"/>
      <c r="H61" s="201"/>
      <c r="I61" s="201"/>
      <c r="J61" s="201"/>
    </row>
    <row r="62" spans="1:21" ht="17.25" customHeight="1">
      <c r="B62" s="201"/>
      <c r="C62" s="201"/>
      <c r="D62" s="201"/>
      <c r="E62" s="201"/>
      <c r="F62" s="201"/>
      <c r="G62" s="201"/>
      <c r="H62" s="201"/>
      <c r="I62" s="201"/>
      <c r="J62" s="201"/>
    </row>
    <row r="63" spans="1:21" ht="15.75" customHeight="1">
      <c r="B63" s="12" t="s">
        <v>61</v>
      </c>
    </row>
    <row r="64" spans="1:21" ht="9.75" customHeight="1">
      <c r="B64" s="201"/>
      <c r="C64" s="201"/>
      <c r="D64" s="201"/>
      <c r="E64" s="57"/>
      <c r="F64" s="57"/>
      <c r="G64" s="57"/>
      <c r="H64" s="57"/>
      <c r="I64" s="57"/>
      <c r="J64" s="57"/>
    </row>
    <row r="65" spans="2:5" ht="18.75" customHeight="1">
      <c r="B65" s="140" t="s">
        <v>62</v>
      </c>
    </row>
    <row r="66" spans="2:5" ht="15">
      <c r="B66" s="142"/>
      <c r="C66" s="168"/>
      <c r="D66" s="169"/>
      <c r="E66" s="169"/>
    </row>
    <row r="67" spans="2:5" ht="15">
      <c r="C67" s="168"/>
      <c r="D67" s="169"/>
      <c r="E67" s="169"/>
    </row>
    <row r="68" spans="2:5">
      <c r="B68" s="143"/>
      <c r="C68" s="143"/>
      <c r="D68" s="143"/>
      <c r="E68" s="143"/>
    </row>
  </sheetData>
  <mergeCells count="10">
    <mergeCell ref="N2:Q2"/>
    <mergeCell ref="R2:S3"/>
    <mergeCell ref="B57:J62"/>
    <mergeCell ref="B64:D64"/>
    <mergeCell ref="B1:J1"/>
    <mergeCell ref="B2:B4"/>
    <mergeCell ref="C2:D3"/>
    <mergeCell ref="E2:H2"/>
    <mergeCell ref="I2:J3"/>
    <mergeCell ref="L2:M3"/>
  </mergeCells>
  <conditionalFormatting sqref="L5:U54">
    <cfRule type="cellIs" dxfId="5" priority="1" stopIfTrue="1" operator="lessThan">
      <formula>-0.5</formula>
    </cfRule>
    <cfRule type="cellIs" dxfId="4" priority="2" stopIfTrue="1" operator="greaterThan">
      <formula>0.5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1:K66"/>
  <sheetViews>
    <sheetView showGridLines="0" zoomScale="85" workbookViewId="0">
      <pane xSplit="2" ySplit="3" topLeftCell="C4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0" defaultRowHeight="12.75"/>
  <cols>
    <col min="1" max="1" width="3.140625" style="1" hidden="1" customWidth="1"/>
    <col min="2" max="2" width="24.7109375" style="124" customWidth="1"/>
    <col min="3" max="3" width="18" style="124" customWidth="1"/>
    <col min="4" max="4" width="18.42578125" style="124" customWidth="1"/>
    <col min="5" max="5" width="13.85546875" style="124" customWidth="1"/>
    <col min="6" max="6" width="14" style="124" customWidth="1"/>
    <col min="7" max="7" width="9.140625" style="124" customWidth="1"/>
    <col min="8" max="256" width="0" style="124" hidden="1"/>
    <col min="257" max="257" width="0" style="124" hidden="1" customWidth="1"/>
    <col min="258" max="258" width="24.7109375" style="124" customWidth="1"/>
    <col min="259" max="259" width="18" style="124" customWidth="1"/>
    <col min="260" max="260" width="18.42578125" style="124" customWidth="1"/>
    <col min="261" max="261" width="13.85546875" style="124" customWidth="1"/>
    <col min="262" max="262" width="14" style="124" customWidth="1"/>
    <col min="263" max="263" width="9.140625" style="124" customWidth="1"/>
    <col min="264" max="512" width="0" style="124" hidden="1"/>
    <col min="513" max="513" width="0" style="124" hidden="1" customWidth="1"/>
    <col min="514" max="514" width="24.7109375" style="124" customWidth="1"/>
    <col min="515" max="515" width="18" style="124" customWidth="1"/>
    <col min="516" max="516" width="18.42578125" style="124" customWidth="1"/>
    <col min="517" max="517" width="13.85546875" style="124" customWidth="1"/>
    <col min="518" max="518" width="14" style="124" customWidth="1"/>
    <col min="519" max="519" width="9.140625" style="124" customWidth="1"/>
    <col min="520" max="768" width="0" style="124" hidden="1"/>
    <col min="769" max="769" width="0" style="124" hidden="1" customWidth="1"/>
    <col min="770" max="770" width="24.7109375" style="124" customWidth="1"/>
    <col min="771" max="771" width="18" style="124" customWidth="1"/>
    <col min="772" max="772" width="18.42578125" style="124" customWidth="1"/>
    <col min="773" max="773" width="13.85546875" style="124" customWidth="1"/>
    <col min="774" max="774" width="14" style="124" customWidth="1"/>
    <col min="775" max="775" width="9.140625" style="124" customWidth="1"/>
    <col min="776" max="1024" width="0" style="124" hidden="1"/>
    <col min="1025" max="1025" width="0" style="124" hidden="1" customWidth="1"/>
    <col min="1026" max="1026" width="24.7109375" style="124" customWidth="1"/>
    <col min="1027" max="1027" width="18" style="124" customWidth="1"/>
    <col min="1028" max="1028" width="18.42578125" style="124" customWidth="1"/>
    <col min="1029" max="1029" width="13.85546875" style="124" customWidth="1"/>
    <col min="1030" max="1030" width="14" style="124" customWidth="1"/>
    <col min="1031" max="1031" width="9.140625" style="124" customWidth="1"/>
    <col min="1032" max="1280" width="0" style="124" hidden="1"/>
    <col min="1281" max="1281" width="0" style="124" hidden="1" customWidth="1"/>
    <col min="1282" max="1282" width="24.7109375" style="124" customWidth="1"/>
    <col min="1283" max="1283" width="18" style="124" customWidth="1"/>
    <col min="1284" max="1284" width="18.42578125" style="124" customWidth="1"/>
    <col min="1285" max="1285" width="13.85546875" style="124" customWidth="1"/>
    <col min="1286" max="1286" width="14" style="124" customWidth="1"/>
    <col min="1287" max="1287" width="9.140625" style="124" customWidth="1"/>
    <col min="1288" max="1536" width="0" style="124" hidden="1"/>
    <col min="1537" max="1537" width="0" style="124" hidden="1" customWidth="1"/>
    <col min="1538" max="1538" width="24.7109375" style="124" customWidth="1"/>
    <col min="1539" max="1539" width="18" style="124" customWidth="1"/>
    <col min="1540" max="1540" width="18.42578125" style="124" customWidth="1"/>
    <col min="1541" max="1541" width="13.85546875" style="124" customWidth="1"/>
    <col min="1542" max="1542" width="14" style="124" customWidth="1"/>
    <col min="1543" max="1543" width="9.140625" style="124" customWidth="1"/>
    <col min="1544" max="1792" width="0" style="124" hidden="1"/>
    <col min="1793" max="1793" width="0" style="124" hidden="1" customWidth="1"/>
    <col min="1794" max="1794" width="24.7109375" style="124" customWidth="1"/>
    <col min="1795" max="1795" width="18" style="124" customWidth="1"/>
    <col min="1796" max="1796" width="18.42578125" style="124" customWidth="1"/>
    <col min="1797" max="1797" width="13.85546875" style="124" customWidth="1"/>
    <col min="1798" max="1798" width="14" style="124" customWidth="1"/>
    <col min="1799" max="1799" width="9.140625" style="124" customWidth="1"/>
    <col min="1800" max="2048" width="0" style="124" hidden="1"/>
    <col min="2049" max="2049" width="0" style="124" hidden="1" customWidth="1"/>
    <col min="2050" max="2050" width="24.7109375" style="124" customWidth="1"/>
    <col min="2051" max="2051" width="18" style="124" customWidth="1"/>
    <col min="2052" max="2052" width="18.42578125" style="124" customWidth="1"/>
    <col min="2053" max="2053" width="13.85546875" style="124" customWidth="1"/>
    <col min="2054" max="2054" width="14" style="124" customWidth="1"/>
    <col min="2055" max="2055" width="9.140625" style="124" customWidth="1"/>
    <col min="2056" max="2304" width="0" style="124" hidden="1"/>
    <col min="2305" max="2305" width="0" style="124" hidden="1" customWidth="1"/>
    <col min="2306" max="2306" width="24.7109375" style="124" customWidth="1"/>
    <col min="2307" max="2307" width="18" style="124" customWidth="1"/>
    <col min="2308" max="2308" width="18.42578125" style="124" customWidth="1"/>
    <col min="2309" max="2309" width="13.85546875" style="124" customWidth="1"/>
    <col min="2310" max="2310" width="14" style="124" customWidth="1"/>
    <col min="2311" max="2311" width="9.140625" style="124" customWidth="1"/>
    <col min="2312" max="2560" width="0" style="124" hidden="1"/>
    <col min="2561" max="2561" width="0" style="124" hidden="1" customWidth="1"/>
    <col min="2562" max="2562" width="24.7109375" style="124" customWidth="1"/>
    <col min="2563" max="2563" width="18" style="124" customWidth="1"/>
    <col min="2564" max="2564" width="18.42578125" style="124" customWidth="1"/>
    <col min="2565" max="2565" width="13.85546875" style="124" customWidth="1"/>
    <col min="2566" max="2566" width="14" style="124" customWidth="1"/>
    <col min="2567" max="2567" width="9.140625" style="124" customWidth="1"/>
    <col min="2568" max="2816" width="0" style="124" hidden="1"/>
    <col min="2817" max="2817" width="0" style="124" hidden="1" customWidth="1"/>
    <col min="2818" max="2818" width="24.7109375" style="124" customWidth="1"/>
    <col min="2819" max="2819" width="18" style="124" customWidth="1"/>
    <col min="2820" max="2820" width="18.42578125" style="124" customWidth="1"/>
    <col min="2821" max="2821" width="13.85546875" style="124" customWidth="1"/>
    <col min="2822" max="2822" width="14" style="124" customWidth="1"/>
    <col min="2823" max="2823" width="9.140625" style="124" customWidth="1"/>
    <col min="2824" max="3072" width="0" style="124" hidden="1"/>
    <col min="3073" max="3073" width="0" style="124" hidden="1" customWidth="1"/>
    <col min="3074" max="3074" width="24.7109375" style="124" customWidth="1"/>
    <col min="3075" max="3075" width="18" style="124" customWidth="1"/>
    <col min="3076" max="3076" width="18.42578125" style="124" customWidth="1"/>
    <col min="3077" max="3077" width="13.85546875" style="124" customWidth="1"/>
    <col min="3078" max="3078" width="14" style="124" customWidth="1"/>
    <col min="3079" max="3079" width="9.140625" style="124" customWidth="1"/>
    <col min="3080" max="3328" width="0" style="124" hidden="1"/>
    <col min="3329" max="3329" width="0" style="124" hidden="1" customWidth="1"/>
    <col min="3330" max="3330" width="24.7109375" style="124" customWidth="1"/>
    <col min="3331" max="3331" width="18" style="124" customWidth="1"/>
    <col min="3332" max="3332" width="18.42578125" style="124" customWidth="1"/>
    <col min="3333" max="3333" width="13.85546875" style="124" customWidth="1"/>
    <col min="3334" max="3334" width="14" style="124" customWidth="1"/>
    <col min="3335" max="3335" width="9.140625" style="124" customWidth="1"/>
    <col min="3336" max="3584" width="0" style="124" hidden="1"/>
    <col min="3585" max="3585" width="0" style="124" hidden="1" customWidth="1"/>
    <col min="3586" max="3586" width="24.7109375" style="124" customWidth="1"/>
    <col min="3587" max="3587" width="18" style="124" customWidth="1"/>
    <col min="3588" max="3588" width="18.42578125" style="124" customWidth="1"/>
    <col min="3589" max="3589" width="13.85546875" style="124" customWidth="1"/>
    <col min="3590" max="3590" width="14" style="124" customWidth="1"/>
    <col min="3591" max="3591" width="9.140625" style="124" customWidth="1"/>
    <col min="3592" max="3840" width="0" style="124" hidden="1"/>
    <col min="3841" max="3841" width="0" style="124" hidden="1" customWidth="1"/>
    <col min="3842" max="3842" width="24.7109375" style="124" customWidth="1"/>
    <col min="3843" max="3843" width="18" style="124" customWidth="1"/>
    <col min="3844" max="3844" width="18.42578125" style="124" customWidth="1"/>
    <col min="3845" max="3845" width="13.85546875" style="124" customWidth="1"/>
    <col min="3846" max="3846" width="14" style="124" customWidth="1"/>
    <col min="3847" max="3847" width="9.140625" style="124" customWidth="1"/>
    <col min="3848" max="4096" width="0" style="124" hidden="1"/>
    <col min="4097" max="4097" width="0" style="124" hidden="1" customWidth="1"/>
    <col min="4098" max="4098" width="24.7109375" style="124" customWidth="1"/>
    <col min="4099" max="4099" width="18" style="124" customWidth="1"/>
    <col min="4100" max="4100" width="18.42578125" style="124" customWidth="1"/>
    <col min="4101" max="4101" width="13.85546875" style="124" customWidth="1"/>
    <col min="4102" max="4102" width="14" style="124" customWidth="1"/>
    <col min="4103" max="4103" width="9.140625" style="124" customWidth="1"/>
    <col min="4104" max="4352" width="0" style="124" hidden="1"/>
    <col min="4353" max="4353" width="0" style="124" hidden="1" customWidth="1"/>
    <col min="4354" max="4354" width="24.7109375" style="124" customWidth="1"/>
    <col min="4355" max="4355" width="18" style="124" customWidth="1"/>
    <col min="4356" max="4356" width="18.42578125" style="124" customWidth="1"/>
    <col min="4357" max="4357" width="13.85546875" style="124" customWidth="1"/>
    <col min="4358" max="4358" width="14" style="124" customWidth="1"/>
    <col min="4359" max="4359" width="9.140625" style="124" customWidth="1"/>
    <col min="4360" max="4608" width="0" style="124" hidden="1"/>
    <col min="4609" max="4609" width="0" style="124" hidden="1" customWidth="1"/>
    <col min="4610" max="4610" width="24.7109375" style="124" customWidth="1"/>
    <col min="4611" max="4611" width="18" style="124" customWidth="1"/>
    <col min="4612" max="4612" width="18.42578125" style="124" customWidth="1"/>
    <col min="4613" max="4613" width="13.85546875" style="124" customWidth="1"/>
    <col min="4614" max="4614" width="14" style="124" customWidth="1"/>
    <col min="4615" max="4615" width="9.140625" style="124" customWidth="1"/>
    <col min="4616" max="4864" width="0" style="124" hidden="1"/>
    <col min="4865" max="4865" width="0" style="124" hidden="1" customWidth="1"/>
    <col min="4866" max="4866" width="24.7109375" style="124" customWidth="1"/>
    <col min="4867" max="4867" width="18" style="124" customWidth="1"/>
    <col min="4868" max="4868" width="18.42578125" style="124" customWidth="1"/>
    <col min="4869" max="4869" width="13.85546875" style="124" customWidth="1"/>
    <col min="4870" max="4870" width="14" style="124" customWidth="1"/>
    <col min="4871" max="4871" width="9.140625" style="124" customWidth="1"/>
    <col min="4872" max="5120" width="0" style="124" hidden="1"/>
    <col min="5121" max="5121" width="0" style="124" hidden="1" customWidth="1"/>
    <col min="5122" max="5122" width="24.7109375" style="124" customWidth="1"/>
    <col min="5123" max="5123" width="18" style="124" customWidth="1"/>
    <col min="5124" max="5124" width="18.42578125" style="124" customWidth="1"/>
    <col min="5125" max="5125" width="13.85546875" style="124" customWidth="1"/>
    <col min="5126" max="5126" width="14" style="124" customWidth="1"/>
    <col min="5127" max="5127" width="9.140625" style="124" customWidth="1"/>
    <col min="5128" max="5376" width="0" style="124" hidden="1"/>
    <col min="5377" max="5377" width="0" style="124" hidden="1" customWidth="1"/>
    <col min="5378" max="5378" width="24.7109375" style="124" customWidth="1"/>
    <col min="5379" max="5379" width="18" style="124" customWidth="1"/>
    <col min="5380" max="5380" width="18.42578125" style="124" customWidth="1"/>
    <col min="5381" max="5381" width="13.85546875" style="124" customWidth="1"/>
    <col min="5382" max="5382" width="14" style="124" customWidth="1"/>
    <col min="5383" max="5383" width="9.140625" style="124" customWidth="1"/>
    <col min="5384" max="5632" width="0" style="124" hidden="1"/>
    <col min="5633" max="5633" width="0" style="124" hidden="1" customWidth="1"/>
    <col min="5634" max="5634" width="24.7109375" style="124" customWidth="1"/>
    <col min="5635" max="5635" width="18" style="124" customWidth="1"/>
    <col min="5636" max="5636" width="18.42578125" style="124" customWidth="1"/>
    <col min="5637" max="5637" width="13.85546875" style="124" customWidth="1"/>
    <col min="5638" max="5638" width="14" style="124" customWidth="1"/>
    <col min="5639" max="5639" width="9.140625" style="124" customWidth="1"/>
    <col min="5640" max="5888" width="0" style="124" hidden="1"/>
    <col min="5889" max="5889" width="0" style="124" hidden="1" customWidth="1"/>
    <col min="5890" max="5890" width="24.7109375" style="124" customWidth="1"/>
    <col min="5891" max="5891" width="18" style="124" customWidth="1"/>
    <col min="5892" max="5892" width="18.42578125" style="124" customWidth="1"/>
    <col min="5893" max="5893" width="13.85546875" style="124" customWidth="1"/>
    <col min="5894" max="5894" width="14" style="124" customWidth="1"/>
    <col min="5895" max="5895" width="9.140625" style="124" customWidth="1"/>
    <col min="5896" max="6144" width="0" style="124" hidden="1"/>
    <col min="6145" max="6145" width="0" style="124" hidden="1" customWidth="1"/>
    <col min="6146" max="6146" width="24.7109375" style="124" customWidth="1"/>
    <col min="6147" max="6147" width="18" style="124" customWidth="1"/>
    <col min="6148" max="6148" width="18.42578125" style="124" customWidth="1"/>
    <col min="6149" max="6149" width="13.85546875" style="124" customWidth="1"/>
    <col min="6150" max="6150" width="14" style="124" customWidth="1"/>
    <col min="6151" max="6151" width="9.140625" style="124" customWidth="1"/>
    <col min="6152" max="6400" width="0" style="124" hidden="1"/>
    <col min="6401" max="6401" width="0" style="124" hidden="1" customWidth="1"/>
    <col min="6402" max="6402" width="24.7109375" style="124" customWidth="1"/>
    <col min="6403" max="6403" width="18" style="124" customWidth="1"/>
    <col min="6404" max="6404" width="18.42578125" style="124" customWidth="1"/>
    <col min="6405" max="6405" width="13.85546875" style="124" customWidth="1"/>
    <col min="6406" max="6406" width="14" style="124" customWidth="1"/>
    <col min="6407" max="6407" width="9.140625" style="124" customWidth="1"/>
    <col min="6408" max="6656" width="0" style="124" hidden="1"/>
    <col min="6657" max="6657" width="0" style="124" hidden="1" customWidth="1"/>
    <col min="6658" max="6658" width="24.7109375" style="124" customWidth="1"/>
    <col min="6659" max="6659" width="18" style="124" customWidth="1"/>
    <col min="6660" max="6660" width="18.42578125" style="124" customWidth="1"/>
    <col min="6661" max="6661" width="13.85546875" style="124" customWidth="1"/>
    <col min="6662" max="6662" width="14" style="124" customWidth="1"/>
    <col min="6663" max="6663" width="9.140625" style="124" customWidth="1"/>
    <col min="6664" max="6912" width="0" style="124" hidden="1"/>
    <col min="6913" max="6913" width="0" style="124" hidden="1" customWidth="1"/>
    <col min="6914" max="6914" width="24.7109375" style="124" customWidth="1"/>
    <col min="6915" max="6915" width="18" style="124" customWidth="1"/>
    <col min="6916" max="6916" width="18.42578125" style="124" customWidth="1"/>
    <col min="6917" max="6917" width="13.85546875" style="124" customWidth="1"/>
    <col min="6918" max="6918" width="14" style="124" customWidth="1"/>
    <col min="6919" max="6919" width="9.140625" style="124" customWidth="1"/>
    <col min="6920" max="7168" width="0" style="124" hidden="1"/>
    <col min="7169" max="7169" width="0" style="124" hidden="1" customWidth="1"/>
    <col min="7170" max="7170" width="24.7109375" style="124" customWidth="1"/>
    <col min="7171" max="7171" width="18" style="124" customWidth="1"/>
    <col min="7172" max="7172" width="18.42578125" style="124" customWidth="1"/>
    <col min="7173" max="7173" width="13.85546875" style="124" customWidth="1"/>
    <col min="7174" max="7174" width="14" style="124" customWidth="1"/>
    <col min="7175" max="7175" width="9.140625" style="124" customWidth="1"/>
    <col min="7176" max="7424" width="0" style="124" hidden="1"/>
    <col min="7425" max="7425" width="0" style="124" hidden="1" customWidth="1"/>
    <col min="7426" max="7426" width="24.7109375" style="124" customWidth="1"/>
    <col min="7427" max="7427" width="18" style="124" customWidth="1"/>
    <col min="7428" max="7428" width="18.42578125" style="124" customWidth="1"/>
    <col min="7429" max="7429" width="13.85546875" style="124" customWidth="1"/>
    <col min="7430" max="7430" width="14" style="124" customWidth="1"/>
    <col min="7431" max="7431" width="9.140625" style="124" customWidth="1"/>
    <col min="7432" max="7680" width="0" style="124" hidden="1"/>
    <col min="7681" max="7681" width="0" style="124" hidden="1" customWidth="1"/>
    <col min="7682" max="7682" width="24.7109375" style="124" customWidth="1"/>
    <col min="7683" max="7683" width="18" style="124" customWidth="1"/>
    <col min="7684" max="7684" width="18.42578125" style="124" customWidth="1"/>
    <col min="7685" max="7685" width="13.85546875" style="124" customWidth="1"/>
    <col min="7686" max="7686" width="14" style="124" customWidth="1"/>
    <col min="7687" max="7687" width="9.140625" style="124" customWidth="1"/>
    <col min="7688" max="7936" width="0" style="124" hidden="1"/>
    <col min="7937" max="7937" width="0" style="124" hidden="1" customWidth="1"/>
    <col min="7938" max="7938" width="24.7109375" style="124" customWidth="1"/>
    <col min="7939" max="7939" width="18" style="124" customWidth="1"/>
    <col min="7940" max="7940" width="18.42578125" style="124" customWidth="1"/>
    <col min="7941" max="7941" width="13.85546875" style="124" customWidth="1"/>
    <col min="7942" max="7942" width="14" style="124" customWidth="1"/>
    <col min="7943" max="7943" width="9.140625" style="124" customWidth="1"/>
    <col min="7944" max="8192" width="0" style="124" hidden="1"/>
    <col min="8193" max="8193" width="0" style="124" hidden="1" customWidth="1"/>
    <col min="8194" max="8194" width="24.7109375" style="124" customWidth="1"/>
    <col min="8195" max="8195" width="18" style="124" customWidth="1"/>
    <col min="8196" max="8196" width="18.42578125" style="124" customWidth="1"/>
    <col min="8197" max="8197" width="13.85546875" style="124" customWidth="1"/>
    <col min="8198" max="8198" width="14" style="124" customWidth="1"/>
    <col min="8199" max="8199" width="9.140625" style="124" customWidth="1"/>
    <col min="8200" max="8448" width="0" style="124" hidden="1"/>
    <col min="8449" max="8449" width="0" style="124" hidden="1" customWidth="1"/>
    <col min="8450" max="8450" width="24.7109375" style="124" customWidth="1"/>
    <col min="8451" max="8451" width="18" style="124" customWidth="1"/>
    <col min="8452" max="8452" width="18.42578125" style="124" customWidth="1"/>
    <col min="8453" max="8453" width="13.85546875" style="124" customWidth="1"/>
    <col min="8454" max="8454" width="14" style="124" customWidth="1"/>
    <col min="8455" max="8455" width="9.140625" style="124" customWidth="1"/>
    <col min="8456" max="8704" width="0" style="124" hidden="1"/>
    <col min="8705" max="8705" width="0" style="124" hidden="1" customWidth="1"/>
    <col min="8706" max="8706" width="24.7109375" style="124" customWidth="1"/>
    <col min="8707" max="8707" width="18" style="124" customWidth="1"/>
    <col min="8708" max="8708" width="18.42578125" style="124" customWidth="1"/>
    <col min="8709" max="8709" width="13.85546875" style="124" customWidth="1"/>
    <col min="8710" max="8710" width="14" style="124" customWidth="1"/>
    <col min="8711" max="8711" width="9.140625" style="124" customWidth="1"/>
    <col min="8712" max="8960" width="0" style="124" hidden="1"/>
    <col min="8961" max="8961" width="0" style="124" hidden="1" customWidth="1"/>
    <col min="8962" max="8962" width="24.7109375" style="124" customWidth="1"/>
    <col min="8963" max="8963" width="18" style="124" customWidth="1"/>
    <col min="8964" max="8964" width="18.42578125" style="124" customWidth="1"/>
    <col min="8965" max="8965" width="13.85546875" style="124" customWidth="1"/>
    <col min="8966" max="8966" width="14" style="124" customWidth="1"/>
    <col min="8967" max="8967" width="9.140625" style="124" customWidth="1"/>
    <col min="8968" max="9216" width="0" style="124" hidden="1"/>
    <col min="9217" max="9217" width="0" style="124" hidden="1" customWidth="1"/>
    <col min="9218" max="9218" width="24.7109375" style="124" customWidth="1"/>
    <col min="9219" max="9219" width="18" style="124" customWidth="1"/>
    <col min="9220" max="9220" width="18.42578125" style="124" customWidth="1"/>
    <col min="9221" max="9221" width="13.85546875" style="124" customWidth="1"/>
    <col min="9222" max="9222" width="14" style="124" customWidth="1"/>
    <col min="9223" max="9223" width="9.140625" style="124" customWidth="1"/>
    <col min="9224" max="9472" width="0" style="124" hidden="1"/>
    <col min="9473" max="9473" width="0" style="124" hidden="1" customWidth="1"/>
    <col min="9474" max="9474" width="24.7109375" style="124" customWidth="1"/>
    <col min="9475" max="9475" width="18" style="124" customWidth="1"/>
    <col min="9476" max="9476" width="18.42578125" style="124" customWidth="1"/>
    <col min="9477" max="9477" width="13.85546875" style="124" customWidth="1"/>
    <col min="9478" max="9478" width="14" style="124" customWidth="1"/>
    <col min="9479" max="9479" width="9.140625" style="124" customWidth="1"/>
    <col min="9480" max="9728" width="0" style="124" hidden="1"/>
    <col min="9729" max="9729" width="0" style="124" hidden="1" customWidth="1"/>
    <col min="9730" max="9730" width="24.7109375" style="124" customWidth="1"/>
    <col min="9731" max="9731" width="18" style="124" customWidth="1"/>
    <col min="9732" max="9732" width="18.42578125" style="124" customWidth="1"/>
    <col min="9733" max="9733" width="13.85546875" style="124" customWidth="1"/>
    <col min="9734" max="9734" width="14" style="124" customWidth="1"/>
    <col min="9735" max="9735" width="9.140625" style="124" customWidth="1"/>
    <col min="9736" max="9984" width="0" style="124" hidden="1"/>
    <col min="9985" max="9985" width="0" style="124" hidden="1" customWidth="1"/>
    <col min="9986" max="9986" width="24.7109375" style="124" customWidth="1"/>
    <col min="9987" max="9987" width="18" style="124" customWidth="1"/>
    <col min="9988" max="9988" width="18.42578125" style="124" customWidth="1"/>
    <col min="9989" max="9989" width="13.85546875" style="124" customWidth="1"/>
    <col min="9990" max="9990" width="14" style="124" customWidth="1"/>
    <col min="9991" max="9991" width="9.140625" style="124" customWidth="1"/>
    <col min="9992" max="10240" width="0" style="124" hidden="1"/>
    <col min="10241" max="10241" width="0" style="124" hidden="1" customWidth="1"/>
    <col min="10242" max="10242" width="24.7109375" style="124" customWidth="1"/>
    <col min="10243" max="10243" width="18" style="124" customWidth="1"/>
    <col min="10244" max="10244" width="18.42578125" style="124" customWidth="1"/>
    <col min="10245" max="10245" width="13.85546875" style="124" customWidth="1"/>
    <col min="10246" max="10246" width="14" style="124" customWidth="1"/>
    <col min="10247" max="10247" width="9.140625" style="124" customWidth="1"/>
    <col min="10248" max="10496" width="0" style="124" hidden="1"/>
    <col min="10497" max="10497" width="0" style="124" hidden="1" customWidth="1"/>
    <col min="10498" max="10498" width="24.7109375" style="124" customWidth="1"/>
    <col min="10499" max="10499" width="18" style="124" customWidth="1"/>
    <col min="10500" max="10500" width="18.42578125" style="124" customWidth="1"/>
    <col min="10501" max="10501" width="13.85546875" style="124" customWidth="1"/>
    <col min="10502" max="10502" width="14" style="124" customWidth="1"/>
    <col min="10503" max="10503" width="9.140625" style="124" customWidth="1"/>
    <col min="10504" max="10752" width="0" style="124" hidden="1"/>
    <col min="10753" max="10753" width="0" style="124" hidden="1" customWidth="1"/>
    <col min="10754" max="10754" width="24.7109375" style="124" customWidth="1"/>
    <col min="10755" max="10755" width="18" style="124" customWidth="1"/>
    <col min="10756" max="10756" width="18.42578125" style="124" customWidth="1"/>
    <col min="10757" max="10757" width="13.85546875" style="124" customWidth="1"/>
    <col min="10758" max="10758" width="14" style="124" customWidth="1"/>
    <col min="10759" max="10759" width="9.140625" style="124" customWidth="1"/>
    <col min="10760" max="11008" width="0" style="124" hidden="1"/>
    <col min="11009" max="11009" width="0" style="124" hidden="1" customWidth="1"/>
    <col min="11010" max="11010" width="24.7109375" style="124" customWidth="1"/>
    <col min="11011" max="11011" width="18" style="124" customWidth="1"/>
    <col min="11012" max="11012" width="18.42578125" style="124" customWidth="1"/>
    <col min="11013" max="11013" width="13.85546875" style="124" customWidth="1"/>
    <col min="11014" max="11014" width="14" style="124" customWidth="1"/>
    <col min="11015" max="11015" width="9.140625" style="124" customWidth="1"/>
    <col min="11016" max="11264" width="0" style="124" hidden="1"/>
    <col min="11265" max="11265" width="0" style="124" hidden="1" customWidth="1"/>
    <col min="11266" max="11266" width="24.7109375" style="124" customWidth="1"/>
    <col min="11267" max="11267" width="18" style="124" customWidth="1"/>
    <col min="11268" max="11268" width="18.42578125" style="124" customWidth="1"/>
    <col min="11269" max="11269" width="13.85546875" style="124" customWidth="1"/>
    <col min="11270" max="11270" width="14" style="124" customWidth="1"/>
    <col min="11271" max="11271" width="9.140625" style="124" customWidth="1"/>
    <col min="11272" max="11520" width="0" style="124" hidden="1"/>
    <col min="11521" max="11521" width="0" style="124" hidden="1" customWidth="1"/>
    <col min="11522" max="11522" width="24.7109375" style="124" customWidth="1"/>
    <col min="11523" max="11523" width="18" style="124" customWidth="1"/>
    <col min="11524" max="11524" width="18.42578125" style="124" customWidth="1"/>
    <col min="11525" max="11525" width="13.85546875" style="124" customWidth="1"/>
    <col min="11526" max="11526" width="14" style="124" customWidth="1"/>
    <col min="11527" max="11527" width="9.140625" style="124" customWidth="1"/>
    <col min="11528" max="11776" width="0" style="124" hidden="1"/>
    <col min="11777" max="11777" width="0" style="124" hidden="1" customWidth="1"/>
    <col min="11778" max="11778" width="24.7109375" style="124" customWidth="1"/>
    <col min="11779" max="11779" width="18" style="124" customWidth="1"/>
    <col min="11780" max="11780" width="18.42578125" style="124" customWidth="1"/>
    <col min="11781" max="11781" width="13.85546875" style="124" customWidth="1"/>
    <col min="11782" max="11782" width="14" style="124" customWidth="1"/>
    <col min="11783" max="11783" width="9.140625" style="124" customWidth="1"/>
    <col min="11784" max="12032" width="0" style="124" hidden="1"/>
    <col min="12033" max="12033" width="0" style="124" hidden="1" customWidth="1"/>
    <col min="12034" max="12034" width="24.7109375" style="124" customWidth="1"/>
    <col min="12035" max="12035" width="18" style="124" customWidth="1"/>
    <col min="12036" max="12036" width="18.42578125" style="124" customWidth="1"/>
    <col min="12037" max="12037" width="13.85546875" style="124" customWidth="1"/>
    <col min="12038" max="12038" width="14" style="124" customWidth="1"/>
    <col min="12039" max="12039" width="9.140625" style="124" customWidth="1"/>
    <col min="12040" max="12288" width="0" style="124" hidden="1"/>
    <col min="12289" max="12289" width="0" style="124" hidden="1" customWidth="1"/>
    <col min="12290" max="12290" width="24.7109375" style="124" customWidth="1"/>
    <col min="12291" max="12291" width="18" style="124" customWidth="1"/>
    <col min="12292" max="12292" width="18.42578125" style="124" customWidth="1"/>
    <col min="12293" max="12293" width="13.85546875" style="124" customWidth="1"/>
    <col min="12294" max="12294" width="14" style="124" customWidth="1"/>
    <col min="12295" max="12295" width="9.140625" style="124" customWidth="1"/>
    <col min="12296" max="12544" width="0" style="124" hidden="1"/>
    <col min="12545" max="12545" width="0" style="124" hidden="1" customWidth="1"/>
    <col min="12546" max="12546" width="24.7109375" style="124" customWidth="1"/>
    <col min="12547" max="12547" width="18" style="124" customWidth="1"/>
    <col min="12548" max="12548" width="18.42578125" style="124" customWidth="1"/>
    <col min="12549" max="12549" width="13.85546875" style="124" customWidth="1"/>
    <col min="12550" max="12550" width="14" style="124" customWidth="1"/>
    <col min="12551" max="12551" width="9.140625" style="124" customWidth="1"/>
    <col min="12552" max="12800" width="0" style="124" hidden="1"/>
    <col min="12801" max="12801" width="0" style="124" hidden="1" customWidth="1"/>
    <col min="12802" max="12802" width="24.7109375" style="124" customWidth="1"/>
    <col min="12803" max="12803" width="18" style="124" customWidth="1"/>
    <col min="12804" max="12804" width="18.42578125" style="124" customWidth="1"/>
    <col min="12805" max="12805" width="13.85546875" style="124" customWidth="1"/>
    <col min="12806" max="12806" width="14" style="124" customWidth="1"/>
    <col min="12807" max="12807" width="9.140625" style="124" customWidth="1"/>
    <col min="12808" max="13056" width="0" style="124" hidden="1"/>
    <col min="13057" max="13057" width="0" style="124" hidden="1" customWidth="1"/>
    <col min="13058" max="13058" width="24.7109375" style="124" customWidth="1"/>
    <col min="13059" max="13059" width="18" style="124" customWidth="1"/>
    <col min="13060" max="13060" width="18.42578125" style="124" customWidth="1"/>
    <col min="13061" max="13061" width="13.85546875" style="124" customWidth="1"/>
    <col min="13062" max="13062" width="14" style="124" customWidth="1"/>
    <col min="13063" max="13063" width="9.140625" style="124" customWidth="1"/>
    <col min="13064" max="13312" width="0" style="124" hidden="1"/>
    <col min="13313" max="13313" width="0" style="124" hidden="1" customWidth="1"/>
    <col min="13314" max="13314" width="24.7109375" style="124" customWidth="1"/>
    <col min="13315" max="13315" width="18" style="124" customWidth="1"/>
    <col min="13316" max="13316" width="18.42578125" style="124" customWidth="1"/>
    <col min="13317" max="13317" width="13.85546875" style="124" customWidth="1"/>
    <col min="13318" max="13318" width="14" style="124" customWidth="1"/>
    <col min="13319" max="13319" width="9.140625" style="124" customWidth="1"/>
    <col min="13320" max="13568" width="0" style="124" hidden="1"/>
    <col min="13569" max="13569" width="0" style="124" hidden="1" customWidth="1"/>
    <col min="13570" max="13570" width="24.7109375" style="124" customWidth="1"/>
    <col min="13571" max="13571" width="18" style="124" customWidth="1"/>
    <col min="13572" max="13572" width="18.42578125" style="124" customWidth="1"/>
    <col min="13573" max="13573" width="13.85546875" style="124" customWidth="1"/>
    <col min="13574" max="13574" width="14" style="124" customWidth="1"/>
    <col min="13575" max="13575" width="9.140625" style="124" customWidth="1"/>
    <col min="13576" max="13824" width="0" style="124" hidden="1"/>
    <col min="13825" max="13825" width="0" style="124" hidden="1" customWidth="1"/>
    <col min="13826" max="13826" width="24.7109375" style="124" customWidth="1"/>
    <col min="13827" max="13827" width="18" style="124" customWidth="1"/>
    <col min="13828" max="13828" width="18.42578125" style="124" customWidth="1"/>
    <col min="13829" max="13829" width="13.85546875" style="124" customWidth="1"/>
    <col min="13830" max="13830" width="14" style="124" customWidth="1"/>
    <col min="13831" max="13831" width="9.140625" style="124" customWidth="1"/>
    <col min="13832" max="14080" width="0" style="124" hidden="1"/>
    <col min="14081" max="14081" width="0" style="124" hidden="1" customWidth="1"/>
    <col min="14082" max="14082" width="24.7109375" style="124" customWidth="1"/>
    <col min="14083" max="14083" width="18" style="124" customWidth="1"/>
    <col min="14084" max="14084" width="18.42578125" style="124" customWidth="1"/>
    <col min="14085" max="14085" width="13.85546875" style="124" customWidth="1"/>
    <col min="14086" max="14086" width="14" style="124" customWidth="1"/>
    <col min="14087" max="14087" width="9.140625" style="124" customWidth="1"/>
    <col min="14088" max="14336" width="0" style="124" hidden="1"/>
    <col min="14337" max="14337" width="0" style="124" hidden="1" customWidth="1"/>
    <col min="14338" max="14338" width="24.7109375" style="124" customWidth="1"/>
    <col min="14339" max="14339" width="18" style="124" customWidth="1"/>
    <col min="14340" max="14340" width="18.42578125" style="124" customWidth="1"/>
    <col min="14341" max="14341" width="13.85546875" style="124" customWidth="1"/>
    <col min="14342" max="14342" width="14" style="124" customWidth="1"/>
    <col min="14343" max="14343" width="9.140625" style="124" customWidth="1"/>
    <col min="14344" max="14592" width="0" style="124" hidden="1"/>
    <col min="14593" max="14593" width="0" style="124" hidden="1" customWidth="1"/>
    <col min="14594" max="14594" width="24.7109375" style="124" customWidth="1"/>
    <col min="14595" max="14595" width="18" style="124" customWidth="1"/>
    <col min="14596" max="14596" width="18.42578125" style="124" customWidth="1"/>
    <col min="14597" max="14597" width="13.85546875" style="124" customWidth="1"/>
    <col min="14598" max="14598" width="14" style="124" customWidth="1"/>
    <col min="14599" max="14599" width="9.140625" style="124" customWidth="1"/>
    <col min="14600" max="14848" width="0" style="124" hidden="1"/>
    <col min="14849" max="14849" width="0" style="124" hidden="1" customWidth="1"/>
    <col min="14850" max="14850" width="24.7109375" style="124" customWidth="1"/>
    <col min="14851" max="14851" width="18" style="124" customWidth="1"/>
    <col min="14852" max="14852" width="18.42578125" style="124" customWidth="1"/>
    <col min="14853" max="14853" width="13.85546875" style="124" customWidth="1"/>
    <col min="14854" max="14854" width="14" style="124" customWidth="1"/>
    <col min="14855" max="14855" width="9.140625" style="124" customWidth="1"/>
    <col min="14856" max="15104" width="0" style="124" hidden="1"/>
    <col min="15105" max="15105" width="0" style="124" hidden="1" customWidth="1"/>
    <col min="15106" max="15106" width="24.7109375" style="124" customWidth="1"/>
    <col min="15107" max="15107" width="18" style="124" customWidth="1"/>
    <col min="15108" max="15108" width="18.42578125" style="124" customWidth="1"/>
    <col min="15109" max="15109" width="13.85546875" style="124" customWidth="1"/>
    <col min="15110" max="15110" width="14" style="124" customWidth="1"/>
    <col min="15111" max="15111" width="9.140625" style="124" customWidth="1"/>
    <col min="15112" max="15360" width="0" style="124" hidden="1"/>
    <col min="15361" max="15361" width="0" style="124" hidden="1" customWidth="1"/>
    <col min="15362" max="15362" width="24.7109375" style="124" customWidth="1"/>
    <col min="15363" max="15363" width="18" style="124" customWidth="1"/>
    <col min="15364" max="15364" width="18.42578125" style="124" customWidth="1"/>
    <col min="15365" max="15365" width="13.85546875" style="124" customWidth="1"/>
    <col min="15366" max="15366" width="14" style="124" customWidth="1"/>
    <col min="15367" max="15367" width="9.140625" style="124" customWidth="1"/>
    <col min="15368" max="15616" width="0" style="124" hidden="1"/>
    <col min="15617" max="15617" width="0" style="124" hidden="1" customWidth="1"/>
    <col min="15618" max="15618" width="24.7109375" style="124" customWidth="1"/>
    <col min="15619" max="15619" width="18" style="124" customWidth="1"/>
    <col min="15620" max="15620" width="18.42578125" style="124" customWidth="1"/>
    <col min="15621" max="15621" width="13.85546875" style="124" customWidth="1"/>
    <col min="15622" max="15622" width="14" style="124" customWidth="1"/>
    <col min="15623" max="15623" width="9.140625" style="124" customWidth="1"/>
    <col min="15624" max="15872" width="0" style="124" hidden="1"/>
    <col min="15873" max="15873" width="0" style="124" hidden="1" customWidth="1"/>
    <col min="15874" max="15874" width="24.7109375" style="124" customWidth="1"/>
    <col min="15875" max="15875" width="18" style="124" customWidth="1"/>
    <col min="15876" max="15876" width="18.42578125" style="124" customWidth="1"/>
    <col min="15877" max="15877" width="13.85546875" style="124" customWidth="1"/>
    <col min="15878" max="15878" width="14" style="124" customWidth="1"/>
    <col min="15879" max="15879" width="9.140625" style="124" customWidth="1"/>
    <col min="15880" max="16128" width="0" style="124" hidden="1"/>
    <col min="16129" max="16129" width="0" style="124" hidden="1" customWidth="1"/>
    <col min="16130" max="16130" width="24.7109375" style="124" customWidth="1"/>
    <col min="16131" max="16131" width="18" style="124" customWidth="1"/>
    <col min="16132" max="16132" width="18.42578125" style="124" customWidth="1"/>
    <col min="16133" max="16133" width="13.85546875" style="124" customWidth="1"/>
    <col min="16134" max="16134" width="14" style="124" customWidth="1"/>
    <col min="16135" max="16135" width="9.140625" style="124" customWidth="1"/>
    <col min="16136" max="16384" width="0" style="124" hidden="1"/>
  </cols>
  <sheetData>
    <row r="1" spans="1:11" ht="48.75" customHeight="1">
      <c r="B1" s="222" t="s">
        <v>97</v>
      </c>
      <c r="C1" s="223"/>
      <c r="D1" s="223"/>
      <c r="E1" s="223"/>
      <c r="F1" s="224"/>
    </row>
    <row r="2" spans="1:11" ht="15.75" customHeight="1">
      <c r="C2" s="198" t="s">
        <v>1</v>
      </c>
      <c r="D2" s="200" t="s">
        <v>2</v>
      </c>
      <c r="E2" s="200"/>
      <c r="F2" s="198" t="s">
        <v>5</v>
      </c>
      <c r="H2" s="207"/>
      <c r="I2" s="204"/>
      <c r="J2" s="204"/>
      <c r="K2" s="207"/>
    </row>
    <row r="3" spans="1:11" ht="34.5" customHeight="1">
      <c r="A3" s="4"/>
      <c r="C3" s="199"/>
      <c r="D3" s="145" t="s">
        <v>3</v>
      </c>
      <c r="E3" s="145" t="s">
        <v>4</v>
      </c>
      <c r="F3" s="199"/>
      <c r="H3" s="199"/>
      <c r="I3" s="145"/>
      <c r="J3" s="145"/>
      <c r="K3" s="199"/>
    </row>
    <row r="4" spans="1:11" ht="23.25" customHeight="1">
      <c r="A4" s="4"/>
      <c r="B4" s="129" t="s">
        <v>6</v>
      </c>
      <c r="C4" s="161">
        <v>1174</v>
      </c>
      <c r="D4" s="161">
        <v>209</v>
      </c>
      <c r="E4" s="161">
        <v>29</v>
      </c>
      <c r="F4" s="161">
        <v>1</v>
      </c>
      <c r="H4" s="164"/>
      <c r="I4" s="164"/>
      <c r="J4" s="164"/>
      <c r="K4" s="164"/>
    </row>
    <row r="5" spans="1:11" s="129" customFormat="1" ht="25.5" customHeight="1">
      <c r="A5" s="9"/>
      <c r="B5" s="129" t="s">
        <v>7</v>
      </c>
      <c r="C5" s="170">
        <v>879</v>
      </c>
      <c r="D5" s="170">
        <v>167</v>
      </c>
      <c r="E5" s="170">
        <v>23</v>
      </c>
      <c r="F5" s="170">
        <v>1</v>
      </c>
      <c r="H5" s="164"/>
      <c r="I5" s="164"/>
      <c r="J5" s="164"/>
      <c r="K5" s="164"/>
    </row>
    <row r="6" spans="1:11">
      <c r="A6" s="12">
        <v>51</v>
      </c>
      <c r="B6" s="124" t="s">
        <v>8</v>
      </c>
      <c r="C6" s="141">
        <v>28</v>
      </c>
      <c r="D6" s="141">
        <v>6</v>
      </c>
      <c r="E6" s="141">
        <v>1</v>
      </c>
      <c r="F6" s="141">
        <v>0</v>
      </c>
      <c r="H6" s="164"/>
      <c r="I6" s="164"/>
      <c r="J6" s="164"/>
      <c r="K6" s="164"/>
    </row>
    <row r="7" spans="1:11">
      <c r="A7" s="12">
        <v>52</v>
      </c>
      <c r="B7" s="124" t="s">
        <v>9</v>
      </c>
      <c r="C7" s="141">
        <v>27</v>
      </c>
      <c r="D7" s="141">
        <v>6</v>
      </c>
      <c r="E7" s="141">
        <v>0</v>
      </c>
      <c r="F7" s="141">
        <v>0</v>
      </c>
      <c r="H7" s="164"/>
      <c r="I7" s="164"/>
      <c r="J7" s="164"/>
      <c r="K7" s="164"/>
    </row>
    <row r="8" spans="1:11">
      <c r="A8" s="12">
        <v>86</v>
      </c>
      <c r="B8" s="124" t="s">
        <v>10</v>
      </c>
      <c r="C8" s="141">
        <v>25</v>
      </c>
      <c r="D8" s="150">
        <v>6</v>
      </c>
      <c r="E8" s="150">
        <v>1</v>
      </c>
      <c r="F8" s="141">
        <v>0</v>
      </c>
      <c r="H8" s="164"/>
      <c r="I8" s="164"/>
      <c r="J8" s="164"/>
      <c r="K8" s="164"/>
    </row>
    <row r="9" spans="1:11">
      <c r="A9" s="12">
        <v>53</v>
      </c>
      <c r="B9" s="124" t="s">
        <v>11</v>
      </c>
      <c r="C9" s="141">
        <v>10</v>
      </c>
      <c r="D9" s="141">
        <v>3</v>
      </c>
      <c r="E9" s="141">
        <v>0</v>
      </c>
      <c r="F9" s="141">
        <v>0</v>
      </c>
      <c r="H9" s="164"/>
      <c r="I9" s="164"/>
      <c r="J9" s="164"/>
      <c r="K9" s="164"/>
    </row>
    <row r="10" spans="1:11">
      <c r="A10" s="12">
        <v>54</v>
      </c>
      <c r="B10" s="124" t="s">
        <v>12</v>
      </c>
      <c r="C10" s="141">
        <v>36</v>
      </c>
      <c r="D10" s="141">
        <v>0</v>
      </c>
      <c r="E10" s="141">
        <v>4</v>
      </c>
      <c r="F10" s="141">
        <v>0</v>
      </c>
      <c r="H10" s="164"/>
      <c r="I10" s="164"/>
      <c r="J10" s="164"/>
      <c r="K10" s="164"/>
    </row>
    <row r="11" spans="1:11">
      <c r="A11" s="12">
        <v>55</v>
      </c>
      <c r="B11" s="124" t="s">
        <v>13</v>
      </c>
      <c r="C11" s="141">
        <v>12</v>
      </c>
      <c r="D11" s="141">
        <v>2</v>
      </c>
      <c r="E11" s="141">
        <v>0</v>
      </c>
      <c r="F11" s="141">
        <v>0</v>
      </c>
      <c r="H11" s="164"/>
      <c r="I11" s="164"/>
      <c r="J11" s="164"/>
      <c r="K11" s="164"/>
    </row>
    <row r="12" spans="1:11">
      <c r="A12" s="12">
        <v>56</v>
      </c>
      <c r="B12" s="124" t="s">
        <v>14</v>
      </c>
      <c r="C12" s="141">
        <v>6</v>
      </c>
      <c r="D12" s="141">
        <v>0</v>
      </c>
      <c r="E12" s="141">
        <v>0</v>
      </c>
      <c r="F12" s="141">
        <v>0</v>
      </c>
      <c r="H12" s="164"/>
      <c r="I12" s="164"/>
      <c r="J12" s="164"/>
      <c r="K12" s="164"/>
    </row>
    <row r="13" spans="1:11">
      <c r="A13" s="12">
        <v>57</v>
      </c>
      <c r="B13" s="124" t="s">
        <v>15</v>
      </c>
      <c r="C13" s="141">
        <v>19</v>
      </c>
      <c r="D13" s="141">
        <v>3</v>
      </c>
      <c r="E13" s="141">
        <v>3</v>
      </c>
      <c r="F13" s="141">
        <v>0</v>
      </c>
      <c r="H13" s="164"/>
      <c r="I13" s="164"/>
      <c r="J13" s="164"/>
      <c r="K13" s="164"/>
    </row>
    <row r="14" spans="1:11">
      <c r="A14" s="12">
        <v>59</v>
      </c>
      <c r="B14" s="124" t="s">
        <v>16</v>
      </c>
      <c r="C14" s="141">
        <v>15</v>
      </c>
      <c r="D14" s="141">
        <v>6</v>
      </c>
      <c r="E14" s="141">
        <v>0</v>
      </c>
      <c r="F14" s="141">
        <v>0</v>
      </c>
      <c r="H14" s="164"/>
      <c r="I14" s="164"/>
      <c r="J14" s="164"/>
      <c r="K14" s="164"/>
    </row>
    <row r="15" spans="1:11">
      <c r="A15" s="12">
        <v>60</v>
      </c>
      <c r="B15" s="124" t="s">
        <v>17</v>
      </c>
      <c r="C15" s="141">
        <v>16</v>
      </c>
      <c r="D15" s="141">
        <v>2</v>
      </c>
      <c r="E15" s="141">
        <v>0</v>
      </c>
      <c r="F15" s="141">
        <v>0</v>
      </c>
      <c r="H15" s="164"/>
      <c r="I15" s="164"/>
      <c r="J15" s="164"/>
      <c r="K15" s="164"/>
    </row>
    <row r="16" spans="1:11">
      <c r="A16" s="12">
        <v>61</v>
      </c>
      <c r="B16" s="151" t="s">
        <v>18</v>
      </c>
      <c r="C16" s="141">
        <v>33</v>
      </c>
      <c r="D16" s="141">
        <v>6</v>
      </c>
      <c r="E16" s="141">
        <v>1</v>
      </c>
      <c r="F16" s="141">
        <v>0</v>
      </c>
      <c r="H16" s="164"/>
      <c r="I16" s="164"/>
      <c r="J16" s="164"/>
      <c r="K16" s="164"/>
    </row>
    <row r="17" spans="1:11" s="184" customFormat="1">
      <c r="A17" s="12"/>
      <c r="B17" s="132" t="s">
        <v>125</v>
      </c>
      <c r="C17" s="165" t="s">
        <v>126</v>
      </c>
      <c r="D17" s="165" t="s">
        <v>126</v>
      </c>
      <c r="E17" s="165" t="s">
        <v>126</v>
      </c>
      <c r="F17" s="165" t="s">
        <v>126</v>
      </c>
      <c r="H17" s="164"/>
      <c r="I17" s="164"/>
      <c r="J17" s="164"/>
      <c r="K17" s="164"/>
    </row>
    <row r="18" spans="1:11">
      <c r="A18" s="12">
        <v>62</v>
      </c>
      <c r="B18" s="124" t="s">
        <v>19</v>
      </c>
      <c r="C18" s="141">
        <v>42</v>
      </c>
      <c r="D18" s="141">
        <v>4</v>
      </c>
      <c r="E18" s="141">
        <v>2</v>
      </c>
      <c r="F18" s="141">
        <v>0</v>
      </c>
      <c r="H18" s="164"/>
      <c r="I18" s="164"/>
      <c r="J18" s="164"/>
      <c r="K18" s="164"/>
    </row>
    <row r="19" spans="1:11">
      <c r="A19" s="12">
        <v>58</v>
      </c>
      <c r="B19" s="124" t="s">
        <v>20</v>
      </c>
      <c r="C19" s="141">
        <v>8</v>
      </c>
      <c r="D19" s="141">
        <v>1</v>
      </c>
      <c r="E19" s="141">
        <v>0</v>
      </c>
      <c r="F19" s="141">
        <v>0</v>
      </c>
      <c r="H19" s="164"/>
      <c r="I19" s="164"/>
      <c r="J19" s="164"/>
      <c r="K19" s="164"/>
    </row>
    <row r="20" spans="1:11">
      <c r="A20" s="12">
        <v>63</v>
      </c>
      <c r="B20" s="124" t="s">
        <v>21</v>
      </c>
      <c r="C20" s="141">
        <v>40</v>
      </c>
      <c r="D20" s="141">
        <v>8</v>
      </c>
      <c r="E20" s="141">
        <v>1</v>
      </c>
      <c r="F20" s="141">
        <v>0</v>
      </c>
      <c r="H20" s="164"/>
      <c r="I20" s="164"/>
      <c r="J20" s="164"/>
      <c r="K20" s="164"/>
    </row>
    <row r="21" spans="1:11">
      <c r="A21" s="12">
        <v>64</v>
      </c>
      <c r="B21" s="124" t="s">
        <v>22</v>
      </c>
      <c r="C21" s="141">
        <v>53</v>
      </c>
      <c r="D21" s="141">
        <v>15</v>
      </c>
      <c r="E21" s="141">
        <v>3</v>
      </c>
      <c r="F21" s="141">
        <v>0</v>
      </c>
      <c r="H21" s="164"/>
      <c r="I21" s="164"/>
      <c r="J21" s="164"/>
      <c r="K21" s="164"/>
    </row>
    <row r="22" spans="1:11">
      <c r="A22" s="12">
        <v>65</v>
      </c>
      <c r="B22" s="124" t="s">
        <v>23</v>
      </c>
      <c r="C22" s="141">
        <v>32</v>
      </c>
      <c r="D22" s="141">
        <v>4</v>
      </c>
      <c r="E22" s="141">
        <v>0</v>
      </c>
      <c r="F22" s="141">
        <v>0</v>
      </c>
      <c r="H22" s="164"/>
      <c r="I22" s="164"/>
      <c r="J22" s="164"/>
      <c r="K22" s="164"/>
    </row>
    <row r="23" spans="1:11">
      <c r="A23" s="12">
        <v>67</v>
      </c>
      <c r="B23" s="124" t="s">
        <v>24</v>
      </c>
      <c r="C23" s="141">
        <v>26</v>
      </c>
      <c r="D23" s="141">
        <v>7</v>
      </c>
      <c r="E23" s="167">
        <v>2</v>
      </c>
      <c r="F23" s="141">
        <v>0</v>
      </c>
      <c r="H23" s="164"/>
      <c r="I23" s="164"/>
      <c r="J23" s="164"/>
      <c r="K23" s="164"/>
    </row>
    <row r="24" spans="1:11">
      <c r="A24" s="12">
        <v>68</v>
      </c>
      <c r="B24" s="124" t="s">
        <v>25</v>
      </c>
      <c r="C24" s="141">
        <v>25</v>
      </c>
      <c r="D24" s="141">
        <v>1</v>
      </c>
      <c r="E24" s="141">
        <v>0</v>
      </c>
      <c r="F24" s="141">
        <v>0</v>
      </c>
      <c r="H24" s="164"/>
      <c r="I24" s="164"/>
      <c r="J24" s="164"/>
      <c r="K24" s="164"/>
    </row>
    <row r="25" spans="1:11">
      <c r="A25" s="12">
        <v>69</v>
      </c>
      <c r="B25" s="124" t="s">
        <v>26</v>
      </c>
      <c r="C25" s="141">
        <v>21</v>
      </c>
      <c r="D25" s="141">
        <v>7</v>
      </c>
      <c r="E25" s="141">
        <v>0</v>
      </c>
      <c r="F25" s="141">
        <v>0</v>
      </c>
      <c r="H25" s="164"/>
      <c r="I25" s="164"/>
      <c r="J25" s="164"/>
      <c r="K25" s="164"/>
    </row>
    <row r="26" spans="1:11">
      <c r="A26" s="12">
        <v>70</v>
      </c>
      <c r="B26" s="124" t="s">
        <v>27</v>
      </c>
      <c r="C26" s="141">
        <v>49</v>
      </c>
      <c r="D26" s="141">
        <v>7</v>
      </c>
      <c r="E26" s="141">
        <v>3</v>
      </c>
      <c r="F26" s="141">
        <v>0</v>
      </c>
      <c r="H26" s="164"/>
      <c r="I26" s="164"/>
      <c r="J26" s="164"/>
      <c r="K26" s="164"/>
    </row>
    <row r="27" spans="1:11">
      <c r="A27" s="12">
        <v>71</v>
      </c>
      <c r="B27" s="152" t="s">
        <v>28</v>
      </c>
      <c r="C27" s="141">
        <v>10</v>
      </c>
      <c r="D27" s="141">
        <v>2</v>
      </c>
      <c r="E27" s="141">
        <v>0</v>
      </c>
      <c r="F27" s="141">
        <v>0</v>
      </c>
      <c r="H27" s="164"/>
      <c r="I27" s="164"/>
      <c r="J27" s="164"/>
      <c r="K27" s="164"/>
    </row>
    <row r="28" spans="1:11">
      <c r="A28" s="12">
        <v>73</v>
      </c>
      <c r="B28" s="124" t="s">
        <v>29</v>
      </c>
      <c r="C28" s="141">
        <v>16</v>
      </c>
      <c r="D28" s="150">
        <v>4</v>
      </c>
      <c r="E28" s="150">
        <v>0</v>
      </c>
      <c r="F28" s="141">
        <v>0</v>
      </c>
      <c r="H28" s="164"/>
      <c r="I28" s="164"/>
      <c r="J28" s="164"/>
      <c r="K28" s="164"/>
    </row>
    <row r="29" spans="1:11">
      <c r="A29" s="12">
        <v>74</v>
      </c>
      <c r="B29" s="124" t="s">
        <v>30</v>
      </c>
      <c r="C29" s="141">
        <v>20</v>
      </c>
      <c r="D29" s="150">
        <v>1</v>
      </c>
      <c r="E29" s="150">
        <v>1</v>
      </c>
      <c r="F29" s="141">
        <v>0</v>
      </c>
      <c r="H29" s="164"/>
      <c r="I29" s="164"/>
      <c r="J29" s="164"/>
      <c r="K29" s="164"/>
    </row>
    <row r="30" spans="1:11">
      <c r="A30" s="12">
        <v>75</v>
      </c>
      <c r="B30" s="124" t="s">
        <v>31</v>
      </c>
      <c r="C30" s="141">
        <v>18</v>
      </c>
      <c r="D30" s="150">
        <v>3</v>
      </c>
      <c r="E30" s="150">
        <v>0</v>
      </c>
      <c r="F30" s="141">
        <v>0</v>
      </c>
      <c r="H30" s="164"/>
      <c r="I30" s="164"/>
      <c r="J30" s="164"/>
      <c r="K30" s="164"/>
    </row>
    <row r="31" spans="1:11">
      <c r="A31" s="12">
        <v>76</v>
      </c>
      <c r="B31" s="124" t="s">
        <v>32</v>
      </c>
      <c r="C31" s="141">
        <v>9</v>
      </c>
      <c r="D31" s="150">
        <v>3</v>
      </c>
      <c r="E31" s="150">
        <v>0</v>
      </c>
      <c r="F31" s="141">
        <v>0</v>
      </c>
      <c r="H31" s="164"/>
      <c r="I31" s="164"/>
      <c r="J31" s="164"/>
      <c r="K31" s="164"/>
    </row>
    <row r="32" spans="1:11">
      <c r="A32" s="12">
        <v>79</v>
      </c>
      <c r="B32" s="124" t="s">
        <v>33</v>
      </c>
      <c r="C32" s="141">
        <v>33</v>
      </c>
      <c r="D32" s="150">
        <v>6</v>
      </c>
      <c r="E32" s="150">
        <v>1</v>
      </c>
      <c r="F32" s="141">
        <v>0</v>
      </c>
      <c r="H32" s="164"/>
      <c r="I32" s="164"/>
      <c r="J32" s="164"/>
      <c r="K32" s="164"/>
    </row>
    <row r="33" spans="1:11">
      <c r="A33" s="12">
        <v>80</v>
      </c>
      <c r="B33" s="124" t="s">
        <v>34</v>
      </c>
      <c r="C33" s="141">
        <v>38</v>
      </c>
      <c r="D33" s="150">
        <v>3</v>
      </c>
      <c r="E33" s="150">
        <v>0</v>
      </c>
      <c r="F33" s="141">
        <v>0</v>
      </c>
      <c r="H33" s="164"/>
      <c r="I33" s="164"/>
      <c r="J33" s="164"/>
      <c r="K33" s="164"/>
    </row>
    <row r="34" spans="1:11">
      <c r="A34" s="12">
        <v>81</v>
      </c>
      <c r="B34" s="124" t="s">
        <v>35</v>
      </c>
      <c r="C34" s="141">
        <v>13</v>
      </c>
      <c r="D34" s="150">
        <v>4</v>
      </c>
      <c r="E34" s="150">
        <v>0</v>
      </c>
      <c r="F34" s="141">
        <v>0</v>
      </c>
      <c r="H34" s="164"/>
      <c r="I34" s="164"/>
      <c r="J34" s="164"/>
      <c r="K34" s="164"/>
    </row>
    <row r="35" spans="1:11">
      <c r="A35" s="12">
        <v>83</v>
      </c>
      <c r="B35" s="124" t="s">
        <v>36</v>
      </c>
      <c r="C35" s="141">
        <v>10</v>
      </c>
      <c r="D35" s="150">
        <v>7</v>
      </c>
      <c r="E35" s="150">
        <v>0</v>
      </c>
      <c r="F35" s="141">
        <v>0</v>
      </c>
      <c r="H35" s="164"/>
      <c r="I35" s="164"/>
      <c r="J35" s="164"/>
      <c r="K35" s="164"/>
    </row>
    <row r="36" spans="1:11">
      <c r="A36" s="12">
        <v>84</v>
      </c>
      <c r="B36" s="124" t="s">
        <v>37</v>
      </c>
      <c r="C36" s="141">
        <v>12</v>
      </c>
      <c r="D36" s="150">
        <v>5</v>
      </c>
      <c r="E36" s="150">
        <v>0</v>
      </c>
      <c r="F36" s="141">
        <v>0</v>
      </c>
      <c r="H36" s="164"/>
      <c r="I36" s="164"/>
      <c r="J36" s="164"/>
      <c r="K36" s="164"/>
    </row>
    <row r="37" spans="1:11" ht="15">
      <c r="A37" s="12">
        <v>85</v>
      </c>
      <c r="B37" s="124" t="s">
        <v>38</v>
      </c>
      <c r="C37" s="141">
        <v>28</v>
      </c>
      <c r="D37" s="150">
        <v>1</v>
      </c>
      <c r="E37" s="150">
        <v>0</v>
      </c>
      <c r="F37" s="141">
        <v>0</v>
      </c>
      <c r="G37" s="129"/>
      <c r="H37" s="164"/>
      <c r="I37" s="164"/>
      <c r="J37" s="164"/>
      <c r="K37" s="164"/>
    </row>
    <row r="38" spans="1:11">
      <c r="A38" s="12">
        <v>87</v>
      </c>
      <c r="B38" s="124" t="s">
        <v>39</v>
      </c>
      <c r="C38" s="141">
        <v>12</v>
      </c>
      <c r="D38" s="150">
        <v>2</v>
      </c>
      <c r="E38" s="150">
        <v>0</v>
      </c>
      <c r="F38" s="141">
        <v>0</v>
      </c>
      <c r="H38" s="164"/>
      <c r="I38" s="164"/>
      <c r="J38" s="164"/>
      <c r="K38" s="164"/>
    </row>
    <row r="39" spans="1:11">
      <c r="A39" s="12">
        <v>90</v>
      </c>
      <c r="B39" s="124" t="s">
        <v>40</v>
      </c>
      <c r="C39" s="141">
        <v>33</v>
      </c>
      <c r="D39" s="150">
        <v>10</v>
      </c>
      <c r="E39" s="150">
        <v>0</v>
      </c>
      <c r="F39" s="141">
        <v>0</v>
      </c>
      <c r="H39" s="164"/>
      <c r="I39" s="164"/>
      <c r="J39" s="164"/>
      <c r="K39" s="164"/>
    </row>
    <row r="40" spans="1:11">
      <c r="A40" s="12">
        <v>91</v>
      </c>
      <c r="B40" s="124" t="s">
        <v>41</v>
      </c>
      <c r="C40" s="141">
        <v>24</v>
      </c>
      <c r="D40" s="150">
        <v>3</v>
      </c>
      <c r="E40" s="150">
        <v>0</v>
      </c>
      <c r="F40" s="141">
        <v>1</v>
      </c>
      <c r="H40" s="164"/>
      <c r="I40" s="164"/>
      <c r="J40" s="164"/>
      <c r="K40" s="164"/>
    </row>
    <row r="41" spans="1:11">
      <c r="A41" s="12">
        <v>92</v>
      </c>
      <c r="B41" s="124" t="s">
        <v>42</v>
      </c>
      <c r="C41" s="141">
        <v>26</v>
      </c>
      <c r="D41" s="150">
        <v>8</v>
      </c>
      <c r="E41" s="150">
        <v>0</v>
      </c>
      <c r="F41" s="141">
        <v>0</v>
      </c>
      <c r="H41" s="164"/>
      <c r="I41" s="164"/>
      <c r="J41" s="164"/>
      <c r="K41" s="164"/>
    </row>
    <row r="42" spans="1:11">
      <c r="A42" s="12">
        <v>94</v>
      </c>
      <c r="B42" s="124" t="s">
        <v>43</v>
      </c>
      <c r="C42" s="141">
        <v>18</v>
      </c>
      <c r="D42" s="150">
        <v>7</v>
      </c>
      <c r="E42" s="150">
        <v>0</v>
      </c>
      <c r="F42" s="141">
        <v>0</v>
      </c>
      <c r="H42" s="164"/>
      <c r="I42" s="164"/>
      <c r="J42" s="164"/>
      <c r="K42" s="164"/>
    </row>
    <row r="43" spans="1:11">
      <c r="A43" s="12">
        <v>96</v>
      </c>
      <c r="B43" s="124" t="s">
        <v>44</v>
      </c>
      <c r="C43" s="141">
        <v>14</v>
      </c>
      <c r="D43" s="150">
        <v>1</v>
      </c>
      <c r="E43" s="150">
        <v>0</v>
      </c>
      <c r="F43" s="141">
        <v>0</v>
      </c>
      <c r="H43" s="164"/>
      <c r="I43" s="164"/>
      <c r="J43" s="164"/>
      <c r="K43" s="164"/>
    </row>
    <row r="44" spans="1:11">
      <c r="A44" s="12">
        <v>98</v>
      </c>
      <c r="B44" s="124" t="s">
        <v>45</v>
      </c>
      <c r="C44" s="141">
        <v>22</v>
      </c>
      <c r="D44" s="150">
        <v>3</v>
      </c>
      <c r="E44" s="150">
        <v>0</v>
      </c>
      <c r="F44" s="141">
        <v>0</v>
      </c>
      <c r="H44" s="164"/>
      <c r="I44" s="164"/>
      <c r="J44" s="164"/>
      <c r="K44" s="164"/>
    </row>
    <row r="45" spans="1:11">
      <c r="A45" s="12">
        <v>72</v>
      </c>
      <c r="B45" s="152" t="s">
        <v>46</v>
      </c>
      <c r="C45" s="150">
        <v>0</v>
      </c>
      <c r="D45" s="150">
        <v>0</v>
      </c>
      <c r="E45" s="150">
        <v>0</v>
      </c>
      <c r="F45" s="141">
        <v>0</v>
      </c>
      <c r="H45" s="164"/>
      <c r="I45" s="164"/>
      <c r="J45" s="164"/>
      <c r="K45" s="164"/>
    </row>
    <row r="46" spans="1:11" s="129" customFormat="1" ht="25.5" customHeight="1">
      <c r="A46" s="50"/>
      <c r="B46" s="129" t="s">
        <v>47</v>
      </c>
      <c r="C46" s="155">
        <v>295</v>
      </c>
      <c r="D46" s="155">
        <v>42</v>
      </c>
      <c r="E46" s="155">
        <v>6</v>
      </c>
      <c r="F46" s="155">
        <v>0</v>
      </c>
      <c r="H46" s="164"/>
      <c r="I46" s="164"/>
      <c r="J46" s="164"/>
      <c r="K46" s="164"/>
    </row>
    <row r="47" spans="1:11">
      <c r="A47" s="12">
        <v>66</v>
      </c>
      <c r="B47" s="124" t="s">
        <v>48</v>
      </c>
      <c r="C47" s="141">
        <v>20</v>
      </c>
      <c r="D47" s="141">
        <v>4</v>
      </c>
      <c r="E47" s="141">
        <v>0</v>
      </c>
      <c r="F47" s="141">
        <v>0</v>
      </c>
      <c r="H47" s="164"/>
      <c r="I47" s="164"/>
      <c r="J47" s="164"/>
      <c r="K47" s="164"/>
    </row>
    <row r="48" spans="1:11">
      <c r="A48" s="12">
        <v>78</v>
      </c>
      <c r="B48" s="124" t="s">
        <v>49</v>
      </c>
      <c r="C48" s="141">
        <v>7</v>
      </c>
      <c r="D48" s="141">
        <v>3</v>
      </c>
      <c r="E48" s="141">
        <v>1</v>
      </c>
      <c r="F48" s="141">
        <v>0</v>
      </c>
      <c r="H48" s="164"/>
      <c r="I48" s="164"/>
      <c r="J48" s="164"/>
      <c r="K48" s="164"/>
    </row>
    <row r="49" spans="1:11">
      <c r="A49" s="12">
        <v>89</v>
      </c>
      <c r="B49" s="124" t="s">
        <v>50</v>
      </c>
      <c r="C49" s="141">
        <v>41</v>
      </c>
      <c r="D49" s="141">
        <v>2</v>
      </c>
      <c r="E49" s="141">
        <v>0</v>
      </c>
      <c r="F49" s="141">
        <v>0</v>
      </c>
      <c r="H49" s="164"/>
      <c r="I49" s="164"/>
      <c r="J49" s="164"/>
      <c r="K49" s="164"/>
    </row>
    <row r="50" spans="1:11">
      <c r="A50" s="12">
        <v>93</v>
      </c>
      <c r="B50" s="124" t="s">
        <v>51</v>
      </c>
      <c r="C50" s="141">
        <v>10</v>
      </c>
      <c r="D50" s="141">
        <v>0</v>
      </c>
      <c r="E50" s="141">
        <v>1</v>
      </c>
      <c r="F50" s="141">
        <v>0</v>
      </c>
      <c r="H50" s="164"/>
      <c r="I50" s="164"/>
      <c r="J50" s="164"/>
      <c r="K50" s="164"/>
    </row>
    <row r="51" spans="1:11">
      <c r="A51" s="12">
        <v>95</v>
      </c>
      <c r="B51" s="124" t="s">
        <v>52</v>
      </c>
      <c r="C51" s="141">
        <v>30</v>
      </c>
      <c r="D51" s="141">
        <v>5</v>
      </c>
      <c r="E51" s="141">
        <v>1</v>
      </c>
      <c r="F51" s="141">
        <v>0</v>
      </c>
      <c r="H51" s="164"/>
      <c r="I51" s="164"/>
      <c r="J51" s="164"/>
      <c r="K51" s="164"/>
    </row>
    <row r="52" spans="1:11">
      <c r="A52" s="12">
        <v>97</v>
      </c>
      <c r="B52" s="124" t="s">
        <v>53</v>
      </c>
      <c r="C52" s="167">
        <v>36</v>
      </c>
      <c r="D52" s="141">
        <v>6</v>
      </c>
      <c r="E52" s="141">
        <v>0</v>
      </c>
      <c r="F52" s="141">
        <v>0</v>
      </c>
      <c r="H52" s="164"/>
      <c r="I52" s="164"/>
      <c r="J52" s="164"/>
      <c r="K52" s="164"/>
    </row>
    <row r="53" spans="1:11">
      <c r="A53" s="12">
        <v>77</v>
      </c>
      <c r="B53" s="156" t="s">
        <v>54</v>
      </c>
      <c r="C53" s="171">
        <v>151</v>
      </c>
      <c r="D53" s="171">
        <v>22</v>
      </c>
      <c r="E53" s="171">
        <v>3</v>
      </c>
      <c r="F53" s="171">
        <v>0</v>
      </c>
      <c r="H53" s="164"/>
      <c r="I53" s="164"/>
      <c r="J53" s="164"/>
      <c r="K53" s="164"/>
    </row>
    <row r="54" spans="1:11">
      <c r="C54" s="141"/>
      <c r="D54" s="172"/>
      <c r="E54" s="141"/>
      <c r="F54" s="141"/>
    </row>
    <row r="55" spans="1:11" ht="13.5" customHeight="1">
      <c r="B55" s="12" t="s">
        <v>55</v>
      </c>
    </row>
    <row r="56" spans="1:11" ht="13.5" customHeight="1">
      <c r="B56" s="219" t="s">
        <v>56</v>
      </c>
      <c r="C56" s="220"/>
      <c r="D56" s="220"/>
      <c r="E56" s="220"/>
      <c r="F56" s="220"/>
    </row>
    <row r="57" spans="1:11" ht="15" customHeight="1">
      <c r="B57" s="220"/>
      <c r="C57" s="220"/>
      <c r="D57" s="220"/>
      <c r="E57" s="220"/>
      <c r="F57" s="220"/>
    </row>
    <row r="58" spans="1:11" ht="13.5" customHeight="1">
      <c r="B58" s="220"/>
      <c r="C58" s="220"/>
      <c r="D58" s="220"/>
      <c r="E58" s="220"/>
      <c r="F58" s="220"/>
    </row>
    <row r="59" spans="1:11" ht="12.75" customHeight="1">
      <c r="B59" s="220"/>
      <c r="C59" s="220"/>
      <c r="D59" s="220"/>
      <c r="E59" s="220"/>
      <c r="F59" s="220"/>
    </row>
    <row r="60" spans="1:11" ht="15.75" customHeight="1">
      <c r="B60" s="220"/>
      <c r="C60" s="220"/>
      <c r="D60" s="220"/>
      <c r="E60" s="220"/>
      <c r="F60" s="220"/>
    </row>
    <row r="61" spans="1:11" ht="67.5" customHeight="1">
      <c r="B61" s="220"/>
      <c r="C61" s="220"/>
      <c r="D61" s="220"/>
      <c r="E61" s="220"/>
      <c r="F61" s="220"/>
    </row>
    <row r="62" spans="1:11" ht="9.75" customHeight="1">
      <c r="B62" s="57"/>
      <c r="C62" s="57"/>
      <c r="D62" s="57"/>
      <c r="E62" s="57"/>
      <c r="F62" s="57"/>
    </row>
    <row r="63" spans="1:11">
      <c r="B63" s="140" t="s">
        <v>57</v>
      </c>
    </row>
    <row r="65" spans="2:5" ht="15">
      <c r="B65" s="143"/>
      <c r="C65" s="168"/>
      <c r="D65" s="169"/>
      <c r="E65" s="169"/>
    </row>
    <row r="66" spans="2:5" ht="15">
      <c r="C66" s="168"/>
      <c r="D66" s="169"/>
      <c r="E66" s="169"/>
    </row>
  </sheetData>
  <mergeCells count="8">
    <mergeCell ref="K2:K3"/>
    <mergeCell ref="B56:F61"/>
    <mergeCell ref="B1:F1"/>
    <mergeCell ref="C2:C3"/>
    <mergeCell ref="D2:E2"/>
    <mergeCell ref="F2:F3"/>
    <mergeCell ref="H2:H3"/>
    <mergeCell ref="I2:J2"/>
  </mergeCells>
  <conditionalFormatting sqref="H4:K53">
    <cfRule type="cellIs" dxfId="3" priority="1" stopIfTrue="1" operator="lessThan">
      <formula>-0.5</formula>
    </cfRule>
    <cfRule type="cellIs" dxfId="2" priority="2" stopIfTrue="1" operator="greaterThan">
      <formula>0.5</formula>
    </cfRule>
  </conditionalFormatting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2"/>
  </sheetPr>
  <dimension ref="A1:Q65"/>
  <sheetViews>
    <sheetView showGridLines="0" zoomScale="85" workbookViewId="0">
      <pane xSplit="2" ySplit="3" topLeftCell="C4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0" defaultRowHeight="12.75"/>
  <cols>
    <col min="1" max="1" width="3.140625" style="1" hidden="1" customWidth="1"/>
    <col min="2" max="2" width="31.7109375" style="124" customWidth="1"/>
    <col min="3" max="4" width="15.28515625" style="124" customWidth="1"/>
    <col min="5" max="5" width="16.5703125" style="124" customWidth="1"/>
    <col min="6" max="6" width="15" style="124" customWidth="1"/>
    <col min="7" max="7" width="9.140625" style="124" customWidth="1"/>
    <col min="8" max="256" width="0" style="124" hidden="1"/>
    <col min="257" max="257" width="0" style="124" hidden="1" customWidth="1"/>
    <col min="258" max="258" width="31.7109375" style="124" customWidth="1"/>
    <col min="259" max="260" width="15.28515625" style="124" customWidth="1"/>
    <col min="261" max="261" width="16.5703125" style="124" customWidth="1"/>
    <col min="262" max="262" width="15" style="124" customWidth="1"/>
    <col min="263" max="263" width="9.140625" style="124" customWidth="1"/>
    <col min="264" max="512" width="0" style="124" hidden="1"/>
    <col min="513" max="513" width="0" style="124" hidden="1" customWidth="1"/>
    <col min="514" max="514" width="31.7109375" style="124" customWidth="1"/>
    <col min="515" max="516" width="15.28515625" style="124" customWidth="1"/>
    <col min="517" max="517" width="16.5703125" style="124" customWidth="1"/>
    <col min="518" max="518" width="15" style="124" customWidth="1"/>
    <col min="519" max="519" width="9.140625" style="124" customWidth="1"/>
    <col min="520" max="768" width="0" style="124" hidden="1"/>
    <col min="769" max="769" width="0" style="124" hidden="1" customWidth="1"/>
    <col min="770" max="770" width="31.7109375" style="124" customWidth="1"/>
    <col min="771" max="772" width="15.28515625" style="124" customWidth="1"/>
    <col min="773" max="773" width="16.5703125" style="124" customWidth="1"/>
    <col min="774" max="774" width="15" style="124" customWidth="1"/>
    <col min="775" max="775" width="9.140625" style="124" customWidth="1"/>
    <col min="776" max="1024" width="0" style="124" hidden="1"/>
    <col min="1025" max="1025" width="0" style="124" hidden="1" customWidth="1"/>
    <col min="1026" max="1026" width="31.7109375" style="124" customWidth="1"/>
    <col min="1027" max="1028" width="15.28515625" style="124" customWidth="1"/>
    <col min="1029" max="1029" width="16.5703125" style="124" customWidth="1"/>
    <col min="1030" max="1030" width="15" style="124" customWidth="1"/>
    <col min="1031" max="1031" width="9.140625" style="124" customWidth="1"/>
    <col min="1032" max="1280" width="0" style="124" hidden="1"/>
    <col min="1281" max="1281" width="0" style="124" hidden="1" customWidth="1"/>
    <col min="1282" max="1282" width="31.7109375" style="124" customWidth="1"/>
    <col min="1283" max="1284" width="15.28515625" style="124" customWidth="1"/>
    <col min="1285" max="1285" width="16.5703125" style="124" customWidth="1"/>
    <col min="1286" max="1286" width="15" style="124" customWidth="1"/>
    <col min="1287" max="1287" width="9.140625" style="124" customWidth="1"/>
    <col min="1288" max="1536" width="0" style="124" hidden="1"/>
    <col min="1537" max="1537" width="0" style="124" hidden="1" customWidth="1"/>
    <col min="1538" max="1538" width="31.7109375" style="124" customWidth="1"/>
    <col min="1539" max="1540" width="15.28515625" style="124" customWidth="1"/>
    <col min="1541" max="1541" width="16.5703125" style="124" customWidth="1"/>
    <col min="1542" max="1542" width="15" style="124" customWidth="1"/>
    <col min="1543" max="1543" width="9.140625" style="124" customWidth="1"/>
    <col min="1544" max="1792" width="0" style="124" hidden="1"/>
    <col min="1793" max="1793" width="0" style="124" hidden="1" customWidth="1"/>
    <col min="1794" max="1794" width="31.7109375" style="124" customWidth="1"/>
    <col min="1795" max="1796" width="15.28515625" style="124" customWidth="1"/>
    <col min="1797" max="1797" width="16.5703125" style="124" customWidth="1"/>
    <col min="1798" max="1798" width="15" style="124" customWidth="1"/>
    <col min="1799" max="1799" width="9.140625" style="124" customWidth="1"/>
    <col min="1800" max="2048" width="0" style="124" hidden="1"/>
    <col min="2049" max="2049" width="0" style="124" hidden="1" customWidth="1"/>
    <col min="2050" max="2050" width="31.7109375" style="124" customWidth="1"/>
    <col min="2051" max="2052" width="15.28515625" style="124" customWidth="1"/>
    <col min="2053" max="2053" width="16.5703125" style="124" customWidth="1"/>
    <col min="2054" max="2054" width="15" style="124" customWidth="1"/>
    <col min="2055" max="2055" width="9.140625" style="124" customWidth="1"/>
    <col min="2056" max="2304" width="0" style="124" hidden="1"/>
    <col min="2305" max="2305" width="0" style="124" hidden="1" customWidth="1"/>
    <col min="2306" max="2306" width="31.7109375" style="124" customWidth="1"/>
    <col min="2307" max="2308" width="15.28515625" style="124" customWidth="1"/>
    <col min="2309" max="2309" width="16.5703125" style="124" customWidth="1"/>
    <col min="2310" max="2310" width="15" style="124" customWidth="1"/>
    <col min="2311" max="2311" width="9.140625" style="124" customWidth="1"/>
    <col min="2312" max="2560" width="0" style="124" hidden="1"/>
    <col min="2561" max="2561" width="0" style="124" hidden="1" customWidth="1"/>
    <col min="2562" max="2562" width="31.7109375" style="124" customWidth="1"/>
    <col min="2563" max="2564" width="15.28515625" style="124" customWidth="1"/>
    <col min="2565" max="2565" width="16.5703125" style="124" customWidth="1"/>
    <col min="2566" max="2566" width="15" style="124" customWidth="1"/>
    <col min="2567" max="2567" width="9.140625" style="124" customWidth="1"/>
    <col min="2568" max="2816" width="0" style="124" hidden="1"/>
    <col min="2817" max="2817" width="0" style="124" hidden="1" customWidth="1"/>
    <col min="2818" max="2818" width="31.7109375" style="124" customWidth="1"/>
    <col min="2819" max="2820" width="15.28515625" style="124" customWidth="1"/>
    <col min="2821" max="2821" width="16.5703125" style="124" customWidth="1"/>
    <col min="2822" max="2822" width="15" style="124" customWidth="1"/>
    <col min="2823" max="2823" width="9.140625" style="124" customWidth="1"/>
    <col min="2824" max="3072" width="0" style="124" hidden="1"/>
    <col min="3073" max="3073" width="0" style="124" hidden="1" customWidth="1"/>
    <col min="3074" max="3074" width="31.7109375" style="124" customWidth="1"/>
    <col min="3075" max="3076" width="15.28515625" style="124" customWidth="1"/>
    <col min="3077" max="3077" width="16.5703125" style="124" customWidth="1"/>
    <col min="3078" max="3078" width="15" style="124" customWidth="1"/>
    <col min="3079" max="3079" width="9.140625" style="124" customWidth="1"/>
    <col min="3080" max="3328" width="0" style="124" hidden="1"/>
    <col min="3329" max="3329" width="0" style="124" hidden="1" customWidth="1"/>
    <col min="3330" max="3330" width="31.7109375" style="124" customWidth="1"/>
    <col min="3331" max="3332" width="15.28515625" style="124" customWidth="1"/>
    <col min="3333" max="3333" width="16.5703125" style="124" customWidth="1"/>
    <col min="3334" max="3334" width="15" style="124" customWidth="1"/>
    <col min="3335" max="3335" width="9.140625" style="124" customWidth="1"/>
    <col min="3336" max="3584" width="0" style="124" hidden="1"/>
    <col min="3585" max="3585" width="0" style="124" hidden="1" customWidth="1"/>
    <col min="3586" max="3586" width="31.7109375" style="124" customWidth="1"/>
    <col min="3587" max="3588" width="15.28515625" style="124" customWidth="1"/>
    <col min="3589" max="3589" width="16.5703125" style="124" customWidth="1"/>
    <col min="3590" max="3590" width="15" style="124" customWidth="1"/>
    <col min="3591" max="3591" width="9.140625" style="124" customWidth="1"/>
    <col min="3592" max="3840" width="0" style="124" hidden="1"/>
    <col min="3841" max="3841" width="0" style="124" hidden="1" customWidth="1"/>
    <col min="3842" max="3842" width="31.7109375" style="124" customWidth="1"/>
    <col min="3843" max="3844" width="15.28515625" style="124" customWidth="1"/>
    <col min="3845" max="3845" width="16.5703125" style="124" customWidth="1"/>
    <col min="3846" max="3846" width="15" style="124" customWidth="1"/>
    <col min="3847" max="3847" width="9.140625" style="124" customWidth="1"/>
    <col min="3848" max="4096" width="0" style="124" hidden="1"/>
    <col min="4097" max="4097" width="0" style="124" hidden="1" customWidth="1"/>
    <col min="4098" max="4098" width="31.7109375" style="124" customWidth="1"/>
    <col min="4099" max="4100" width="15.28515625" style="124" customWidth="1"/>
    <col min="4101" max="4101" width="16.5703125" style="124" customWidth="1"/>
    <col min="4102" max="4102" width="15" style="124" customWidth="1"/>
    <col min="4103" max="4103" width="9.140625" style="124" customWidth="1"/>
    <col min="4104" max="4352" width="0" style="124" hidden="1"/>
    <col min="4353" max="4353" width="0" style="124" hidden="1" customWidth="1"/>
    <col min="4354" max="4354" width="31.7109375" style="124" customWidth="1"/>
    <col min="4355" max="4356" width="15.28515625" style="124" customWidth="1"/>
    <col min="4357" max="4357" width="16.5703125" style="124" customWidth="1"/>
    <col min="4358" max="4358" width="15" style="124" customWidth="1"/>
    <col min="4359" max="4359" width="9.140625" style="124" customWidth="1"/>
    <col min="4360" max="4608" width="0" style="124" hidden="1"/>
    <col min="4609" max="4609" width="0" style="124" hidden="1" customWidth="1"/>
    <col min="4610" max="4610" width="31.7109375" style="124" customWidth="1"/>
    <col min="4611" max="4612" width="15.28515625" style="124" customWidth="1"/>
    <col min="4613" max="4613" width="16.5703125" style="124" customWidth="1"/>
    <col min="4614" max="4614" width="15" style="124" customWidth="1"/>
    <col min="4615" max="4615" width="9.140625" style="124" customWidth="1"/>
    <col min="4616" max="4864" width="0" style="124" hidden="1"/>
    <col min="4865" max="4865" width="0" style="124" hidden="1" customWidth="1"/>
    <col min="4866" max="4866" width="31.7109375" style="124" customWidth="1"/>
    <col min="4867" max="4868" width="15.28515625" style="124" customWidth="1"/>
    <col min="4869" max="4869" width="16.5703125" style="124" customWidth="1"/>
    <col min="4870" max="4870" width="15" style="124" customWidth="1"/>
    <col min="4871" max="4871" width="9.140625" style="124" customWidth="1"/>
    <col min="4872" max="5120" width="0" style="124" hidden="1"/>
    <col min="5121" max="5121" width="0" style="124" hidden="1" customWidth="1"/>
    <col min="5122" max="5122" width="31.7109375" style="124" customWidth="1"/>
    <col min="5123" max="5124" width="15.28515625" style="124" customWidth="1"/>
    <col min="5125" max="5125" width="16.5703125" style="124" customWidth="1"/>
    <col min="5126" max="5126" width="15" style="124" customWidth="1"/>
    <col min="5127" max="5127" width="9.140625" style="124" customWidth="1"/>
    <col min="5128" max="5376" width="0" style="124" hidden="1"/>
    <col min="5377" max="5377" width="0" style="124" hidden="1" customWidth="1"/>
    <col min="5378" max="5378" width="31.7109375" style="124" customWidth="1"/>
    <col min="5379" max="5380" width="15.28515625" style="124" customWidth="1"/>
    <col min="5381" max="5381" width="16.5703125" style="124" customWidth="1"/>
    <col min="5382" max="5382" width="15" style="124" customWidth="1"/>
    <col min="5383" max="5383" width="9.140625" style="124" customWidth="1"/>
    <col min="5384" max="5632" width="0" style="124" hidden="1"/>
    <col min="5633" max="5633" width="0" style="124" hidden="1" customWidth="1"/>
    <col min="5634" max="5634" width="31.7109375" style="124" customWidth="1"/>
    <col min="5635" max="5636" width="15.28515625" style="124" customWidth="1"/>
    <col min="5637" max="5637" width="16.5703125" style="124" customWidth="1"/>
    <col min="5638" max="5638" width="15" style="124" customWidth="1"/>
    <col min="5639" max="5639" width="9.140625" style="124" customWidth="1"/>
    <col min="5640" max="5888" width="0" style="124" hidden="1"/>
    <col min="5889" max="5889" width="0" style="124" hidden="1" customWidth="1"/>
    <col min="5890" max="5890" width="31.7109375" style="124" customWidth="1"/>
    <col min="5891" max="5892" width="15.28515625" style="124" customWidth="1"/>
    <col min="5893" max="5893" width="16.5703125" style="124" customWidth="1"/>
    <col min="5894" max="5894" width="15" style="124" customWidth="1"/>
    <col min="5895" max="5895" width="9.140625" style="124" customWidth="1"/>
    <col min="5896" max="6144" width="0" style="124" hidden="1"/>
    <col min="6145" max="6145" width="0" style="124" hidden="1" customWidth="1"/>
    <col min="6146" max="6146" width="31.7109375" style="124" customWidth="1"/>
    <col min="6147" max="6148" width="15.28515625" style="124" customWidth="1"/>
    <col min="6149" max="6149" width="16.5703125" style="124" customWidth="1"/>
    <col min="6150" max="6150" width="15" style="124" customWidth="1"/>
    <col min="6151" max="6151" width="9.140625" style="124" customWidth="1"/>
    <col min="6152" max="6400" width="0" style="124" hidden="1"/>
    <col min="6401" max="6401" width="0" style="124" hidden="1" customWidth="1"/>
    <col min="6402" max="6402" width="31.7109375" style="124" customWidth="1"/>
    <col min="6403" max="6404" width="15.28515625" style="124" customWidth="1"/>
    <col min="6405" max="6405" width="16.5703125" style="124" customWidth="1"/>
    <col min="6406" max="6406" width="15" style="124" customWidth="1"/>
    <col min="6407" max="6407" width="9.140625" style="124" customWidth="1"/>
    <col min="6408" max="6656" width="0" style="124" hidden="1"/>
    <col min="6657" max="6657" width="0" style="124" hidden="1" customWidth="1"/>
    <col min="6658" max="6658" width="31.7109375" style="124" customWidth="1"/>
    <col min="6659" max="6660" width="15.28515625" style="124" customWidth="1"/>
    <col min="6661" max="6661" width="16.5703125" style="124" customWidth="1"/>
    <col min="6662" max="6662" width="15" style="124" customWidth="1"/>
    <col min="6663" max="6663" width="9.140625" style="124" customWidth="1"/>
    <col min="6664" max="6912" width="0" style="124" hidden="1"/>
    <col min="6913" max="6913" width="0" style="124" hidden="1" customWidth="1"/>
    <col min="6914" max="6914" width="31.7109375" style="124" customWidth="1"/>
    <col min="6915" max="6916" width="15.28515625" style="124" customWidth="1"/>
    <col min="6917" max="6917" width="16.5703125" style="124" customWidth="1"/>
    <col min="6918" max="6918" width="15" style="124" customWidth="1"/>
    <col min="6919" max="6919" width="9.140625" style="124" customWidth="1"/>
    <col min="6920" max="7168" width="0" style="124" hidden="1"/>
    <col min="7169" max="7169" width="0" style="124" hidden="1" customWidth="1"/>
    <col min="7170" max="7170" width="31.7109375" style="124" customWidth="1"/>
    <col min="7171" max="7172" width="15.28515625" style="124" customWidth="1"/>
    <col min="7173" max="7173" width="16.5703125" style="124" customWidth="1"/>
    <col min="7174" max="7174" width="15" style="124" customWidth="1"/>
    <col min="7175" max="7175" width="9.140625" style="124" customWidth="1"/>
    <col min="7176" max="7424" width="0" style="124" hidden="1"/>
    <col min="7425" max="7425" width="0" style="124" hidden="1" customWidth="1"/>
    <col min="7426" max="7426" width="31.7109375" style="124" customWidth="1"/>
    <col min="7427" max="7428" width="15.28515625" style="124" customWidth="1"/>
    <col min="7429" max="7429" width="16.5703125" style="124" customWidth="1"/>
    <col min="7430" max="7430" width="15" style="124" customWidth="1"/>
    <col min="7431" max="7431" width="9.140625" style="124" customWidth="1"/>
    <col min="7432" max="7680" width="0" style="124" hidden="1"/>
    <col min="7681" max="7681" width="0" style="124" hidden="1" customWidth="1"/>
    <col min="7682" max="7682" width="31.7109375" style="124" customWidth="1"/>
    <col min="7683" max="7684" width="15.28515625" style="124" customWidth="1"/>
    <col min="7685" max="7685" width="16.5703125" style="124" customWidth="1"/>
    <col min="7686" max="7686" width="15" style="124" customWidth="1"/>
    <col min="7687" max="7687" width="9.140625" style="124" customWidth="1"/>
    <col min="7688" max="7936" width="0" style="124" hidden="1"/>
    <col min="7937" max="7937" width="0" style="124" hidden="1" customWidth="1"/>
    <col min="7938" max="7938" width="31.7109375" style="124" customWidth="1"/>
    <col min="7939" max="7940" width="15.28515625" style="124" customWidth="1"/>
    <col min="7941" max="7941" width="16.5703125" style="124" customWidth="1"/>
    <col min="7942" max="7942" width="15" style="124" customWidth="1"/>
    <col min="7943" max="7943" width="9.140625" style="124" customWidth="1"/>
    <col min="7944" max="8192" width="0" style="124" hidden="1"/>
    <col min="8193" max="8193" width="0" style="124" hidden="1" customWidth="1"/>
    <col min="8194" max="8194" width="31.7109375" style="124" customWidth="1"/>
    <col min="8195" max="8196" width="15.28515625" style="124" customWidth="1"/>
    <col min="8197" max="8197" width="16.5703125" style="124" customWidth="1"/>
    <col min="8198" max="8198" width="15" style="124" customWidth="1"/>
    <col min="8199" max="8199" width="9.140625" style="124" customWidth="1"/>
    <col min="8200" max="8448" width="0" style="124" hidden="1"/>
    <col min="8449" max="8449" width="0" style="124" hidden="1" customWidth="1"/>
    <col min="8450" max="8450" width="31.7109375" style="124" customWidth="1"/>
    <col min="8451" max="8452" width="15.28515625" style="124" customWidth="1"/>
    <col min="8453" max="8453" width="16.5703125" style="124" customWidth="1"/>
    <col min="8454" max="8454" width="15" style="124" customWidth="1"/>
    <col min="8455" max="8455" width="9.140625" style="124" customWidth="1"/>
    <col min="8456" max="8704" width="0" style="124" hidden="1"/>
    <col min="8705" max="8705" width="0" style="124" hidden="1" customWidth="1"/>
    <col min="8706" max="8706" width="31.7109375" style="124" customWidth="1"/>
    <col min="8707" max="8708" width="15.28515625" style="124" customWidth="1"/>
    <col min="8709" max="8709" width="16.5703125" style="124" customWidth="1"/>
    <col min="8710" max="8710" width="15" style="124" customWidth="1"/>
    <col min="8711" max="8711" width="9.140625" style="124" customWidth="1"/>
    <col min="8712" max="8960" width="0" style="124" hidden="1"/>
    <col min="8961" max="8961" width="0" style="124" hidden="1" customWidth="1"/>
    <col min="8962" max="8962" width="31.7109375" style="124" customWidth="1"/>
    <col min="8963" max="8964" width="15.28515625" style="124" customWidth="1"/>
    <col min="8965" max="8965" width="16.5703125" style="124" customWidth="1"/>
    <col min="8966" max="8966" width="15" style="124" customWidth="1"/>
    <col min="8967" max="8967" width="9.140625" style="124" customWidth="1"/>
    <col min="8968" max="9216" width="0" style="124" hidden="1"/>
    <col min="9217" max="9217" width="0" style="124" hidden="1" customWidth="1"/>
    <col min="9218" max="9218" width="31.7109375" style="124" customWidth="1"/>
    <col min="9219" max="9220" width="15.28515625" style="124" customWidth="1"/>
    <col min="9221" max="9221" width="16.5703125" style="124" customWidth="1"/>
    <col min="9222" max="9222" width="15" style="124" customWidth="1"/>
    <col min="9223" max="9223" width="9.140625" style="124" customWidth="1"/>
    <col min="9224" max="9472" width="0" style="124" hidden="1"/>
    <col min="9473" max="9473" width="0" style="124" hidden="1" customWidth="1"/>
    <col min="9474" max="9474" width="31.7109375" style="124" customWidth="1"/>
    <col min="9475" max="9476" width="15.28515625" style="124" customWidth="1"/>
    <col min="9477" max="9477" width="16.5703125" style="124" customWidth="1"/>
    <col min="9478" max="9478" width="15" style="124" customWidth="1"/>
    <col min="9479" max="9479" width="9.140625" style="124" customWidth="1"/>
    <col min="9480" max="9728" width="0" style="124" hidden="1"/>
    <col min="9729" max="9729" width="0" style="124" hidden="1" customWidth="1"/>
    <col min="9730" max="9730" width="31.7109375" style="124" customWidth="1"/>
    <col min="9731" max="9732" width="15.28515625" style="124" customWidth="1"/>
    <col min="9733" max="9733" width="16.5703125" style="124" customWidth="1"/>
    <col min="9734" max="9734" width="15" style="124" customWidth="1"/>
    <col min="9735" max="9735" width="9.140625" style="124" customWidth="1"/>
    <col min="9736" max="9984" width="0" style="124" hidden="1"/>
    <col min="9985" max="9985" width="0" style="124" hidden="1" customWidth="1"/>
    <col min="9986" max="9986" width="31.7109375" style="124" customWidth="1"/>
    <col min="9987" max="9988" width="15.28515625" style="124" customWidth="1"/>
    <col min="9989" max="9989" width="16.5703125" style="124" customWidth="1"/>
    <col min="9990" max="9990" width="15" style="124" customWidth="1"/>
    <col min="9991" max="9991" width="9.140625" style="124" customWidth="1"/>
    <col min="9992" max="10240" width="0" style="124" hidden="1"/>
    <col min="10241" max="10241" width="0" style="124" hidden="1" customWidth="1"/>
    <col min="10242" max="10242" width="31.7109375" style="124" customWidth="1"/>
    <col min="10243" max="10244" width="15.28515625" style="124" customWidth="1"/>
    <col min="10245" max="10245" width="16.5703125" style="124" customWidth="1"/>
    <col min="10246" max="10246" width="15" style="124" customWidth="1"/>
    <col min="10247" max="10247" width="9.140625" style="124" customWidth="1"/>
    <col min="10248" max="10496" width="0" style="124" hidden="1"/>
    <col min="10497" max="10497" width="0" style="124" hidden="1" customWidth="1"/>
    <col min="10498" max="10498" width="31.7109375" style="124" customWidth="1"/>
    <col min="10499" max="10500" width="15.28515625" style="124" customWidth="1"/>
    <col min="10501" max="10501" width="16.5703125" style="124" customWidth="1"/>
    <col min="10502" max="10502" width="15" style="124" customWidth="1"/>
    <col min="10503" max="10503" width="9.140625" style="124" customWidth="1"/>
    <col min="10504" max="10752" width="0" style="124" hidden="1"/>
    <col min="10753" max="10753" width="0" style="124" hidden="1" customWidth="1"/>
    <col min="10754" max="10754" width="31.7109375" style="124" customWidth="1"/>
    <col min="10755" max="10756" width="15.28515625" style="124" customWidth="1"/>
    <col min="10757" max="10757" width="16.5703125" style="124" customWidth="1"/>
    <col min="10758" max="10758" width="15" style="124" customWidth="1"/>
    <col min="10759" max="10759" width="9.140625" style="124" customWidth="1"/>
    <col min="10760" max="11008" width="0" style="124" hidden="1"/>
    <col min="11009" max="11009" width="0" style="124" hidden="1" customWidth="1"/>
    <col min="11010" max="11010" width="31.7109375" style="124" customWidth="1"/>
    <col min="11011" max="11012" width="15.28515625" style="124" customWidth="1"/>
    <col min="11013" max="11013" width="16.5703125" style="124" customWidth="1"/>
    <col min="11014" max="11014" width="15" style="124" customWidth="1"/>
    <col min="11015" max="11015" width="9.140625" style="124" customWidth="1"/>
    <col min="11016" max="11264" width="0" style="124" hidden="1"/>
    <col min="11265" max="11265" width="0" style="124" hidden="1" customWidth="1"/>
    <col min="11266" max="11266" width="31.7109375" style="124" customWidth="1"/>
    <col min="11267" max="11268" width="15.28515625" style="124" customWidth="1"/>
    <col min="11269" max="11269" width="16.5703125" style="124" customWidth="1"/>
    <col min="11270" max="11270" width="15" style="124" customWidth="1"/>
    <col min="11271" max="11271" width="9.140625" style="124" customWidth="1"/>
    <col min="11272" max="11520" width="0" style="124" hidden="1"/>
    <col min="11521" max="11521" width="0" style="124" hidden="1" customWidth="1"/>
    <col min="11522" max="11522" width="31.7109375" style="124" customWidth="1"/>
    <col min="11523" max="11524" width="15.28515625" style="124" customWidth="1"/>
    <col min="11525" max="11525" width="16.5703125" style="124" customWidth="1"/>
    <col min="11526" max="11526" width="15" style="124" customWidth="1"/>
    <col min="11527" max="11527" width="9.140625" style="124" customWidth="1"/>
    <col min="11528" max="11776" width="0" style="124" hidden="1"/>
    <col min="11777" max="11777" width="0" style="124" hidden="1" customWidth="1"/>
    <col min="11778" max="11778" width="31.7109375" style="124" customWidth="1"/>
    <col min="11779" max="11780" width="15.28515625" style="124" customWidth="1"/>
    <col min="11781" max="11781" width="16.5703125" style="124" customWidth="1"/>
    <col min="11782" max="11782" width="15" style="124" customWidth="1"/>
    <col min="11783" max="11783" width="9.140625" style="124" customWidth="1"/>
    <col min="11784" max="12032" width="0" style="124" hidden="1"/>
    <col min="12033" max="12033" width="0" style="124" hidden="1" customWidth="1"/>
    <col min="12034" max="12034" width="31.7109375" style="124" customWidth="1"/>
    <col min="12035" max="12036" width="15.28515625" style="124" customWidth="1"/>
    <col min="12037" max="12037" width="16.5703125" style="124" customWidth="1"/>
    <col min="12038" max="12038" width="15" style="124" customWidth="1"/>
    <col min="12039" max="12039" width="9.140625" style="124" customWidth="1"/>
    <col min="12040" max="12288" width="0" style="124" hidden="1"/>
    <col min="12289" max="12289" width="0" style="124" hidden="1" customWidth="1"/>
    <col min="12290" max="12290" width="31.7109375" style="124" customWidth="1"/>
    <col min="12291" max="12292" width="15.28515625" style="124" customWidth="1"/>
    <col min="12293" max="12293" width="16.5703125" style="124" customWidth="1"/>
    <col min="12294" max="12294" width="15" style="124" customWidth="1"/>
    <col min="12295" max="12295" width="9.140625" style="124" customWidth="1"/>
    <col min="12296" max="12544" width="0" style="124" hidden="1"/>
    <col min="12545" max="12545" width="0" style="124" hidden="1" customWidth="1"/>
    <col min="12546" max="12546" width="31.7109375" style="124" customWidth="1"/>
    <col min="12547" max="12548" width="15.28515625" style="124" customWidth="1"/>
    <col min="12549" max="12549" width="16.5703125" style="124" customWidth="1"/>
    <col min="12550" max="12550" width="15" style="124" customWidth="1"/>
    <col min="12551" max="12551" width="9.140625" style="124" customWidth="1"/>
    <col min="12552" max="12800" width="0" style="124" hidden="1"/>
    <col min="12801" max="12801" width="0" style="124" hidden="1" customWidth="1"/>
    <col min="12802" max="12802" width="31.7109375" style="124" customWidth="1"/>
    <col min="12803" max="12804" width="15.28515625" style="124" customWidth="1"/>
    <col min="12805" max="12805" width="16.5703125" style="124" customWidth="1"/>
    <col min="12806" max="12806" width="15" style="124" customWidth="1"/>
    <col min="12807" max="12807" width="9.140625" style="124" customWidth="1"/>
    <col min="12808" max="13056" width="0" style="124" hidden="1"/>
    <col min="13057" max="13057" width="0" style="124" hidden="1" customWidth="1"/>
    <col min="13058" max="13058" width="31.7109375" style="124" customWidth="1"/>
    <col min="13059" max="13060" width="15.28515625" style="124" customWidth="1"/>
    <col min="13061" max="13061" width="16.5703125" style="124" customWidth="1"/>
    <col min="13062" max="13062" width="15" style="124" customWidth="1"/>
    <col min="13063" max="13063" width="9.140625" style="124" customWidth="1"/>
    <col min="13064" max="13312" width="0" style="124" hidden="1"/>
    <col min="13313" max="13313" width="0" style="124" hidden="1" customWidth="1"/>
    <col min="13314" max="13314" width="31.7109375" style="124" customWidth="1"/>
    <col min="13315" max="13316" width="15.28515625" style="124" customWidth="1"/>
    <col min="13317" max="13317" width="16.5703125" style="124" customWidth="1"/>
    <col min="13318" max="13318" width="15" style="124" customWidth="1"/>
    <col min="13319" max="13319" width="9.140625" style="124" customWidth="1"/>
    <col min="13320" max="13568" width="0" style="124" hidden="1"/>
    <col min="13569" max="13569" width="0" style="124" hidden="1" customWidth="1"/>
    <col min="13570" max="13570" width="31.7109375" style="124" customWidth="1"/>
    <col min="13571" max="13572" width="15.28515625" style="124" customWidth="1"/>
    <col min="13573" max="13573" width="16.5703125" style="124" customWidth="1"/>
    <col min="13574" max="13574" width="15" style="124" customWidth="1"/>
    <col min="13575" max="13575" width="9.140625" style="124" customWidth="1"/>
    <col min="13576" max="13824" width="0" style="124" hidden="1"/>
    <col min="13825" max="13825" width="0" style="124" hidden="1" customWidth="1"/>
    <col min="13826" max="13826" width="31.7109375" style="124" customWidth="1"/>
    <col min="13827" max="13828" width="15.28515625" style="124" customWidth="1"/>
    <col min="13829" max="13829" width="16.5703125" style="124" customWidth="1"/>
    <col min="13830" max="13830" width="15" style="124" customWidth="1"/>
    <col min="13831" max="13831" width="9.140625" style="124" customWidth="1"/>
    <col min="13832" max="14080" width="0" style="124" hidden="1"/>
    <col min="14081" max="14081" width="0" style="124" hidden="1" customWidth="1"/>
    <col min="14082" max="14082" width="31.7109375" style="124" customWidth="1"/>
    <col min="14083" max="14084" width="15.28515625" style="124" customWidth="1"/>
    <col min="14085" max="14085" width="16.5703125" style="124" customWidth="1"/>
    <col min="14086" max="14086" width="15" style="124" customWidth="1"/>
    <col min="14087" max="14087" width="9.140625" style="124" customWidth="1"/>
    <col min="14088" max="14336" width="0" style="124" hidden="1"/>
    <col min="14337" max="14337" width="0" style="124" hidden="1" customWidth="1"/>
    <col min="14338" max="14338" width="31.7109375" style="124" customWidth="1"/>
    <col min="14339" max="14340" width="15.28515625" style="124" customWidth="1"/>
    <col min="14341" max="14341" width="16.5703125" style="124" customWidth="1"/>
    <col min="14342" max="14342" width="15" style="124" customWidth="1"/>
    <col min="14343" max="14343" width="9.140625" style="124" customWidth="1"/>
    <col min="14344" max="14592" width="0" style="124" hidden="1"/>
    <col min="14593" max="14593" width="0" style="124" hidden="1" customWidth="1"/>
    <col min="14594" max="14594" width="31.7109375" style="124" customWidth="1"/>
    <col min="14595" max="14596" width="15.28515625" style="124" customWidth="1"/>
    <col min="14597" max="14597" width="16.5703125" style="124" customWidth="1"/>
    <col min="14598" max="14598" width="15" style="124" customWidth="1"/>
    <col min="14599" max="14599" width="9.140625" style="124" customWidth="1"/>
    <col min="14600" max="14848" width="0" style="124" hidden="1"/>
    <col min="14849" max="14849" width="0" style="124" hidden="1" customWidth="1"/>
    <col min="14850" max="14850" width="31.7109375" style="124" customWidth="1"/>
    <col min="14851" max="14852" width="15.28515625" style="124" customWidth="1"/>
    <col min="14853" max="14853" width="16.5703125" style="124" customWidth="1"/>
    <col min="14854" max="14854" width="15" style="124" customWidth="1"/>
    <col min="14855" max="14855" width="9.140625" style="124" customWidth="1"/>
    <col min="14856" max="15104" width="0" style="124" hidden="1"/>
    <col min="15105" max="15105" width="0" style="124" hidden="1" customWidth="1"/>
    <col min="15106" max="15106" width="31.7109375" style="124" customWidth="1"/>
    <col min="15107" max="15108" width="15.28515625" style="124" customWidth="1"/>
    <col min="15109" max="15109" width="16.5703125" style="124" customWidth="1"/>
    <col min="15110" max="15110" width="15" style="124" customWidth="1"/>
    <col min="15111" max="15111" width="9.140625" style="124" customWidth="1"/>
    <col min="15112" max="15360" width="0" style="124" hidden="1"/>
    <col min="15361" max="15361" width="0" style="124" hidden="1" customWidth="1"/>
    <col min="15362" max="15362" width="31.7109375" style="124" customWidth="1"/>
    <col min="15363" max="15364" width="15.28515625" style="124" customWidth="1"/>
    <col min="15365" max="15365" width="16.5703125" style="124" customWidth="1"/>
    <col min="15366" max="15366" width="15" style="124" customWidth="1"/>
    <col min="15367" max="15367" width="9.140625" style="124" customWidth="1"/>
    <col min="15368" max="15616" width="0" style="124" hidden="1"/>
    <col min="15617" max="15617" width="0" style="124" hidden="1" customWidth="1"/>
    <col min="15618" max="15618" width="31.7109375" style="124" customWidth="1"/>
    <col min="15619" max="15620" width="15.28515625" style="124" customWidth="1"/>
    <col min="15621" max="15621" width="16.5703125" style="124" customWidth="1"/>
    <col min="15622" max="15622" width="15" style="124" customWidth="1"/>
    <col min="15623" max="15623" width="9.140625" style="124" customWidth="1"/>
    <col min="15624" max="15872" width="0" style="124" hidden="1"/>
    <col min="15873" max="15873" width="0" style="124" hidden="1" customWidth="1"/>
    <col min="15874" max="15874" width="31.7109375" style="124" customWidth="1"/>
    <col min="15875" max="15876" width="15.28515625" style="124" customWidth="1"/>
    <col min="15877" max="15877" width="16.5703125" style="124" customWidth="1"/>
    <col min="15878" max="15878" width="15" style="124" customWidth="1"/>
    <col min="15879" max="15879" width="9.140625" style="124" customWidth="1"/>
    <col min="15880" max="16128" width="0" style="124" hidden="1"/>
    <col min="16129" max="16129" width="0" style="124" hidden="1" customWidth="1"/>
    <col min="16130" max="16130" width="31.7109375" style="124" customWidth="1"/>
    <col min="16131" max="16132" width="15.28515625" style="124" customWidth="1"/>
    <col min="16133" max="16133" width="16.5703125" style="124" customWidth="1"/>
    <col min="16134" max="16134" width="15" style="124" customWidth="1"/>
    <col min="16135" max="16135" width="9.140625" style="124" customWidth="1"/>
    <col min="16136" max="16384" width="0" style="124" hidden="1"/>
  </cols>
  <sheetData>
    <row r="1" spans="1:17" ht="50.25" customHeight="1">
      <c r="B1" s="196" t="s">
        <v>98</v>
      </c>
      <c r="C1" s="196"/>
      <c r="D1" s="196"/>
      <c r="E1" s="196"/>
      <c r="F1" s="196"/>
    </row>
    <row r="2" spans="1:17" ht="15.75" customHeight="1">
      <c r="C2" s="207" t="s">
        <v>1</v>
      </c>
      <c r="D2" s="204" t="s">
        <v>2</v>
      </c>
      <c r="E2" s="204"/>
      <c r="F2" s="207" t="s">
        <v>5</v>
      </c>
      <c r="H2" s="207"/>
      <c r="I2" s="204"/>
      <c r="J2" s="204"/>
      <c r="K2" s="207"/>
    </row>
    <row r="3" spans="1:17" ht="39" customHeight="1">
      <c r="A3" s="4"/>
      <c r="C3" s="199"/>
      <c r="D3" s="145" t="s">
        <v>3</v>
      </c>
      <c r="E3" s="145" t="s">
        <v>4</v>
      </c>
      <c r="F3" s="199"/>
      <c r="H3" s="199"/>
      <c r="I3" s="145"/>
      <c r="J3" s="145"/>
      <c r="K3" s="199"/>
    </row>
    <row r="4" spans="1:17" ht="28.5" customHeight="1">
      <c r="A4" s="4"/>
      <c r="B4" s="129" t="s">
        <v>6</v>
      </c>
      <c r="C4" s="161">
        <v>1097</v>
      </c>
      <c r="D4" s="161">
        <v>149</v>
      </c>
      <c r="E4" s="161">
        <v>14</v>
      </c>
      <c r="F4" s="161">
        <v>0</v>
      </c>
      <c r="H4" s="164"/>
      <c r="I4" s="164"/>
      <c r="J4" s="164"/>
      <c r="K4" s="164"/>
      <c r="L4" s="164"/>
      <c r="M4" s="164"/>
      <c r="N4" s="164"/>
      <c r="O4" s="164"/>
      <c r="P4" s="164"/>
      <c r="Q4" s="164"/>
    </row>
    <row r="5" spans="1:17" s="154" customFormat="1" ht="26.25" customHeight="1">
      <c r="A5" s="12"/>
      <c r="B5" s="129" t="s">
        <v>7</v>
      </c>
      <c r="C5" s="148">
        <v>544</v>
      </c>
      <c r="D5" s="148">
        <v>95</v>
      </c>
      <c r="E5" s="148">
        <v>8</v>
      </c>
      <c r="F5" s="148">
        <v>0</v>
      </c>
      <c r="H5" s="164"/>
      <c r="I5" s="164"/>
      <c r="J5" s="164"/>
      <c r="K5" s="164"/>
      <c r="L5" s="164"/>
      <c r="M5" s="164"/>
      <c r="N5" s="164"/>
      <c r="O5" s="164"/>
      <c r="P5" s="164"/>
      <c r="Q5" s="164"/>
    </row>
    <row r="6" spans="1:17">
      <c r="A6" s="12">
        <v>51</v>
      </c>
      <c r="B6" s="124" t="s">
        <v>8</v>
      </c>
      <c r="C6" s="149">
        <v>35</v>
      </c>
      <c r="D6" s="149">
        <v>5</v>
      </c>
      <c r="E6" s="149">
        <v>1</v>
      </c>
      <c r="F6" s="149">
        <v>0</v>
      </c>
      <c r="H6" s="164"/>
      <c r="I6" s="164"/>
      <c r="J6" s="164"/>
      <c r="K6" s="164"/>
      <c r="L6" s="164"/>
      <c r="M6" s="164"/>
      <c r="N6" s="164"/>
      <c r="O6" s="164"/>
      <c r="P6" s="164"/>
      <c r="Q6" s="164"/>
    </row>
    <row r="7" spans="1:17">
      <c r="A7" s="12">
        <v>52</v>
      </c>
      <c r="B7" s="124" t="s">
        <v>9</v>
      </c>
      <c r="C7" s="149">
        <v>14</v>
      </c>
      <c r="D7" s="149">
        <v>2</v>
      </c>
      <c r="E7" s="149">
        <v>0</v>
      </c>
      <c r="F7" s="149">
        <v>0</v>
      </c>
      <c r="H7" s="164"/>
      <c r="I7" s="164"/>
      <c r="J7" s="164"/>
      <c r="K7" s="164"/>
      <c r="L7" s="164"/>
      <c r="M7" s="164"/>
      <c r="N7" s="164"/>
      <c r="O7" s="164"/>
      <c r="P7" s="164"/>
      <c r="Q7" s="164"/>
    </row>
    <row r="8" spans="1:17">
      <c r="A8" s="12">
        <v>86</v>
      </c>
      <c r="B8" s="124" t="s">
        <v>10</v>
      </c>
      <c r="C8" s="149">
        <v>27</v>
      </c>
      <c r="D8" s="149">
        <v>4</v>
      </c>
      <c r="E8" s="149">
        <v>0</v>
      </c>
      <c r="F8" s="149">
        <v>0</v>
      </c>
      <c r="H8" s="164"/>
      <c r="I8" s="164"/>
      <c r="J8" s="164"/>
      <c r="K8" s="164"/>
      <c r="L8" s="164"/>
      <c r="M8" s="164"/>
      <c r="N8" s="164"/>
      <c r="O8" s="164"/>
      <c r="P8" s="164"/>
      <c r="Q8" s="164"/>
    </row>
    <row r="9" spans="1:17">
      <c r="A9" s="12">
        <v>53</v>
      </c>
      <c r="B9" s="124" t="s">
        <v>11</v>
      </c>
      <c r="C9" s="149">
        <v>8</v>
      </c>
      <c r="D9" s="149">
        <v>2</v>
      </c>
      <c r="E9" s="149">
        <v>0</v>
      </c>
      <c r="F9" s="149">
        <v>0</v>
      </c>
      <c r="H9" s="164"/>
      <c r="I9" s="164"/>
      <c r="J9" s="164"/>
      <c r="K9" s="164"/>
      <c r="L9" s="164"/>
      <c r="M9" s="164"/>
      <c r="N9" s="164"/>
      <c r="O9" s="164"/>
      <c r="P9" s="164"/>
      <c r="Q9" s="164"/>
    </row>
    <row r="10" spans="1:17">
      <c r="A10" s="12">
        <v>54</v>
      </c>
      <c r="B10" s="124" t="s">
        <v>12</v>
      </c>
      <c r="C10" s="149">
        <v>23</v>
      </c>
      <c r="D10" s="149">
        <v>0</v>
      </c>
      <c r="E10" s="149">
        <v>3</v>
      </c>
      <c r="F10" s="149">
        <v>0</v>
      </c>
      <c r="H10" s="164"/>
      <c r="I10" s="164"/>
      <c r="J10" s="164"/>
      <c r="K10" s="164"/>
      <c r="L10" s="164"/>
      <c r="M10" s="164"/>
      <c r="N10" s="164"/>
      <c r="O10" s="164"/>
      <c r="P10" s="164"/>
      <c r="Q10" s="164"/>
    </row>
    <row r="11" spans="1:17">
      <c r="A11" s="12">
        <v>55</v>
      </c>
      <c r="B11" s="124" t="s">
        <v>13</v>
      </c>
      <c r="C11" s="149">
        <v>1</v>
      </c>
      <c r="D11" s="149">
        <v>0</v>
      </c>
      <c r="E11" s="149">
        <v>0</v>
      </c>
      <c r="F11" s="149">
        <v>0</v>
      </c>
      <c r="H11" s="164"/>
      <c r="I11" s="164"/>
      <c r="J11" s="164"/>
      <c r="K11" s="164"/>
      <c r="L11" s="164"/>
      <c r="M11" s="164"/>
      <c r="N11" s="164"/>
      <c r="O11" s="164"/>
      <c r="P11" s="164"/>
      <c r="Q11" s="164"/>
    </row>
    <row r="12" spans="1:17">
      <c r="A12" s="12">
        <v>56</v>
      </c>
      <c r="B12" s="124" t="s">
        <v>14</v>
      </c>
      <c r="C12" s="149">
        <v>2</v>
      </c>
      <c r="D12" s="149">
        <v>0</v>
      </c>
      <c r="E12" s="149">
        <v>0</v>
      </c>
      <c r="F12" s="149">
        <v>0</v>
      </c>
      <c r="H12" s="164"/>
      <c r="I12" s="164"/>
      <c r="J12" s="164"/>
      <c r="K12" s="164"/>
      <c r="L12" s="164"/>
      <c r="M12" s="164"/>
      <c r="N12" s="164"/>
      <c r="O12" s="164"/>
      <c r="P12" s="164"/>
      <c r="Q12" s="164"/>
    </row>
    <row r="13" spans="1:17">
      <c r="A13" s="12">
        <v>57</v>
      </c>
      <c r="B13" s="124" t="s">
        <v>15</v>
      </c>
      <c r="C13" s="149">
        <v>4</v>
      </c>
      <c r="D13" s="149">
        <v>0</v>
      </c>
      <c r="E13" s="149">
        <v>0</v>
      </c>
      <c r="F13" s="149">
        <v>0</v>
      </c>
      <c r="H13" s="164"/>
      <c r="I13" s="164"/>
      <c r="J13" s="164"/>
      <c r="K13" s="164"/>
      <c r="L13" s="164"/>
      <c r="M13" s="164"/>
      <c r="N13" s="164"/>
      <c r="O13" s="164"/>
      <c r="P13" s="164"/>
      <c r="Q13" s="164"/>
    </row>
    <row r="14" spans="1:17">
      <c r="A14" s="12">
        <v>59</v>
      </c>
      <c r="B14" s="124" t="s">
        <v>16</v>
      </c>
      <c r="C14" s="149">
        <v>5</v>
      </c>
      <c r="D14" s="149">
        <v>3</v>
      </c>
      <c r="E14" s="149">
        <v>0</v>
      </c>
      <c r="F14" s="149">
        <v>0</v>
      </c>
      <c r="H14" s="164"/>
      <c r="I14" s="164"/>
      <c r="J14" s="164"/>
      <c r="K14" s="164"/>
      <c r="L14" s="164"/>
      <c r="M14" s="164"/>
      <c r="N14" s="164"/>
      <c r="O14" s="164"/>
      <c r="P14" s="164"/>
      <c r="Q14" s="164"/>
    </row>
    <row r="15" spans="1:17">
      <c r="A15" s="12">
        <v>60</v>
      </c>
      <c r="B15" s="124" t="s">
        <v>17</v>
      </c>
      <c r="C15" s="149">
        <v>9</v>
      </c>
      <c r="D15" s="149">
        <v>0</v>
      </c>
      <c r="E15" s="149">
        <v>0</v>
      </c>
      <c r="F15" s="149">
        <v>0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</row>
    <row r="16" spans="1:17">
      <c r="A16" s="12">
        <v>61</v>
      </c>
      <c r="B16" s="151" t="s">
        <v>18</v>
      </c>
      <c r="C16" s="149">
        <v>25</v>
      </c>
      <c r="D16" s="149">
        <v>11</v>
      </c>
      <c r="E16" s="149">
        <v>0</v>
      </c>
      <c r="F16" s="149">
        <v>0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</row>
    <row r="17" spans="1:17" s="184" customFormat="1">
      <c r="A17" s="12"/>
      <c r="B17" s="132" t="s">
        <v>125</v>
      </c>
      <c r="C17" s="165" t="s">
        <v>126</v>
      </c>
      <c r="D17" s="165" t="s">
        <v>126</v>
      </c>
      <c r="E17" s="165" t="s">
        <v>126</v>
      </c>
      <c r="F17" s="165" t="s">
        <v>126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</row>
    <row r="18" spans="1:17">
      <c r="A18" s="12">
        <v>62</v>
      </c>
      <c r="B18" s="124" t="s">
        <v>19</v>
      </c>
      <c r="C18" s="149">
        <v>15</v>
      </c>
      <c r="D18" s="149">
        <v>5</v>
      </c>
      <c r="E18" s="149">
        <v>0</v>
      </c>
      <c r="F18" s="149">
        <v>0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1:17">
      <c r="A19" s="12">
        <v>58</v>
      </c>
      <c r="B19" s="124" t="s">
        <v>20</v>
      </c>
      <c r="C19" s="149">
        <v>6</v>
      </c>
      <c r="D19" s="149">
        <v>1</v>
      </c>
      <c r="E19" s="149">
        <v>0</v>
      </c>
      <c r="F19" s="149">
        <v>0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</row>
    <row r="20" spans="1:17">
      <c r="A20" s="12">
        <v>63</v>
      </c>
      <c r="B20" s="124" t="s">
        <v>21</v>
      </c>
      <c r="C20" s="149">
        <v>21</v>
      </c>
      <c r="D20" s="149">
        <v>1</v>
      </c>
      <c r="E20" s="149">
        <v>0</v>
      </c>
      <c r="F20" s="149">
        <v>0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</row>
    <row r="21" spans="1:17">
      <c r="A21" s="12">
        <v>64</v>
      </c>
      <c r="B21" s="124" t="s">
        <v>22</v>
      </c>
      <c r="C21" s="149">
        <v>30</v>
      </c>
      <c r="D21" s="149">
        <v>7</v>
      </c>
      <c r="E21" s="149">
        <v>1</v>
      </c>
      <c r="F21" s="149">
        <v>0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</row>
    <row r="22" spans="1:17">
      <c r="A22" s="12">
        <v>65</v>
      </c>
      <c r="B22" s="124" t="s">
        <v>23</v>
      </c>
      <c r="C22" s="149">
        <v>14</v>
      </c>
      <c r="D22" s="149">
        <v>3</v>
      </c>
      <c r="E22" s="149">
        <v>0</v>
      </c>
      <c r="F22" s="149">
        <v>0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</row>
    <row r="23" spans="1:17">
      <c r="A23" s="12">
        <v>67</v>
      </c>
      <c r="B23" s="124" t="s">
        <v>24</v>
      </c>
      <c r="C23" s="149">
        <v>8</v>
      </c>
      <c r="D23" s="149">
        <v>1</v>
      </c>
      <c r="E23" s="149">
        <v>0</v>
      </c>
      <c r="F23" s="149">
        <v>0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</row>
    <row r="24" spans="1:17">
      <c r="A24" s="12">
        <v>68</v>
      </c>
      <c r="B24" s="124" t="s">
        <v>25</v>
      </c>
      <c r="C24" s="149">
        <v>21</v>
      </c>
      <c r="D24" s="149">
        <v>1</v>
      </c>
      <c r="E24" s="149">
        <v>0</v>
      </c>
      <c r="F24" s="149">
        <v>0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</row>
    <row r="25" spans="1:17">
      <c r="A25" s="12">
        <v>69</v>
      </c>
      <c r="B25" s="124" t="s">
        <v>26</v>
      </c>
      <c r="C25" s="149">
        <v>14</v>
      </c>
      <c r="D25" s="149">
        <v>3</v>
      </c>
      <c r="E25" s="149">
        <v>0</v>
      </c>
      <c r="F25" s="149">
        <v>0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</row>
    <row r="26" spans="1:17">
      <c r="A26" s="12">
        <v>70</v>
      </c>
      <c r="B26" s="124" t="s">
        <v>27</v>
      </c>
      <c r="C26" s="149">
        <v>12</v>
      </c>
      <c r="D26" s="149">
        <v>1</v>
      </c>
      <c r="E26" s="149">
        <v>0</v>
      </c>
      <c r="F26" s="149">
        <v>0</v>
      </c>
      <c r="H26" s="164"/>
      <c r="I26" s="164"/>
      <c r="J26" s="164"/>
      <c r="K26" s="164"/>
      <c r="L26" s="164"/>
      <c r="M26" s="164"/>
      <c r="N26" s="164"/>
      <c r="O26" s="164"/>
      <c r="P26" s="164"/>
      <c r="Q26" s="164"/>
    </row>
    <row r="27" spans="1:17">
      <c r="A27" s="12">
        <v>71</v>
      </c>
      <c r="B27" s="152" t="s">
        <v>28</v>
      </c>
      <c r="C27" s="149">
        <v>3</v>
      </c>
      <c r="D27" s="149">
        <v>1</v>
      </c>
      <c r="E27" s="149">
        <v>0</v>
      </c>
      <c r="F27" s="149">
        <v>0</v>
      </c>
      <c r="H27" s="164"/>
      <c r="I27" s="164"/>
      <c r="J27" s="164"/>
      <c r="K27" s="164"/>
      <c r="L27" s="164"/>
      <c r="M27" s="164"/>
      <c r="N27" s="164"/>
      <c r="O27" s="164"/>
      <c r="P27" s="164"/>
      <c r="Q27" s="164"/>
    </row>
    <row r="28" spans="1:17">
      <c r="A28" s="12">
        <v>73</v>
      </c>
      <c r="B28" s="124" t="s">
        <v>29</v>
      </c>
      <c r="C28" s="153">
        <v>15</v>
      </c>
      <c r="D28" s="153">
        <v>2</v>
      </c>
      <c r="E28" s="153">
        <v>0</v>
      </c>
      <c r="F28" s="153">
        <v>0</v>
      </c>
      <c r="H28" s="164"/>
      <c r="I28" s="164"/>
      <c r="J28" s="164"/>
      <c r="K28" s="164"/>
      <c r="L28" s="164"/>
      <c r="M28" s="164"/>
      <c r="N28" s="164"/>
      <c r="O28" s="164"/>
      <c r="P28" s="164"/>
      <c r="Q28" s="164"/>
    </row>
    <row r="29" spans="1:17">
      <c r="A29" s="12">
        <v>74</v>
      </c>
      <c r="B29" s="124" t="s">
        <v>30</v>
      </c>
      <c r="C29" s="149">
        <v>21</v>
      </c>
      <c r="D29" s="149">
        <v>6</v>
      </c>
      <c r="E29" s="149">
        <v>1</v>
      </c>
      <c r="F29" s="149">
        <v>0</v>
      </c>
      <c r="H29" s="164"/>
      <c r="I29" s="164"/>
      <c r="J29" s="164"/>
      <c r="K29" s="164"/>
      <c r="L29" s="164"/>
      <c r="M29" s="164"/>
      <c r="N29" s="164"/>
      <c r="O29" s="164"/>
      <c r="P29" s="164"/>
      <c r="Q29" s="164"/>
    </row>
    <row r="30" spans="1:17">
      <c r="A30" s="12">
        <v>75</v>
      </c>
      <c r="B30" s="124" t="s">
        <v>31</v>
      </c>
      <c r="C30" s="149">
        <v>17</v>
      </c>
      <c r="D30" s="149">
        <v>5</v>
      </c>
      <c r="E30" s="149">
        <v>0</v>
      </c>
      <c r="F30" s="149">
        <v>0</v>
      </c>
      <c r="H30" s="164"/>
      <c r="I30" s="164"/>
      <c r="J30" s="164"/>
      <c r="K30" s="164"/>
      <c r="L30" s="164"/>
      <c r="M30" s="164"/>
      <c r="N30" s="164"/>
      <c r="O30" s="164"/>
      <c r="P30" s="164"/>
      <c r="Q30" s="164"/>
    </row>
    <row r="31" spans="1:17">
      <c r="A31" s="12">
        <v>76</v>
      </c>
      <c r="B31" s="124" t="s">
        <v>32</v>
      </c>
      <c r="C31" s="149">
        <v>2</v>
      </c>
      <c r="D31" s="149">
        <v>1</v>
      </c>
      <c r="E31" s="149">
        <v>1</v>
      </c>
      <c r="F31" s="149">
        <v>0</v>
      </c>
      <c r="H31" s="164"/>
      <c r="I31" s="164"/>
      <c r="J31" s="164"/>
      <c r="K31" s="164"/>
      <c r="L31" s="164"/>
      <c r="M31" s="164"/>
      <c r="N31" s="164"/>
      <c r="O31" s="164"/>
      <c r="P31" s="164"/>
      <c r="Q31" s="164"/>
    </row>
    <row r="32" spans="1:17">
      <c r="A32" s="12">
        <v>79</v>
      </c>
      <c r="B32" s="124" t="s">
        <v>33</v>
      </c>
      <c r="C32" s="149">
        <v>19</v>
      </c>
      <c r="D32" s="149">
        <v>5</v>
      </c>
      <c r="E32" s="149">
        <v>0</v>
      </c>
      <c r="F32" s="149">
        <v>0</v>
      </c>
      <c r="H32" s="164"/>
      <c r="I32" s="164"/>
      <c r="J32" s="164"/>
      <c r="K32" s="164"/>
      <c r="L32" s="164"/>
      <c r="M32" s="164"/>
      <c r="N32" s="164"/>
      <c r="O32" s="164"/>
      <c r="P32" s="164"/>
      <c r="Q32" s="164"/>
    </row>
    <row r="33" spans="1:17">
      <c r="A33" s="12">
        <v>80</v>
      </c>
      <c r="B33" s="124" t="s">
        <v>34</v>
      </c>
      <c r="C33" s="149">
        <v>12</v>
      </c>
      <c r="D33" s="149">
        <v>0</v>
      </c>
      <c r="E33" s="149">
        <v>0</v>
      </c>
      <c r="F33" s="149">
        <v>0</v>
      </c>
      <c r="H33" s="164"/>
      <c r="I33" s="164"/>
      <c r="J33" s="164"/>
      <c r="K33" s="164"/>
      <c r="L33" s="164"/>
      <c r="M33" s="164"/>
      <c r="N33" s="164"/>
      <c r="O33" s="164"/>
      <c r="P33" s="164"/>
      <c r="Q33" s="164"/>
    </row>
    <row r="34" spans="1:17">
      <c r="A34" s="12">
        <v>81</v>
      </c>
      <c r="B34" s="124" t="s">
        <v>35</v>
      </c>
      <c r="C34" s="149">
        <v>14</v>
      </c>
      <c r="D34" s="149">
        <v>6</v>
      </c>
      <c r="E34" s="149">
        <v>0</v>
      </c>
      <c r="F34" s="149">
        <v>0</v>
      </c>
      <c r="H34" s="164"/>
      <c r="I34" s="164"/>
      <c r="J34" s="164"/>
      <c r="K34" s="164"/>
      <c r="L34" s="164"/>
      <c r="M34" s="164"/>
      <c r="N34" s="164"/>
      <c r="O34" s="164"/>
      <c r="P34" s="164"/>
      <c r="Q34" s="164"/>
    </row>
    <row r="35" spans="1:17">
      <c r="A35" s="12">
        <v>83</v>
      </c>
      <c r="B35" s="124" t="s">
        <v>36</v>
      </c>
      <c r="C35" s="149">
        <v>16</v>
      </c>
      <c r="D35" s="149">
        <v>1</v>
      </c>
      <c r="E35" s="149">
        <v>0</v>
      </c>
      <c r="F35" s="149">
        <v>0</v>
      </c>
      <c r="H35" s="164"/>
      <c r="I35" s="164"/>
      <c r="J35" s="164"/>
      <c r="K35" s="164"/>
      <c r="L35" s="164"/>
      <c r="M35" s="164"/>
      <c r="N35" s="164"/>
      <c r="O35" s="164"/>
      <c r="P35" s="164"/>
      <c r="Q35" s="164"/>
    </row>
    <row r="36" spans="1:17">
      <c r="A36" s="12">
        <v>84</v>
      </c>
      <c r="B36" s="124" t="s">
        <v>37</v>
      </c>
      <c r="C36" s="149">
        <v>12</v>
      </c>
      <c r="D36" s="149">
        <v>4</v>
      </c>
      <c r="E36" s="149">
        <v>0</v>
      </c>
      <c r="F36" s="149">
        <v>0</v>
      </c>
      <c r="H36" s="164"/>
      <c r="I36" s="164"/>
      <c r="J36" s="164"/>
      <c r="K36" s="164"/>
      <c r="L36" s="164"/>
      <c r="M36" s="164"/>
      <c r="N36" s="164"/>
      <c r="O36" s="164"/>
      <c r="P36" s="164"/>
      <c r="Q36" s="164"/>
    </row>
    <row r="37" spans="1:17">
      <c r="A37" s="12">
        <v>85</v>
      </c>
      <c r="B37" s="124" t="s">
        <v>38</v>
      </c>
      <c r="C37" s="149">
        <v>7</v>
      </c>
      <c r="D37" s="149">
        <v>2</v>
      </c>
      <c r="E37" s="149">
        <v>1</v>
      </c>
      <c r="F37" s="149">
        <v>0</v>
      </c>
      <c r="H37" s="164"/>
      <c r="I37" s="164"/>
      <c r="J37" s="164"/>
      <c r="K37" s="164"/>
      <c r="L37" s="164"/>
      <c r="M37" s="164"/>
      <c r="N37" s="164"/>
      <c r="O37" s="164"/>
      <c r="P37" s="164"/>
      <c r="Q37" s="164"/>
    </row>
    <row r="38" spans="1:17">
      <c r="A38" s="12">
        <v>87</v>
      </c>
      <c r="B38" s="124" t="s">
        <v>39</v>
      </c>
      <c r="C38" s="149">
        <v>8</v>
      </c>
      <c r="D38" s="149">
        <v>0</v>
      </c>
      <c r="E38" s="149">
        <v>0</v>
      </c>
      <c r="F38" s="149">
        <v>0</v>
      </c>
      <c r="H38" s="164"/>
      <c r="I38" s="164"/>
      <c r="J38" s="164"/>
      <c r="K38" s="164"/>
      <c r="L38" s="164"/>
      <c r="M38" s="164"/>
      <c r="N38" s="164"/>
      <c r="O38" s="164"/>
      <c r="P38" s="164"/>
      <c r="Q38" s="164"/>
    </row>
    <row r="39" spans="1:17">
      <c r="A39" s="12">
        <v>90</v>
      </c>
      <c r="B39" s="124" t="s">
        <v>40</v>
      </c>
      <c r="C39" s="149">
        <v>37</v>
      </c>
      <c r="D39" s="149">
        <v>2</v>
      </c>
      <c r="E39" s="149">
        <v>0</v>
      </c>
      <c r="F39" s="149">
        <v>0</v>
      </c>
      <c r="H39" s="164"/>
      <c r="I39" s="164"/>
      <c r="J39" s="164"/>
      <c r="K39" s="164"/>
      <c r="L39" s="164"/>
      <c r="M39" s="164"/>
      <c r="N39" s="164"/>
      <c r="O39" s="164"/>
      <c r="P39" s="164"/>
      <c r="Q39" s="164"/>
    </row>
    <row r="40" spans="1:17">
      <c r="A40" s="12">
        <v>91</v>
      </c>
      <c r="B40" s="124" t="s">
        <v>41</v>
      </c>
      <c r="C40" s="149">
        <v>13</v>
      </c>
      <c r="D40" s="149">
        <v>0</v>
      </c>
      <c r="E40" s="149">
        <v>0</v>
      </c>
      <c r="F40" s="149">
        <v>0</v>
      </c>
      <c r="H40" s="164"/>
      <c r="I40" s="164"/>
      <c r="J40" s="164"/>
      <c r="K40" s="164"/>
      <c r="L40" s="164"/>
      <c r="M40" s="164"/>
      <c r="N40" s="164"/>
      <c r="O40" s="164"/>
      <c r="P40" s="164"/>
      <c r="Q40" s="164"/>
    </row>
    <row r="41" spans="1:17">
      <c r="A41" s="12">
        <v>92</v>
      </c>
      <c r="B41" s="124" t="s">
        <v>42</v>
      </c>
      <c r="C41" s="149">
        <v>25</v>
      </c>
      <c r="D41" s="149">
        <v>5</v>
      </c>
      <c r="E41" s="149">
        <v>0</v>
      </c>
      <c r="F41" s="149">
        <v>0</v>
      </c>
      <c r="H41" s="164"/>
      <c r="I41" s="164"/>
      <c r="J41" s="164"/>
      <c r="K41" s="164"/>
      <c r="L41" s="164"/>
      <c r="M41" s="164"/>
      <c r="N41" s="164"/>
      <c r="O41" s="164"/>
      <c r="P41" s="164"/>
      <c r="Q41" s="164"/>
    </row>
    <row r="42" spans="1:17">
      <c r="A42" s="12">
        <v>94</v>
      </c>
      <c r="B42" s="124" t="s">
        <v>43</v>
      </c>
      <c r="C42" s="149">
        <v>7</v>
      </c>
      <c r="D42" s="149">
        <v>2</v>
      </c>
      <c r="E42" s="149">
        <v>0</v>
      </c>
      <c r="F42" s="149">
        <v>0</v>
      </c>
      <c r="H42" s="164"/>
      <c r="I42" s="164"/>
      <c r="J42" s="164"/>
      <c r="K42" s="164"/>
      <c r="L42" s="164"/>
      <c r="M42" s="164"/>
      <c r="N42" s="164"/>
      <c r="O42" s="164"/>
      <c r="P42" s="164"/>
      <c r="Q42" s="164"/>
    </row>
    <row r="43" spans="1:17">
      <c r="A43" s="12">
        <v>96</v>
      </c>
      <c r="B43" s="124" t="s">
        <v>44</v>
      </c>
      <c r="C43" s="149">
        <v>15</v>
      </c>
      <c r="D43" s="149">
        <v>1</v>
      </c>
      <c r="E43" s="149">
        <v>0</v>
      </c>
      <c r="F43" s="149">
        <v>0</v>
      </c>
      <c r="H43" s="164"/>
      <c r="I43" s="164"/>
      <c r="J43" s="164"/>
      <c r="K43" s="164"/>
      <c r="L43" s="164"/>
      <c r="M43" s="164"/>
      <c r="N43" s="164"/>
      <c r="O43" s="164"/>
      <c r="P43" s="164"/>
      <c r="Q43" s="164"/>
    </row>
    <row r="44" spans="1:17">
      <c r="A44" s="12">
        <v>98</v>
      </c>
      <c r="B44" s="124" t="s">
        <v>45</v>
      </c>
      <c r="C44" s="149">
        <v>7</v>
      </c>
      <c r="D44" s="149">
        <v>2</v>
      </c>
      <c r="E44" s="149">
        <v>0</v>
      </c>
      <c r="F44" s="149">
        <v>0</v>
      </c>
      <c r="H44" s="164"/>
      <c r="I44" s="164"/>
      <c r="J44" s="164"/>
      <c r="K44" s="164"/>
      <c r="L44" s="164"/>
      <c r="M44" s="164"/>
      <c r="N44" s="164"/>
      <c r="O44" s="164"/>
      <c r="P44" s="164"/>
      <c r="Q44" s="164"/>
    </row>
    <row r="45" spans="1:17">
      <c r="A45" s="12">
        <v>72</v>
      </c>
      <c r="B45" s="152" t="s">
        <v>46</v>
      </c>
      <c r="C45" s="149">
        <v>0</v>
      </c>
      <c r="D45" s="149">
        <v>0</v>
      </c>
      <c r="E45" s="149">
        <v>0</v>
      </c>
      <c r="F45" s="149">
        <v>0</v>
      </c>
      <c r="H45" s="164"/>
      <c r="I45" s="164"/>
      <c r="J45" s="164"/>
      <c r="K45" s="164"/>
      <c r="L45" s="164"/>
      <c r="M45" s="164"/>
      <c r="N45" s="164"/>
      <c r="O45" s="164"/>
      <c r="P45" s="164"/>
      <c r="Q45" s="164"/>
    </row>
    <row r="46" spans="1:17" s="154" customFormat="1" ht="26.25" customHeight="1">
      <c r="A46" s="1"/>
      <c r="B46" s="129" t="s">
        <v>47</v>
      </c>
      <c r="C46" s="148">
        <v>553</v>
      </c>
      <c r="D46" s="148">
        <v>54</v>
      </c>
      <c r="E46" s="148">
        <v>6</v>
      </c>
      <c r="F46" s="148">
        <v>0</v>
      </c>
      <c r="H46" s="164"/>
      <c r="I46" s="164"/>
      <c r="J46" s="164"/>
      <c r="K46" s="164"/>
      <c r="L46" s="164"/>
      <c r="M46" s="164"/>
      <c r="N46" s="164"/>
      <c r="O46" s="164"/>
      <c r="P46" s="164"/>
      <c r="Q46" s="164"/>
    </row>
    <row r="47" spans="1:17">
      <c r="A47" s="12">
        <v>66</v>
      </c>
      <c r="B47" s="124" t="s">
        <v>48</v>
      </c>
      <c r="C47" s="149">
        <v>18</v>
      </c>
      <c r="D47" s="149">
        <v>6</v>
      </c>
      <c r="E47" s="149">
        <v>1</v>
      </c>
      <c r="F47" s="149">
        <v>0</v>
      </c>
      <c r="H47" s="164"/>
      <c r="I47" s="164"/>
      <c r="J47" s="164"/>
      <c r="K47" s="164"/>
      <c r="L47" s="164"/>
      <c r="M47" s="164"/>
      <c r="N47" s="164"/>
      <c r="O47" s="164"/>
      <c r="P47" s="164"/>
      <c r="Q47" s="164"/>
    </row>
    <row r="48" spans="1:17">
      <c r="A48" s="12">
        <v>78</v>
      </c>
      <c r="B48" s="124" t="s">
        <v>49</v>
      </c>
      <c r="C48" s="150">
        <v>2</v>
      </c>
      <c r="D48" s="150">
        <v>2</v>
      </c>
      <c r="E48" s="150">
        <v>0</v>
      </c>
      <c r="F48" s="150">
        <v>0</v>
      </c>
      <c r="H48" s="164"/>
      <c r="I48" s="164"/>
      <c r="J48" s="164"/>
      <c r="K48" s="164"/>
      <c r="L48" s="164"/>
      <c r="M48" s="164"/>
      <c r="N48" s="164"/>
      <c r="O48" s="164"/>
      <c r="P48" s="164"/>
      <c r="Q48" s="164"/>
    </row>
    <row r="49" spans="1:17">
      <c r="A49" s="12">
        <v>89</v>
      </c>
      <c r="B49" s="124" t="s">
        <v>50</v>
      </c>
      <c r="C49" s="150">
        <v>19</v>
      </c>
      <c r="D49" s="150">
        <v>1</v>
      </c>
      <c r="E49" s="150">
        <v>0</v>
      </c>
      <c r="F49" s="150">
        <v>0</v>
      </c>
      <c r="H49" s="164"/>
      <c r="I49" s="164"/>
      <c r="J49" s="164"/>
      <c r="K49" s="164"/>
      <c r="L49" s="164"/>
      <c r="M49" s="164"/>
      <c r="N49" s="164"/>
      <c r="O49" s="164"/>
      <c r="P49" s="164"/>
      <c r="Q49" s="164"/>
    </row>
    <row r="50" spans="1:17">
      <c r="A50" s="12">
        <v>93</v>
      </c>
      <c r="B50" s="124" t="s">
        <v>51</v>
      </c>
      <c r="C50" s="150">
        <v>18</v>
      </c>
      <c r="D50" s="150">
        <v>1</v>
      </c>
      <c r="E50" s="150">
        <v>0</v>
      </c>
      <c r="F50" s="150">
        <v>0</v>
      </c>
      <c r="H50" s="164"/>
      <c r="I50" s="164"/>
      <c r="J50" s="164"/>
      <c r="K50" s="164"/>
      <c r="L50" s="164"/>
      <c r="M50" s="164"/>
      <c r="N50" s="164"/>
      <c r="O50" s="164"/>
      <c r="P50" s="164"/>
      <c r="Q50" s="164"/>
    </row>
    <row r="51" spans="1:17">
      <c r="A51" s="12">
        <v>95</v>
      </c>
      <c r="B51" s="124" t="s">
        <v>52</v>
      </c>
      <c r="C51" s="150">
        <v>26</v>
      </c>
      <c r="D51" s="150">
        <v>3</v>
      </c>
      <c r="E51" s="150">
        <v>1</v>
      </c>
      <c r="F51" s="150">
        <v>0</v>
      </c>
      <c r="H51" s="164"/>
      <c r="I51" s="164"/>
      <c r="J51" s="164"/>
      <c r="K51" s="164"/>
      <c r="L51" s="164"/>
      <c r="M51" s="164"/>
      <c r="N51" s="164"/>
      <c r="O51" s="164"/>
      <c r="P51" s="164"/>
      <c r="Q51" s="164"/>
    </row>
    <row r="52" spans="1:17">
      <c r="A52" s="12">
        <v>97</v>
      </c>
      <c r="B52" s="124" t="s">
        <v>53</v>
      </c>
      <c r="C52" s="150">
        <v>40</v>
      </c>
      <c r="D52" s="150">
        <v>4</v>
      </c>
      <c r="E52" s="150">
        <v>0</v>
      </c>
      <c r="F52" s="150">
        <v>0</v>
      </c>
      <c r="H52" s="164"/>
      <c r="I52" s="164"/>
      <c r="J52" s="164"/>
      <c r="K52" s="164"/>
      <c r="L52" s="164"/>
      <c r="M52" s="164"/>
      <c r="N52" s="164"/>
      <c r="O52" s="164"/>
      <c r="P52" s="164"/>
      <c r="Q52" s="164"/>
    </row>
    <row r="53" spans="1:17">
      <c r="A53" s="12">
        <v>77</v>
      </c>
      <c r="B53" s="156" t="s">
        <v>54</v>
      </c>
      <c r="C53" s="158">
        <v>430</v>
      </c>
      <c r="D53" s="158">
        <v>37</v>
      </c>
      <c r="E53" s="158">
        <v>4</v>
      </c>
      <c r="F53" s="158">
        <v>0</v>
      </c>
      <c r="H53" s="164"/>
      <c r="I53" s="164"/>
      <c r="J53" s="164"/>
      <c r="K53" s="164"/>
      <c r="L53" s="164"/>
      <c r="M53" s="164"/>
      <c r="N53" s="164"/>
      <c r="O53" s="164"/>
      <c r="P53" s="164"/>
      <c r="Q53" s="164"/>
    </row>
    <row r="54" spans="1:17">
      <c r="C54" s="141"/>
      <c r="D54" s="141"/>
      <c r="E54" s="141"/>
      <c r="F54" s="141"/>
    </row>
    <row r="55" spans="1:17">
      <c r="B55" s="12" t="s">
        <v>55</v>
      </c>
    </row>
    <row r="56" spans="1:17" ht="23.25" customHeight="1">
      <c r="B56" s="201" t="s">
        <v>65</v>
      </c>
      <c r="C56" s="202"/>
      <c r="D56" s="202"/>
      <c r="E56" s="202"/>
      <c r="F56" s="202"/>
    </row>
    <row r="57" spans="1:17" ht="15" customHeight="1">
      <c r="B57" s="202"/>
      <c r="C57" s="202"/>
      <c r="D57" s="202"/>
      <c r="E57" s="202"/>
      <c r="F57" s="202"/>
    </row>
    <row r="58" spans="1:17" ht="13.5" customHeight="1">
      <c r="B58" s="202"/>
      <c r="C58" s="202"/>
      <c r="D58" s="202"/>
      <c r="E58" s="202"/>
      <c r="F58" s="202"/>
    </row>
    <row r="59" spans="1:17" ht="12.75" customHeight="1">
      <c r="B59" s="202"/>
      <c r="C59" s="202"/>
      <c r="D59" s="202"/>
      <c r="E59" s="202"/>
      <c r="F59" s="202"/>
    </row>
    <row r="60" spans="1:17" ht="15.75" customHeight="1">
      <c r="B60" s="202"/>
      <c r="C60" s="202"/>
      <c r="D60" s="202"/>
      <c r="E60" s="202"/>
      <c r="F60" s="202"/>
    </row>
    <row r="61" spans="1:17" ht="39" customHeight="1">
      <c r="B61" s="202"/>
      <c r="C61" s="202"/>
      <c r="D61" s="202"/>
      <c r="E61" s="202"/>
      <c r="F61" s="202"/>
    </row>
    <row r="62" spans="1:17" ht="15" customHeight="1">
      <c r="B62" s="57"/>
      <c r="C62" s="57"/>
      <c r="D62" s="57"/>
      <c r="E62" s="57"/>
      <c r="F62" s="57"/>
    </row>
    <row r="63" spans="1:17">
      <c r="B63" s="140" t="s">
        <v>57</v>
      </c>
    </row>
    <row r="64" spans="1:17" s="143" customFormat="1" ht="15">
      <c r="A64" s="173"/>
      <c r="C64" s="168"/>
      <c r="D64" s="169"/>
      <c r="E64" s="169"/>
    </row>
    <row r="65" spans="1:5" s="143" customFormat="1" ht="15">
      <c r="A65" s="173"/>
      <c r="C65" s="168"/>
      <c r="D65" s="169"/>
      <c r="E65" s="169"/>
    </row>
  </sheetData>
  <mergeCells count="8">
    <mergeCell ref="K2:K3"/>
    <mergeCell ref="B56:F61"/>
    <mergeCell ref="B1:F1"/>
    <mergeCell ref="C2:C3"/>
    <mergeCell ref="D2:E2"/>
    <mergeCell ref="F2:F3"/>
    <mergeCell ref="H2:H3"/>
    <mergeCell ref="I2:J2"/>
  </mergeCells>
  <conditionalFormatting sqref="H4:Q53">
    <cfRule type="cellIs" dxfId="1" priority="1" stopIfTrue="1" operator="lessThan">
      <formula>-0.5</formula>
    </cfRule>
    <cfRule type="cellIs" dxfId="0" priority="2" stopIfTrue="1" operator="greaterThan">
      <formula>0.5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2"/>
  </sheetPr>
  <dimension ref="A1:F68"/>
  <sheetViews>
    <sheetView showGridLines="0" zoomScale="85" workbookViewId="0">
      <pane xSplit="2" ySplit="3" topLeftCell="C4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RowHeight="12.75"/>
  <cols>
    <col min="1" max="1" width="5.7109375" style="1" hidden="1" customWidth="1"/>
    <col min="2" max="2" width="28.7109375" style="124" customWidth="1"/>
    <col min="3" max="4" width="20" style="124" customWidth="1"/>
    <col min="5" max="5" width="15.140625" style="124" customWidth="1"/>
    <col min="6" max="6" width="17.7109375" style="124" customWidth="1"/>
    <col min="7" max="256" width="9.140625" style="124"/>
    <col min="257" max="257" width="0" style="124" hidden="1" customWidth="1"/>
    <col min="258" max="258" width="28.7109375" style="124" customWidth="1"/>
    <col min="259" max="260" width="20" style="124" customWidth="1"/>
    <col min="261" max="261" width="15.140625" style="124" customWidth="1"/>
    <col min="262" max="262" width="17.7109375" style="124" customWidth="1"/>
    <col min="263" max="512" width="9.140625" style="124"/>
    <col min="513" max="513" width="0" style="124" hidden="1" customWidth="1"/>
    <col min="514" max="514" width="28.7109375" style="124" customWidth="1"/>
    <col min="515" max="516" width="20" style="124" customWidth="1"/>
    <col min="517" max="517" width="15.140625" style="124" customWidth="1"/>
    <col min="518" max="518" width="17.7109375" style="124" customWidth="1"/>
    <col min="519" max="768" width="9.140625" style="124"/>
    <col min="769" max="769" width="0" style="124" hidden="1" customWidth="1"/>
    <col min="770" max="770" width="28.7109375" style="124" customWidth="1"/>
    <col min="771" max="772" width="20" style="124" customWidth="1"/>
    <col min="773" max="773" width="15.140625" style="124" customWidth="1"/>
    <col min="774" max="774" width="17.7109375" style="124" customWidth="1"/>
    <col min="775" max="1024" width="9.140625" style="124"/>
    <col min="1025" max="1025" width="0" style="124" hidden="1" customWidth="1"/>
    <col min="1026" max="1026" width="28.7109375" style="124" customWidth="1"/>
    <col min="1027" max="1028" width="20" style="124" customWidth="1"/>
    <col min="1029" max="1029" width="15.140625" style="124" customWidth="1"/>
    <col min="1030" max="1030" width="17.7109375" style="124" customWidth="1"/>
    <col min="1031" max="1280" width="9.140625" style="124"/>
    <col min="1281" max="1281" width="0" style="124" hidden="1" customWidth="1"/>
    <col min="1282" max="1282" width="28.7109375" style="124" customWidth="1"/>
    <col min="1283" max="1284" width="20" style="124" customWidth="1"/>
    <col min="1285" max="1285" width="15.140625" style="124" customWidth="1"/>
    <col min="1286" max="1286" width="17.7109375" style="124" customWidth="1"/>
    <col min="1287" max="1536" width="9.140625" style="124"/>
    <col min="1537" max="1537" width="0" style="124" hidden="1" customWidth="1"/>
    <col min="1538" max="1538" width="28.7109375" style="124" customWidth="1"/>
    <col min="1539" max="1540" width="20" style="124" customWidth="1"/>
    <col min="1541" max="1541" width="15.140625" style="124" customWidth="1"/>
    <col min="1542" max="1542" width="17.7109375" style="124" customWidth="1"/>
    <col min="1543" max="1792" width="9.140625" style="124"/>
    <col min="1793" max="1793" width="0" style="124" hidden="1" customWidth="1"/>
    <col min="1794" max="1794" width="28.7109375" style="124" customWidth="1"/>
    <col min="1795" max="1796" width="20" style="124" customWidth="1"/>
    <col min="1797" max="1797" width="15.140625" style="124" customWidth="1"/>
    <col min="1798" max="1798" width="17.7109375" style="124" customWidth="1"/>
    <col min="1799" max="2048" width="9.140625" style="124"/>
    <col min="2049" max="2049" width="0" style="124" hidden="1" customWidth="1"/>
    <col min="2050" max="2050" width="28.7109375" style="124" customWidth="1"/>
    <col min="2051" max="2052" width="20" style="124" customWidth="1"/>
    <col min="2053" max="2053" width="15.140625" style="124" customWidth="1"/>
    <col min="2054" max="2054" width="17.7109375" style="124" customWidth="1"/>
    <col min="2055" max="2304" width="9.140625" style="124"/>
    <col min="2305" max="2305" width="0" style="124" hidden="1" customWidth="1"/>
    <col min="2306" max="2306" width="28.7109375" style="124" customWidth="1"/>
    <col min="2307" max="2308" width="20" style="124" customWidth="1"/>
    <col min="2309" max="2309" width="15.140625" style="124" customWidth="1"/>
    <col min="2310" max="2310" width="17.7109375" style="124" customWidth="1"/>
    <col min="2311" max="2560" width="9.140625" style="124"/>
    <col min="2561" max="2561" width="0" style="124" hidden="1" customWidth="1"/>
    <col min="2562" max="2562" width="28.7109375" style="124" customWidth="1"/>
    <col min="2563" max="2564" width="20" style="124" customWidth="1"/>
    <col min="2565" max="2565" width="15.140625" style="124" customWidth="1"/>
    <col min="2566" max="2566" width="17.7109375" style="124" customWidth="1"/>
    <col min="2567" max="2816" width="9.140625" style="124"/>
    <col min="2817" max="2817" width="0" style="124" hidden="1" customWidth="1"/>
    <col min="2818" max="2818" width="28.7109375" style="124" customWidth="1"/>
    <col min="2819" max="2820" width="20" style="124" customWidth="1"/>
    <col min="2821" max="2821" width="15.140625" style="124" customWidth="1"/>
    <col min="2822" max="2822" width="17.7109375" style="124" customWidth="1"/>
    <col min="2823" max="3072" width="9.140625" style="124"/>
    <col min="3073" max="3073" width="0" style="124" hidden="1" customWidth="1"/>
    <col min="3074" max="3074" width="28.7109375" style="124" customWidth="1"/>
    <col min="3075" max="3076" width="20" style="124" customWidth="1"/>
    <col min="3077" max="3077" width="15.140625" style="124" customWidth="1"/>
    <col min="3078" max="3078" width="17.7109375" style="124" customWidth="1"/>
    <col min="3079" max="3328" width="9.140625" style="124"/>
    <col min="3329" max="3329" width="0" style="124" hidden="1" customWidth="1"/>
    <col min="3330" max="3330" width="28.7109375" style="124" customWidth="1"/>
    <col min="3331" max="3332" width="20" style="124" customWidth="1"/>
    <col min="3333" max="3333" width="15.140625" style="124" customWidth="1"/>
    <col min="3334" max="3334" width="17.7109375" style="124" customWidth="1"/>
    <col min="3335" max="3584" width="9.140625" style="124"/>
    <col min="3585" max="3585" width="0" style="124" hidden="1" customWidth="1"/>
    <col min="3586" max="3586" width="28.7109375" style="124" customWidth="1"/>
    <col min="3587" max="3588" width="20" style="124" customWidth="1"/>
    <col min="3589" max="3589" width="15.140625" style="124" customWidth="1"/>
    <col min="3590" max="3590" width="17.7109375" style="124" customWidth="1"/>
    <col min="3591" max="3840" width="9.140625" style="124"/>
    <col min="3841" max="3841" width="0" style="124" hidden="1" customWidth="1"/>
    <col min="3842" max="3842" width="28.7109375" style="124" customWidth="1"/>
    <col min="3843" max="3844" width="20" style="124" customWidth="1"/>
    <col min="3845" max="3845" width="15.140625" style="124" customWidth="1"/>
    <col min="3846" max="3846" width="17.7109375" style="124" customWidth="1"/>
    <col min="3847" max="4096" width="9.140625" style="124"/>
    <col min="4097" max="4097" width="0" style="124" hidden="1" customWidth="1"/>
    <col min="4098" max="4098" width="28.7109375" style="124" customWidth="1"/>
    <col min="4099" max="4100" width="20" style="124" customWidth="1"/>
    <col min="4101" max="4101" width="15.140625" style="124" customWidth="1"/>
    <col min="4102" max="4102" width="17.7109375" style="124" customWidth="1"/>
    <col min="4103" max="4352" width="9.140625" style="124"/>
    <col min="4353" max="4353" width="0" style="124" hidden="1" customWidth="1"/>
    <col min="4354" max="4354" width="28.7109375" style="124" customWidth="1"/>
    <col min="4355" max="4356" width="20" style="124" customWidth="1"/>
    <col min="4357" max="4357" width="15.140625" style="124" customWidth="1"/>
    <col min="4358" max="4358" width="17.7109375" style="124" customWidth="1"/>
    <col min="4359" max="4608" width="9.140625" style="124"/>
    <col min="4609" max="4609" width="0" style="124" hidden="1" customWidth="1"/>
    <col min="4610" max="4610" width="28.7109375" style="124" customWidth="1"/>
    <col min="4611" max="4612" width="20" style="124" customWidth="1"/>
    <col min="4613" max="4613" width="15.140625" style="124" customWidth="1"/>
    <col min="4614" max="4614" width="17.7109375" style="124" customWidth="1"/>
    <col min="4615" max="4864" width="9.140625" style="124"/>
    <col min="4865" max="4865" width="0" style="124" hidden="1" customWidth="1"/>
    <col min="4866" max="4866" width="28.7109375" style="124" customWidth="1"/>
    <col min="4867" max="4868" width="20" style="124" customWidth="1"/>
    <col min="4869" max="4869" width="15.140625" style="124" customWidth="1"/>
    <col min="4870" max="4870" width="17.7109375" style="124" customWidth="1"/>
    <col min="4871" max="5120" width="9.140625" style="124"/>
    <col min="5121" max="5121" width="0" style="124" hidden="1" customWidth="1"/>
    <col min="5122" max="5122" width="28.7109375" style="124" customWidth="1"/>
    <col min="5123" max="5124" width="20" style="124" customWidth="1"/>
    <col min="5125" max="5125" width="15.140625" style="124" customWidth="1"/>
    <col min="5126" max="5126" width="17.7109375" style="124" customWidth="1"/>
    <col min="5127" max="5376" width="9.140625" style="124"/>
    <col min="5377" max="5377" width="0" style="124" hidden="1" customWidth="1"/>
    <col min="5378" max="5378" width="28.7109375" style="124" customWidth="1"/>
    <col min="5379" max="5380" width="20" style="124" customWidth="1"/>
    <col min="5381" max="5381" width="15.140625" style="124" customWidth="1"/>
    <col min="5382" max="5382" width="17.7109375" style="124" customWidth="1"/>
    <col min="5383" max="5632" width="9.140625" style="124"/>
    <col min="5633" max="5633" width="0" style="124" hidden="1" customWidth="1"/>
    <col min="5634" max="5634" width="28.7109375" style="124" customWidth="1"/>
    <col min="5635" max="5636" width="20" style="124" customWidth="1"/>
    <col min="5637" max="5637" width="15.140625" style="124" customWidth="1"/>
    <col min="5638" max="5638" width="17.7109375" style="124" customWidth="1"/>
    <col min="5639" max="5888" width="9.140625" style="124"/>
    <col min="5889" max="5889" width="0" style="124" hidden="1" customWidth="1"/>
    <col min="5890" max="5890" width="28.7109375" style="124" customWidth="1"/>
    <col min="5891" max="5892" width="20" style="124" customWidth="1"/>
    <col min="5893" max="5893" width="15.140625" style="124" customWidth="1"/>
    <col min="5894" max="5894" width="17.7109375" style="124" customWidth="1"/>
    <col min="5895" max="6144" width="9.140625" style="124"/>
    <col min="6145" max="6145" width="0" style="124" hidden="1" customWidth="1"/>
    <col min="6146" max="6146" width="28.7109375" style="124" customWidth="1"/>
    <col min="6147" max="6148" width="20" style="124" customWidth="1"/>
    <col min="6149" max="6149" width="15.140625" style="124" customWidth="1"/>
    <col min="6150" max="6150" width="17.7109375" style="124" customWidth="1"/>
    <col min="6151" max="6400" width="9.140625" style="124"/>
    <col min="6401" max="6401" width="0" style="124" hidden="1" customWidth="1"/>
    <col min="6402" max="6402" width="28.7109375" style="124" customWidth="1"/>
    <col min="6403" max="6404" width="20" style="124" customWidth="1"/>
    <col min="6405" max="6405" width="15.140625" style="124" customWidth="1"/>
    <col min="6406" max="6406" width="17.7109375" style="124" customWidth="1"/>
    <col min="6407" max="6656" width="9.140625" style="124"/>
    <col min="6657" max="6657" width="0" style="124" hidden="1" customWidth="1"/>
    <col min="6658" max="6658" width="28.7109375" style="124" customWidth="1"/>
    <col min="6659" max="6660" width="20" style="124" customWidth="1"/>
    <col min="6661" max="6661" width="15.140625" style="124" customWidth="1"/>
    <col min="6662" max="6662" width="17.7109375" style="124" customWidth="1"/>
    <col min="6663" max="6912" width="9.140625" style="124"/>
    <col min="6913" max="6913" width="0" style="124" hidden="1" customWidth="1"/>
    <col min="6914" max="6914" width="28.7109375" style="124" customWidth="1"/>
    <col min="6915" max="6916" width="20" style="124" customWidth="1"/>
    <col min="6917" max="6917" width="15.140625" style="124" customWidth="1"/>
    <col min="6918" max="6918" width="17.7109375" style="124" customWidth="1"/>
    <col min="6919" max="7168" width="9.140625" style="124"/>
    <col min="7169" max="7169" width="0" style="124" hidden="1" customWidth="1"/>
    <col min="7170" max="7170" width="28.7109375" style="124" customWidth="1"/>
    <col min="7171" max="7172" width="20" style="124" customWidth="1"/>
    <col min="7173" max="7173" width="15.140625" style="124" customWidth="1"/>
    <col min="7174" max="7174" width="17.7109375" style="124" customWidth="1"/>
    <col min="7175" max="7424" width="9.140625" style="124"/>
    <col min="7425" max="7425" width="0" style="124" hidden="1" customWidth="1"/>
    <col min="7426" max="7426" width="28.7109375" style="124" customWidth="1"/>
    <col min="7427" max="7428" width="20" style="124" customWidth="1"/>
    <col min="7429" max="7429" width="15.140625" style="124" customWidth="1"/>
    <col min="7430" max="7430" width="17.7109375" style="124" customWidth="1"/>
    <col min="7431" max="7680" width="9.140625" style="124"/>
    <col min="7681" max="7681" width="0" style="124" hidden="1" customWidth="1"/>
    <col min="7682" max="7682" width="28.7109375" style="124" customWidth="1"/>
    <col min="7683" max="7684" width="20" style="124" customWidth="1"/>
    <col min="7685" max="7685" width="15.140625" style="124" customWidth="1"/>
    <col min="7686" max="7686" width="17.7109375" style="124" customWidth="1"/>
    <col min="7687" max="7936" width="9.140625" style="124"/>
    <col min="7937" max="7937" width="0" style="124" hidden="1" customWidth="1"/>
    <col min="7938" max="7938" width="28.7109375" style="124" customWidth="1"/>
    <col min="7939" max="7940" width="20" style="124" customWidth="1"/>
    <col min="7941" max="7941" width="15.140625" style="124" customWidth="1"/>
    <col min="7942" max="7942" width="17.7109375" style="124" customWidth="1"/>
    <col min="7943" max="8192" width="9.140625" style="124"/>
    <col min="8193" max="8193" width="0" style="124" hidden="1" customWidth="1"/>
    <col min="8194" max="8194" width="28.7109375" style="124" customWidth="1"/>
    <col min="8195" max="8196" width="20" style="124" customWidth="1"/>
    <col min="8197" max="8197" width="15.140625" style="124" customWidth="1"/>
    <col min="8198" max="8198" width="17.7109375" style="124" customWidth="1"/>
    <col min="8199" max="8448" width="9.140625" style="124"/>
    <col min="8449" max="8449" width="0" style="124" hidden="1" customWidth="1"/>
    <col min="8450" max="8450" width="28.7109375" style="124" customWidth="1"/>
    <col min="8451" max="8452" width="20" style="124" customWidth="1"/>
    <col min="8453" max="8453" width="15.140625" style="124" customWidth="1"/>
    <col min="8454" max="8454" width="17.7109375" style="124" customWidth="1"/>
    <col min="8455" max="8704" width="9.140625" style="124"/>
    <col min="8705" max="8705" width="0" style="124" hidden="1" customWidth="1"/>
    <col min="8706" max="8706" width="28.7109375" style="124" customWidth="1"/>
    <col min="8707" max="8708" width="20" style="124" customWidth="1"/>
    <col min="8709" max="8709" width="15.140625" style="124" customWidth="1"/>
    <col min="8710" max="8710" width="17.7109375" style="124" customWidth="1"/>
    <col min="8711" max="8960" width="9.140625" style="124"/>
    <col min="8961" max="8961" width="0" style="124" hidden="1" customWidth="1"/>
    <col min="8962" max="8962" width="28.7109375" style="124" customWidth="1"/>
    <col min="8963" max="8964" width="20" style="124" customWidth="1"/>
    <col min="8965" max="8965" width="15.140625" style="124" customWidth="1"/>
    <col min="8966" max="8966" width="17.7109375" style="124" customWidth="1"/>
    <col min="8967" max="9216" width="9.140625" style="124"/>
    <col min="9217" max="9217" width="0" style="124" hidden="1" customWidth="1"/>
    <col min="9218" max="9218" width="28.7109375" style="124" customWidth="1"/>
    <col min="9219" max="9220" width="20" style="124" customWidth="1"/>
    <col min="9221" max="9221" width="15.140625" style="124" customWidth="1"/>
    <col min="9222" max="9222" width="17.7109375" style="124" customWidth="1"/>
    <col min="9223" max="9472" width="9.140625" style="124"/>
    <col min="9473" max="9473" width="0" style="124" hidden="1" customWidth="1"/>
    <col min="9474" max="9474" width="28.7109375" style="124" customWidth="1"/>
    <col min="9475" max="9476" width="20" style="124" customWidth="1"/>
    <col min="9477" max="9477" width="15.140625" style="124" customWidth="1"/>
    <col min="9478" max="9478" width="17.7109375" style="124" customWidth="1"/>
    <col min="9479" max="9728" width="9.140625" style="124"/>
    <col min="9729" max="9729" width="0" style="124" hidden="1" customWidth="1"/>
    <col min="9730" max="9730" width="28.7109375" style="124" customWidth="1"/>
    <col min="9731" max="9732" width="20" style="124" customWidth="1"/>
    <col min="9733" max="9733" width="15.140625" style="124" customWidth="1"/>
    <col min="9734" max="9734" width="17.7109375" style="124" customWidth="1"/>
    <col min="9735" max="9984" width="9.140625" style="124"/>
    <col min="9985" max="9985" width="0" style="124" hidden="1" customWidth="1"/>
    <col min="9986" max="9986" width="28.7109375" style="124" customWidth="1"/>
    <col min="9987" max="9988" width="20" style="124" customWidth="1"/>
    <col min="9989" max="9989" width="15.140625" style="124" customWidth="1"/>
    <col min="9990" max="9990" width="17.7109375" style="124" customWidth="1"/>
    <col min="9991" max="10240" width="9.140625" style="124"/>
    <col min="10241" max="10241" width="0" style="124" hidden="1" customWidth="1"/>
    <col min="10242" max="10242" width="28.7109375" style="124" customWidth="1"/>
    <col min="10243" max="10244" width="20" style="124" customWidth="1"/>
    <col min="10245" max="10245" width="15.140625" style="124" customWidth="1"/>
    <col min="10246" max="10246" width="17.7109375" style="124" customWidth="1"/>
    <col min="10247" max="10496" width="9.140625" style="124"/>
    <col min="10497" max="10497" width="0" style="124" hidden="1" customWidth="1"/>
    <col min="10498" max="10498" width="28.7109375" style="124" customWidth="1"/>
    <col min="10499" max="10500" width="20" style="124" customWidth="1"/>
    <col min="10501" max="10501" width="15.140625" style="124" customWidth="1"/>
    <col min="10502" max="10502" width="17.7109375" style="124" customWidth="1"/>
    <col min="10503" max="10752" width="9.140625" style="124"/>
    <col min="10753" max="10753" width="0" style="124" hidden="1" customWidth="1"/>
    <col min="10754" max="10754" width="28.7109375" style="124" customWidth="1"/>
    <col min="10755" max="10756" width="20" style="124" customWidth="1"/>
    <col min="10757" max="10757" width="15.140625" style="124" customWidth="1"/>
    <col min="10758" max="10758" width="17.7109375" style="124" customWidth="1"/>
    <col min="10759" max="11008" width="9.140625" style="124"/>
    <col min="11009" max="11009" width="0" style="124" hidden="1" customWidth="1"/>
    <col min="11010" max="11010" width="28.7109375" style="124" customWidth="1"/>
    <col min="11011" max="11012" width="20" style="124" customWidth="1"/>
    <col min="11013" max="11013" width="15.140625" style="124" customWidth="1"/>
    <col min="11014" max="11014" width="17.7109375" style="124" customWidth="1"/>
    <col min="11015" max="11264" width="9.140625" style="124"/>
    <col min="11265" max="11265" width="0" style="124" hidden="1" customWidth="1"/>
    <col min="11266" max="11266" width="28.7109375" style="124" customWidth="1"/>
    <col min="11267" max="11268" width="20" style="124" customWidth="1"/>
    <col min="11269" max="11269" width="15.140625" style="124" customWidth="1"/>
    <col min="11270" max="11270" width="17.7109375" style="124" customWidth="1"/>
    <col min="11271" max="11520" width="9.140625" style="124"/>
    <col min="11521" max="11521" width="0" style="124" hidden="1" customWidth="1"/>
    <col min="11522" max="11522" width="28.7109375" style="124" customWidth="1"/>
    <col min="11523" max="11524" width="20" style="124" customWidth="1"/>
    <col min="11525" max="11525" width="15.140625" style="124" customWidth="1"/>
    <col min="11526" max="11526" width="17.7109375" style="124" customWidth="1"/>
    <col min="11527" max="11776" width="9.140625" style="124"/>
    <col min="11777" max="11777" width="0" style="124" hidden="1" customWidth="1"/>
    <col min="11778" max="11778" width="28.7109375" style="124" customWidth="1"/>
    <col min="11779" max="11780" width="20" style="124" customWidth="1"/>
    <col min="11781" max="11781" width="15.140625" style="124" customWidth="1"/>
    <col min="11782" max="11782" width="17.7109375" style="124" customWidth="1"/>
    <col min="11783" max="12032" width="9.140625" style="124"/>
    <col min="12033" max="12033" width="0" style="124" hidden="1" customWidth="1"/>
    <col min="12034" max="12034" width="28.7109375" style="124" customWidth="1"/>
    <col min="12035" max="12036" width="20" style="124" customWidth="1"/>
    <col min="12037" max="12037" width="15.140625" style="124" customWidth="1"/>
    <col min="12038" max="12038" width="17.7109375" style="124" customWidth="1"/>
    <col min="12039" max="12288" width="9.140625" style="124"/>
    <col min="12289" max="12289" width="0" style="124" hidden="1" customWidth="1"/>
    <col min="12290" max="12290" width="28.7109375" style="124" customWidth="1"/>
    <col min="12291" max="12292" width="20" style="124" customWidth="1"/>
    <col min="12293" max="12293" width="15.140625" style="124" customWidth="1"/>
    <col min="12294" max="12294" width="17.7109375" style="124" customWidth="1"/>
    <col min="12295" max="12544" width="9.140625" style="124"/>
    <col min="12545" max="12545" width="0" style="124" hidden="1" customWidth="1"/>
    <col min="12546" max="12546" width="28.7109375" style="124" customWidth="1"/>
    <col min="12547" max="12548" width="20" style="124" customWidth="1"/>
    <col min="12549" max="12549" width="15.140625" style="124" customWidth="1"/>
    <col min="12550" max="12550" width="17.7109375" style="124" customWidth="1"/>
    <col min="12551" max="12800" width="9.140625" style="124"/>
    <col min="12801" max="12801" width="0" style="124" hidden="1" customWidth="1"/>
    <col min="12802" max="12802" width="28.7109375" style="124" customWidth="1"/>
    <col min="12803" max="12804" width="20" style="124" customWidth="1"/>
    <col min="12805" max="12805" width="15.140625" style="124" customWidth="1"/>
    <col min="12806" max="12806" width="17.7109375" style="124" customWidth="1"/>
    <col min="12807" max="13056" width="9.140625" style="124"/>
    <col min="13057" max="13057" width="0" style="124" hidden="1" customWidth="1"/>
    <col min="13058" max="13058" width="28.7109375" style="124" customWidth="1"/>
    <col min="13059" max="13060" width="20" style="124" customWidth="1"/>
    <col min="13061" max="13061" width="15.140625" style="124" customWidth="1"/>
    <col min="13062" max="13062" width="17.7109375" style="124" customWidth="1"/>
    <col min="13063" max="13312" width="9.140625" style="124"/>
    <col min="13313" max="13313" width="0" style="124" hidden="1" customWidth="1"/>
    <col min="13314" max="13314" width="28.7109375" style="124" customWidth="1"/>
    <col min="13315" max="13316" width="20" style="124" customWidth="1"/>
    <col min="13317" max="13317" width="15.140625" style="124" customWidth="1"/>
    <col min="13318" max="13318" width="17.7109375" style="124" customWidth="1"/>
    <col min="13319" max="13568" width="9.140625" style="124"/>
    <col min="13569" max="13569" width="0" style="124" hidden="1" customWidth="1"/>
    <col min="13570" max="13570" width="28.7109375" style="124" customWidth="1"/>
    <col min="13571" max="13572" width="20" style="124" customWidth="1"/>
    <col min="13573" max="13573" width="15.140625" style="124" customWidth="1"/>
    <col min="13574" max="13574" width="17.7109375" style="124" customWidth="1"/>
    <col min="13575" max="13824" width="9.140625" style="124"/>
    <col min="13825" max="13825" width="0" style="124" hidden="1" customWidth="1"/>
    <col min="13826" max="13826" width="28.7109375" style="124" customWidth="1"/>
    <col min="13827" max="13828" width="20" style="124" customWidth="1"/>
    <col min="13829" max="13829" width="15.140625" style="124" customWidth="1"/>
    <col min="13830" max="13830" width="17.7109375" style="124" customWidth="1"/>
    <col min="13831" max="14080" width="9.140625" style="124"/>
    <col min="14081" max="14081" width="0" style="124" hidden="1" customWidth="1"/>
    <col min="14082" max="14082" width="28.7109375" style="124" customWidth="1"/>
    <col min="14083" max="14084" width="20" style="124" customWidth="1"/>
    <col min="14085" max="14085" width="15.140625" style="124" customWidth="1"/>
    <col min="14086" max="14086" width="17.7109375" style="124" customWidth="1"/>
    <col min="14087" max="14336" width="9.140625" style="124"/>
    <col min="14337" max="14337" width="0" style="124" hidden="1" customWidth="1"/>
    <col min="14338" max="14338" width="28.7109375" style="124" customWidth="1"/>
    <col min="14339" max="14340" width="20" style="124" customWidth="1"/>
    <col min="14341" max="14341" width="15.140625" style="124" customWidth="1"/>
    <col min="14342" max="14342" width="17.7109375" style="124" customWidth="1"/>
    <col min="14343" max="14592" width="9.140625" style="124"/>
    <col min="14593" max="14593" width="0" style="124" hidden="1" customWidth="1"/>
    <col min="14594" max="14594" width="28.7109375" style="124" customWidth="1"/>
    <col min="14595" max="14596" width="20" style="124" customWidth="1"/>
    <col min="14597" max="14597" width="15.140625" style="124" customWidth="1"/>
    <col min="14598" max="14598" width="17.7109375" style="124" customWidth="1"/>
    <col min="14599" max="14848" width="9.140625" style="124"/>
    <col min="14849" max="14849" width="0" style="124" hidden="1" customWidth="1"/>
    <col min="14850" max="14850" width="28.7109375" style="124" customWidth="1"/>
    <col min="14851" max="14852" width="20" style="124" customWidth="1"/>
    <col min="14853" max="14853" width="15.140625" style="124" customWidth="1"/>
    <col min="14854" max="14854" width="17.7109375" style="124" customWidth="1"/>
    <col min="14855" max="15104" width="9.140625" style="124"/>
    <col min="15105" max="15105" width="0" style="124" hidden="1" customWidth="1"/>
    <col min="15106" max="15106" width="28.7109375" style="124" customWidth="1"/>
    <col min="15107" max="15108" width="20" style="124" customWidth="1"/>
    <col min="15109" max="15109" width="15.140625" style="124" customWidth="1"/>
    <col min="15110" max="15110" width="17.7109375" style="124" customWidth="1"/>
    <col min="15111" max="15360" width="9.140625" style="124"/>
    <col min="15361" max="15361" width="0" style="124" hidden="1" customWidth="1"/>
    <col min="15362" max="15362" width="28.7109375" style="124" customWidth="1"/>
    <col min="15363" max="15364" width="20" style="124" customWidth="1"/>
    <col min="15365" max="15365" width="15.140625" style="124" customWidth="1"/>
    <col min="15366" max="15366" width="17.7109375" style="124" customWidth="1"/>
    <col min="15367" max="15616" width="9.140625" style="124"/>
    <col min="15617" max="15617" width="0" style="124" hidden="1" customWidth="1"/>
    <col min="15618" max="15618" width="28.7109375" style="124" customWidth="1"/>
    <col min="15619" max="15620" width="20" style="124" customWidth="1"/>
    <col min="15621" max="15621" width="15.140625" style="124" customWidth="1"/>
    <col min="15622" max="15622" width="17.7109375" style="124" customWidth="1"/>
    <col min="15623" max="15872" width="9.140625" style="124"/>
    <col min="15873" max="15873" width="0" style="124" hidden="1" customWidth="1"/>
    <col min="15874" max="15874" width="28.7109375" style="124" customWidth="1"/>
    <col min="15875" max="15876" width="20" style="124" customWidth="1"/>
    <col min="15877" max="15877" width="15.140625" style="124" customWidth="1"/>
    <col min="15878" max="15878" width="17.7109375" style="124" customWidth="1"/>
    <col min="15879" max="16128" width="9.140625" style="124"/>
    <col min="16129" max="16129" width="0" style="124" hidden="1" customWidth="1"/>
    <col min="16130" max="16130" width="28.7109375" style="124" customWidth="1"/>
    <col min="16131" max="16132" width="20" style="124" customWidth="1"/>
    <col min="16133" max="16133" width="15.140625" style="124" customWidth="1"/>
    <col min="16134" max="16134" width="17.7109375" style="124" customWidth="1"/>
    <col min="16135" max="16384" width="9.140625" style="124"/>
  </cols>
  <sheetData>
    <row r="1" spans="1:6" ht="60" customHeight="1">
      <c r="B1" s="222" t="s">
        <v>91</v>
      </c>
      <c r="C1" s="223"/>
      <c r="D1" s="223"/>
      <c r="E1" s="223"/>
      <c r="F1" s="224"/>
    </row>
    <row r="2" spans="1:6" ht="14.25">
      <c r="B2" s="197"/>
      <c r="C2" s="198" t="s">
        <v>1</v>
      </c>
      <c r="D2" s="200" t="s">
        <v>2</v>
      </c>
      <c r="E2" s="200"/>
    </row>
    <row r="3" spans="1:6" ht="27">
      <c r="A3" s="4"/>
      <c r="B3" s="197"/>
      <c r="C3" s="199"/>
      <c r="D3" s="125" t="s">
        <v>3</v>
      </c>
      <c r="E3" s="125" t="s">
        <v>4</v>
      </c>
      <c r="F3" s="125" t="s">
        <v>5</v>
      </c>
    </row>
    <row r="4" spans="1:6" ht="24" customHeight="1">
      <c r="A4" s="4"/>
      <c r="B4" s="126" t="s">
        <v>6</v>
      </c>
      <c r="C4" s="127">
        <v>3146</v>
      </c>
      <c r="D4" s="127">
        <v>566</v>
      </c>
      <c r="E4" s="127">
        <v>70</v>
      </c>
      <c r="F4" s="127">
        <v>1</v>
      </c>
    </row>
    <row r="5" spans="1:6" s="129" customFormat="1" ht="25.5" customHeight="1">
      <c r="A5" s="9"/>
      <c r="B5" s="128" t="s">
        <v>7</v>
      </c>
      <c r="C5" s="127">
        <v>2266</v>
      </c>
      <c r="D5" s="127">
        <v>348</v>
      </c>
      <c r="E5" s="127">
        <v>43</v>
      </c>
      <c r="F5" s="127">
        <v>0</v>
      </c>
    </row>
    <row r="6" spans="1:6" ht="12.75" customHeight="1">
      <c r="A6" s="12">
        <v>51</v>
      </c>
      <c r="B6" s="130" t="s">
        <v>8</v>
      </c>
      <c r="C6" s="131">
        <v>67</v>
      </c>
      <c r="D6" s="131">
        <v>13</v>
      </c>
      <c r="E6" s="131">
        <v>2</v>
      </c>
      <c r="F6" s="131">
        <v>0</v>
      </c>
    </row>
    <row r="7" spans="1:6" ht="12.75" customHeight="1">
      <c r="A7" s="12">
        <v>52</v>
      </c>
      <c r="B7" s="130" t="s">
        <v>9</v>
      </c>
      <c r="C7" s="131">
        <v>55</v>
      </c>
      <c r="D7" s="131">
        <v>8</v>
      </c>
      <c r="E7" s="131">
        <v>0</v>
      </c>
      <c r="F7" s="131">
        <v>0</v>
      </c>
    </row>
    <row r="8" spans="1:6">
      <c r="A8" s="12">
        <v>86</v>
      </c>
      <c r="B8" s="130" t="s">
        <v>10</v>
      </c>
      <c r="C8" s="131">
        <v>73</v>
      </c>
      <c r="D8" s="131">
        <v>9</v>
      </c>
      <c r="E8" s="131">
        <v>1</v>
      </c>
      <c r="F8" s="131">
        <v>0</v>
      </c>
    </row>
    <row r="9" spans="1:6" ht="12.75" customHeight="1">
      <c r="A9" s="12">
        <v>53</v>
      </c>
      <c r="B9" s="130" t="s">
        <v>11</v>
      </c>
      <c r="C9" s="131">
        <v>26</v>
      </c>
      <c r="D9" s="131">
        <v>2</v>
      </c>
      <c r="E9" s="131">
        <v>0</v>
      </c>
      <c r="F9" s="131">
        <v>0</v>
      </c>
    </row>
    <row r="10" spans="1:6" ht="12.75" customHeight="1">
      <c r="A10" s="12">
        <v>54</v>
      </c>
      <c r="B10" s="130" t="s">
        <v>12</v>
      </c>
      <c r="C10" s="131">
        <v>134</v>
      </c>
      <c r="D10" s="131">
        <v>10</v>
      </c>
      <c r="E10" s="131">
        <v>0</v>
      </c>
      <c r="F10" s="131">
        <v>0</v>
      </c>
    </row>
    <row r="11" spans="1:6" ht="12.75" customHeight="1">
      <c r="A11" s="12">
        <v>55</v>
      </c>
      <c r="B11" s="130" t="s">
        <v>13</v>
      </c>
      <c r="C11" s="131">
        <v>32</v>
      </c>
      <c r="D11" s="131">
        <v>9</v>
      </c>
      <c r="E11" s="131">
        <v>0</v>
      </c>
      <c r="F11" s="131">
        <v>0</v>
      </c>
    </row>
    <row r="12" spans="1:6" ht="12.75" customHeight="1">
      <c r="A12" s="12">
        <v>56</v>
      </c>
      <c r="B12" s="130" t="s">
        <v>14</v>
      </c>
      <c r="C12" s="131">
        <v>19</v>
      </c>
      <c r="D12" s="131">
        <v>0</v>
      </c>
      <c r="E12" s="131">
        <v>0</v>
      </c>
      <c r="F12" s="131">
        <v>0</v>
      </c>
    </row>
    <row r="13" spans="1:6" ht="12.75" customHeight="1">
      <c r="A13" s="12">
        <v>57</v>
      </c>
      <c r="B13" s="130" t="s">
        <v>15</v>
      </c>
      <c r="C13" s="131">
        <v>33</v>
      </c>
      <c r="D13" s="131">
        <v>7</v>
      </c>
      <c r="E13" s="131">
        <v>0</v>
      </c>
      <c r="F13" s="131">
        <v>0</v>
      </c>
    </row>
    <row r="14" spans="1:6" ht="12.75" customHeight="1">
      <c r="A14" s="12">
        <v>59</v>
      </c>
      <c r="B14" s="130" t="s">
        <v>16</v>
      </c>
      <c r="C14" s="131">
        <v>32</v>
      </c>
      <c r="D14" s="131">
        <v>8</v>
      </c>
      <c r="E14" s="131">
        <v>1</v>
      </c>
      <c r="F14" s="131">
        <v>0</v>
      </c>
    </row>
    <row r="15" spans="1:6" ht="12.75" customHeight="1">
      <c r="A15" s="12">
        <v>60</v>
      </c>
      <c r="B15" s="130" t="s">
        <v>17</v>
      </c>
      <c r="C15" s="131">
        <v>22</v>
      </c>
      <c r="D15" s="131">
        <v>4</v>
      </c>
      <c r="E15" s="131">
        <v>0</v>
      </c>
      <c r="F15" s="131">
        <v>0</v>
      </c>
    </row>
    <row r="16" spans="1:6" ht="12.75" customHeight="1">
      <c r="A16" s="12">
        <v>61</v>
      </c>
      <c r="B16" s="132" t="s">
        <v>18</v>
      </c>
      <c r="C16" s="131">
        <v>88</v>
      </c>
      <c r="D16" s="131">
        <v>11</v>
      </c>
      <c r="E16" s="131">
        <v>2</v>
      </c>
      <c r="F16" s="131">
        <v>0</v>
      </c>
    </row>
    <row r="17" spans="1:6" s="184" customFormat="1" ht="12.75" customHeight="1">
      <c r="A17" s="12"/>
      <c r="B17" s="132" t="s">
        <v>125</v>
      </c>
      <c r="C17" s="165" t="s">
        <v>126</v>
      </c>
      <c r="D17" s="165" t="s">
        <v>126</v>
      </c>
      <c r="E17" s="165" t="s">
        <v>126</v>
      </c>
      <c r="F17" s="165" t="s">
        <v>126</v>
      </c>
    </row>
    <row r="18" spans="1:6" ht="12.75" customHeight="1">
      <c r="A18" s="12">
        <v>62</v>
      </c>
      <c r="B18" s="130" t="s">
        <v>19</v>
      </c>
      <c r="C18" s="131">
        <v>68</v>
      </c>
      <c r="D18" s="131">
        <v>7</v>
      </c>
      <c r="E18" s="131">
        <v>1</v>
      </c>
      <c r="F18" s="131">
        <v>0</v>
      </c>
    </row>
    <row r="19" spans="1:6" ht="12.75" customHeight="1">
      <c r="A19" s="12">
        <v>58</v>
      </c>
      <c r="B19" s="130" t="s">
        <v>20</v>
      </c>
      <c r="C19" s="131">
        <v>19</v>
      </c>
      <c r="D19" s="131">
        <v>8</v>
      </c>
      <c r="E19" s="131">
        <v>0</v>
      </c>
      <c r="F19" s="131">
        <v>0</v>
      </c>
    </row>
    <row r="20" spans="1:6" ht="12.75" customHeight="1">
      <c r="A20" s="12">
        <v>63</v>
      </c>
      <c r="B20" s="130" t="s">
        <v>21</v>
      </c>
      <c r="C20" s="131">
        <v>106</v>
      </c>
      <c r="D20" s="131">
        <v>7</v>
      </c>
      <c r="E20" s="131">
        <v>1</v>
      </c>
      <c r="F20" s="131">
        <v>0</v>
      </c>
    </row>
    <row r="21" spans="1:6" ht="12.75" customHeight="1">
      <c r="A21" s="12">
        <v>64</v>
      </c>
      <c r="B21" s="130" t="s">
        <v>22</v>
      </c>
      <c r="C21" s="131">
        <v>141</v>
      </c>
      <c r="D21" s="131">
        <v>35</v>
      </c>
      <c r="E21" s="131">
        <v>4</v>
      </c>
      <c r="F21" s="131">
        <v>0</v>
      </c>
    </row>
    <row r="22" spans="1:6">
      <c r="A22" s="12">
        <v>65</v>
      </c>
      <c r="B22" s="130" t="s">
        <v>23</v>
      </c>
      <c r="C22" s="131">
        <v>66</v>
      </c>
      <c r="D22" s="131">
        <v>4</v>
      </c>
      <c r="E22" s="131">
        <v>4</v>
      </c>
      <c r="F22" s="131">
        <v>0</v>
      </c>
    </row>
    <row r="23" spans="1:6" ht="12.75" customHeight="1">
      <c r="A23" s="12">
        <v>67</v>
      </c>
      <c r="B23" s="130" t="s">
        <v>24</v>
      </c>
      <c r="C23" s="131">
        <v>83</v>
      </c>
      <c r="D23" s="131">
        <v>22</v>
      </c>
      <c r="E23" s="131">
        <v>11</v>
      </c>
      <c r="F23" s="131">
        <v>0</v>
      </c>
    </row>
    <row r="24" spans="1:6">
      <c r="A24" s="12">
        <v>68</v>
      </c>
      <c r="B24" s="130" t="s">
        <v>25</v>
      </c>
      <c r="C24" s="131">
        <v>82</v>
      </c>
      <c r="D24" s="131">
        <v>10</v>
      </c>
      <c r="E24" s="131">
        <v>1</v>
      </c>
      <c r="F24" s="131">
        <v>0</v>
      </c>
    </row>
    <row r="25" spans="1:6">
      <c r="A25" s="12">
        <v>69</v>
      </c>
      <c r="B25" s="130" t="s">
        <v>26</v>
      </c>
      <c r="C25" s="131">
        <v>54</v>
      </c>
      <c r="D25" s="131">
        <v>6</v>
      </c>
      <c r="E25" s="131">
        <v>2</v>
      </c>
      <c r="F25" s="131">
        <v>0</v>
      </c>
    </row>
    <row r="26" spans="1:6">
      <c r="A26" s="12">
        <v>70</v>
      </c>
      <c r="B26" s="130" t="s">
        <v>27</v>
      </c>
      <c r="C26" s="131">
        <v>97</v>
      </c>
      <c r="D26" s="131">
        <v>4</v>
      </c>
      <c r="E26" s="131">
        <v>0</v>
      </c>
      <c r="F26" s="131">
        <v>0</v>
      </c>
    </row>
    <row r="27" spans="1:6">
      <c r="A27" s="12">
        <v>71</v>
      </c>
      <c r="B27" s="133" t="s">
        <v>28</v>
      </c>
      <c r="C27" s="131">
        <v>18</v>
      </c>
      <c r="D27" s="131">
        <v>1</v>
      </c>
      <c r="E27" s="131">
        <v>0</v>
      </c>
      <c r="F27" s="131">
        <v>0</v>
      </c>
    </row>
    <row r="28" spans="1:6">
      <c r="A28" s="12">
        <v>73</v>
      </c>
      <c r="B28" s="130" t="s">
        <v>29</v>
      </c>
      <c r="C28" s="134">
        <v>89</v>
      </c>
      <c r="D28" s="134">
        <v>17</v>
      </c>
      <c r="E28" s="134">
        <v>1</v>
      </c>
      <c r="F28" s="134">
        <v>0</v>
      </c>
    </row>
    <row r="29" spans="1:6">
      <c r="A29" s="12">
        <v>74</v>
      </c>
      <c r="B29" s="130" t="s">
        <v>30</v>
      </c>
      <c r="C29" s="131">
        <v>40</v>
      </c>
      <c r="D29" s="131">
        <v>11</v>
      </c>
      <c r="E29" s="131">
        <v>0</v>
      </c>
      <c r="F29" s="131">
        <v>0</v>
      </c>
    </row>
    <row r="30" spans="1:6">
      <c r="A30" s="12">
        <v>75</v>
      </c>
      <c r="B30" s="130" t="s">
        <v>31</v>
      </c>
      <c r="C30" s="131">
        <v>51</v>
      </c>
      <c r="D30" s="131">
        <v>14</v>
      </c>
      <c r="E30" s="131">
        <v>2</v>
      </c>
      <c r="F30" s="131">
        <v>0</v>
      </c>
    </row>
    <row r="31" spans="1:6">
      <c r="A31" s="12">
        <v>76</v>
      </c>
      <c r="B31" s="130" t="s">
        <v>32</v>
      </c>
      <c r="C31" s="131">
        <v>42</v>
      </c>
      <c r="D31" s="131">
        <v>9</v>
      </c>
      <c r="E31" s="131">
        <v>0</v>
      </c>
      <c r="F31" s="131">
        <v>0</v>
      </c>
    </row>
    <row r="32" spans="1:6">
      <c r="A32" s="12">
        <v>79</v>
      </c>
      <c r="B32" s="130" t="s">
        <v>33</v>
      </c>
      <c r="C32" s="131">
        <v>102</v>
      </c>
      <c r="D32" s="131">
        <v>19</v>
      </c>
      <c r="E32" s="131">
        <v>3</v>
      </c>
      <c r="F32" s="131">
        <v>0</v>
      </c>
    </row>
    <row r="33" spans="1:6">
      <c r="A33" s="12">
        <v>80</v>
      </c>
      <c r="B33" s="130" t="s">
        <v>34</v>
      </c>
      <c r="C33" s="131">
        <v>83</v>
      </c>
      <c r="D33" s="131">
        <v>15</v>
      </c>
      <c r="E33" s="131">
        <v>0</v>
      </c>
      <c r="F33" s="131">
        <v>0</v>
      </c>
    </row>
    <row r="34" spans="1:6">
      <c r="A34" s="12">
        <v>81</v>
      </c>
      <c r="B34" s="130" t="s">
        <v>35</v>
      </c>
      <c r="C34" s="131">
        <v>53</v>
      </c>
      <c r="D34" s="131">
        <v>7</v>
      </c>
      <c r="E34" s="131">
        <v>0</v>
      </c>
      <c r="F34" s="131">
        <v>0</v>
      </c>
    </row>
    <row r="35" spans="1:6">
      <c r="A35" s="12">
        <v>83</v>
      </c>
      <c r="B35" s="130" t="s">
        <v>36</v>
      </c>
      <c r="C35" s="131">
        <v>38</v>
      </c>
      <c r="D35" s="131">
        <v>5</v>
      </c>
      <c r="E35" s="131">
        <v>1</v>
      </c>
      <c r="F35" s="131">
        <v>0</v>
      </c>
    </row>
    <row r="36" spans="1:6">
      <c r="A36" s="12">
        <v>84</v>
      </c>
      <c r="B36" s="130" t="s">
        <v>37</v>
      </c>
      <c r="C36" s="131">
        <v>43</v>
      </c>
      <c r="D36" s="131">
        <v>6</v>
      </c>
      <c r="E36" s="131">
        <v>0</v>
      </c>
      <c r="F36" s="131">
        <v>0</v>
      </c>
    </row>
    <row r="37" spans="1:6">
      <c r="A37" s="12">
        <v>85</v>
      </c>
      <c r="B37" s="130" t="s">
        <v>38</v>
      </c>
      <c r="C37" s="131">
        <v>61</v>
      </c>
      <c r="D37" s="131">
        <v>12</v>
      </c>
      <c r="E37" s="131">
        <v>2</v>
      </c>
      <c r="F37" s="131">
        <v>0</v>
      </c>
    </row>
    <row r="38" spans="1:6">
      <c r="A38" s="12">
        <v>87</v>
      </c>
      <c r="B38" s="130" t="s">
        <v>39</v>
      </c>
      <c r="C38" s="131">
        <v>47</v>
      </c>
      <c r="D38" s="131">
        <v>4</v>
      </c>
      <c r="E38" s="131">
        <v>0</v>
      </c>
      <c r="F38" s="131">
        <v>0</v>
      </c>
    </row>
    <row r="39" spans="1:6">
      <c r="A39" s="12">
        <v>90</v>
      </c>
      <c r="B39" s="130" t="s">
        <v>40</v>
      </c>
      <c r="C39" s="131">
        <v>51</v>
      </c>
      <c r="D39" s="131">
        <v>8</v>
      </c>
      <c r="E39" s="131">
        <v>0</v>
      </c>
      <c r="F39" s="131">
        <v>0</v>
      </c>
    </row>
    <row r="40" spans="1:6">
      <c r="A40" s="12">
        <v>91</v>
      </c>
      <c r="B40" s="130" t="s">
        <v>41</v>
      </c>
      <c r="C40" s="131">
        <v>62</v>
      </c>
      <c r="D40" s="131">
        <v>10</v>
      </c>
      <c r="E40" s="131">
        <v>0</v>
      </c>
      <c r="F40" s="131">
        <v>0</v>
      </c>
    </row>
    <row r="41" spans="1:6">
      <c r="A41" s="12">
        <v>92</v>
      </c>
      <c r="B41" s="130" t="s">
        <v>42</v>
      </c>
      <c r="C41" s="131">
        <v>63</v>
      </c>
      <c r="D41" s="131">
        <v>7</v>
      </c>
      <c r="E41" s="131">
        <v>0</v>
      </c>
      <c r="F41" s="131">
        <v>0</v>
      </c>
    </row>
    <row r="42" spans="1:6">
      <c r="A42" s="12">
        <v>94</v>
      </c>
      <c r="B42" s="130" t="s">
        <v>43</v>
      </c>
      <c r="C42" s="131">
        <v>36</v>
      </c>
      <c r="D42" s="131">
        <v>2</v>
      </c>
      <c r="E42" s="131">
        <v>0</v>
      </c>
      <c r="F42" s="131">
        <v>0</v>
      </c>
    </row>
    <row r="43" spans="1:6">
      <c r="A43" s="12">
        <v>96</v>
      </c>
      <c r="B43" s="130" t="s">
        <v>44</v>
      </c>
      <c r="C43" s="131">
        <v>49</v>
      </c>
      <c r="D43" s="131">
        <v>9</v>
      </c>
      <c r="E43" s="131">
        <v>3</v>
      </c>
      <c r="F43" s="131">
        <v>0</v>
      </c>
    </row>
    <row r="44" spans="1:6">
      <c r="A44" s="12">
        <v>98</v>
      </c>
      <c r="B44" s="130" t="s">
        <v>45</v>
      </c>
      <c r="C44" s="131">
        <v>41</v>
      </c>
      <c r="D44" s="131">
        <v>8</v>
      </c>
      <c r="E44" s="131">
        <v>1</v>
      </c>
      <c r="F44" s="131">
        <v>0</v>
      </c>
    </row>
    <row r="45" spans="1:6">
      <c r="A45" s="12">
        <v>72</v>
      </c>
      <c r="B45" s="133" t="s">
        <v>46</v>
      </c>
      <c r="C45" s="131">
        <v>0</v>
      </c>
      <c r="D45" s="131">
        <v>0</v>
      </c>
      <c r="E45" s="131">
        <v>0</v>
      </c>
      <c r="F45" s="131">
        <v>0</v>
      </c>
    </row>
    <row r="46" spans="1:6" s="129" customFormat="1" ht="25.5" customHeight="1">
      <c r="B46" s="126" t="s">
        <v>47</v>
      </c>
      <c r="C46" s="135">
        <v>880</v>
      </c>
      <c r="D46" s="135">
        <v>218</v>
      </c>
      <c r="E46" s="135">
        <v>27</v>
      </c>
      <c r="F46" s="135">
        <v>1</v>
      </c>
    </row>
    <row r="47" spans="1:6" ht="12.75" customHeight="1">
      <c r="A47" s="12">
        <v>66</v>
      </c>
      <c r="B47" s="136" t="s">
        <v>48</v>
      </c>
      <c r="C47" s="131">
        <v>86</v>
      </c>
      <c r="D47" s="131">
        <v>23</v>
      </c>
      <c r="E47" s="131">
        <v>12</v>
      </c>
      <c r="F47" s="131">
        <v>1</v>
      </c>
    </row>
    <row r="48" spans="1:6" ht="12.75" customHeight="1">
      <c r="A48" s="12">
        <v>78</v>
      </c>
      <c r="B48" s="130" t="s">
        <v>49</v>
      </c>
      <c r="C48" s="131">
        <v>42</v>
      </c>
      <c r="D48" s="131">
        <v>9</v>
      </c>
      <c r="E48" s="131">
        <v>0</v>
      </c>
      <c r="F48" s="131">
        <v>0</v>
      </c>
    </row>
    <row r="49" spans="1:6" ht="12.75" customHeight="1">
      <c r="A49" s="12">
        <v>89</v>
      </c>
      <c r="B49" s="130" t="s">
        <v>50</v>
      </c>
      <c r="C49" s="131">
        <v>89</v>
      </c>
      <c r="D49" s="131">
        <v>8</v>
      </c>
      <c r="E49" s="131">
        <v>0</v>
      </c>
      <c r="F49" s="131">
        <v>0</v>
      </c>
    </row>
    <row r="50" spans="1:6" ht="12.75" customHeight="1">
      <c r="A50" s="12">
        <v>93</v>
      </c>
      <c r="B50" s="130" t="s">
        <v>51</v>
      </c>
      <c r="C50" s="131">
        <v>37</v>
      </c>
      <c r="D50" s="131">
        <v>7</v>
      </c>
      <c r="E50" s="131">
        <v>5</v>
      </c>
      <c r="F50" s="131">
        <v>0</v>
      </c>
    </row>
    <row r="51" spans="1:6" ht="12.75" customHeight="1">
      <c r="A51" s="12">
        <v>95</v>
      </c>
      <c r="B51" s="130" t="s">
        <v>52</v>
      </c>
      <c r="C51" s="131">
        <v>113</v>
      </c>
      <c r="D51" s="131">
        <v>14</v>
      </c>
      <c r="E51" s="131">
        <v>3</v>
      </c>
      <c r="F51" s="131">
        <v>0</v>
      </c>
    </row>
    <row r="52" spans="1:6" ht="12.75" customHeight="1">
      <c r="A52" s="12">
        <v>97</v>
      </c>
      <c r="B52" s="130" t="s">
        <v>53</v>
      </c>
      <c r="C52" s="131">
        <v>148</v>
      </c>
      <c r="D52" s="131">
        <v>23</v>
      </c>
      <c r="E52" s="131">
        <v>2</v>
      </c>
      <c r="F52" s="131">
        <v>0</v>
      </c>
    </row>
    <row r="53" spans="1:6" ht="12.75" customHeight="1">
      <c r="A53" s="12">
        <v>77</v>
      </c>
      <c r="B53" s="137" t="s">
        <v>54</v>
      </c>
      <c r="C53" s="138">
        <v>365</v>
      </c>
      <c r="D53" s="138">
        <v>134</v>
      </c>
      <c r="E53" s="138">
        <v>5</v>
      </c>
      <c r="F53" s="138">
        <v>0</v>
      </c>
    </row>
    <row r="55" spans="1:6" ht="12.75" customHeight="1">
      <c r="B55" s="12" t="s">
        <v>55</v>
      </c>
      <c r="C55" s="139"/>
    </row>
    <row r="56" spans="1:6" ht="12.75" customHeight="1">
      <c r="B56" s="201" t="s">
        <v>56</v>
      </c>
      <c r="C56" s="202"/>
      <c r="D56" s="202"/>
      <c r="E56" s="202"/>
      <c r="F56" s="202"/>
    </row>
    <row r="57" spans="1:6" ht="12.75" customHeight="1">
      <c r="B57" s="202"/>
      <c r="C57" s="202"/>
      <c r="D57" s="202"/>
      <c r="E57" s="202"/>
      <c r="F57" s="202"/>
    </row>
    <row r="58" spans="1:6" ht="12.75" customHeight="1">
      <c r="B58" s="202"/>
      <c r="C58" s="202"/>
      <c r="D58" s="202"/>
      <c r="E58" s="202"/>
      <c r="F58" s="202"/>
    </row>
    <row r="59" spans="1:6" ht="12.75" customHeight="1">
      <c r="B59" s="202"/>
      <c r="C59" s="202"/>
      <c r="D59" s="202"/>
      <c r="E59" s="202"/>
      <c r="F59" s="202"/>
    </row>
    <row r="60" spans="1:6" ht="12.75" customHeight="1">
      <c r="B60" s="202"/>
      <c r="C60" s="202"/>
      <c r="D60" s="202"/>
      <c r="E60" s="202"/>
      <c r="F60" s="202"/>
    </row>
    <row r="61" spans="1:6" ht="12.75" customHeight="1">
      <c r="B61" s="202"/>
      <c r="C61" s="202"/>
      <c r="D61" s="202"/>
      <c r="E61" s="202"/>
      <c r="F61" s="202"/>
    </row>
    <row r="62" spans="1:6" ht="39" customHeight="1">
      <c r="B62" s="202"/>
      <c r="C62" s="202"/>
      <c r="D62" s="202"/>
      <c r="E62" s="202"/>
      <c r="F62" s="202"/>
    </row>
    <row r="63" spans="1:6" ht="12.75" customHeight="1">
      <c r="B63" s="23"/>
      <c r="C63" s="23"/>
      <c r="D63" s="23"/>
      <c r="E63" s="23"/>
      <c r="F63" s="23"/>
    </row>
    <row r="64" spans="1:6" ht="12.75" customHeight="1">
      <c r="B64" s="140" t="s">
        <v>57</v>
      </c>
      <c r="C64" s="141"/>
      <c r="D64" s="141"/>
      <c r="E64" s="141"/>
    </row>
    <row r="65" spans="2:5">
      <c r="B65" s="142"/>
      <c r="C65" s="141"/>
      <c r="D65" s="141"/>
      <c r="E65" s="141"/>
    </row>
    <row r="66" spans="2:5">
      <c r="C66" s="141"/>
      <c r="D66" s="141"/>
      <c r="E66" s="141"/>
    </row>
    <row r="67" spans="2:5">
      <c r="B67" s="143"/>
      <c r="C67" s="141"/>
      <c r="D67" s="141"/>
      <c r="E67" s="141"/>
    </row>
    <row r="68" spans="2:5">
      <c r="C68" s="141"/>
      <c r="D68" s="141"/>
      <c r="E68" s="141"/>
    </row>
  </sheetData>
  <mergeCells count="5">
    <mergeCell ref="B1:F1"/>
    <mergeCell ref="B2:B3"/>
    <mergeCell ref="C2:C3"/>
    <mergeCell ref="D2:E2"/>
    <mergeCell ref="B56:F6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2"/>
  </sheetPr>
  <dimension ref="A1:L68"/>
  <sheetViews>
    <sheetView showGridLines="0" zoomScale="85" workbookViewId="0">
      <pane xSplit="2" ySplit="4" topLeftCell="C5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RowHeight="12.75"/>
  <cols>
    <col min="1" max="1" width="4.7109375" style="1" hidden="1" customWidth="1"/>
    <col min="2" max="2" width="24.7109375" style="124" customWidth="1"/>
    <col min="3" max="3" width="11" style="124" customWidth="1"/>
    <col min="4" max="4" width="11.85546875" style="124" customWidth="1"/>
    <col min="5" max="10" width="11" style="124" customWidth="1"/>
    <col min="11" max="256" width="9.140625" style="124"/>
    <col min="257" max="257" width="0" style="124" hidden="1" customWidth="1"/>
    <col min="258" max="258" width="24.7109375" style="124" customWidth="1"/>
    <col min="259" max="259" width="11" style="124" customWidth="1"/>
    <col min="260" max="260" width="11.85546875" style="124" customWidth="1"/>
    <col min="261" max="266" width="11" style="124" customWidth="1"/>
    <col min="267" max="512" width="9.140625" style="124"/>
    <col min="513" max="513" width="0" style="124" hidden="1" customWidth="1"/>
    <col min="514" max="514" width="24.7109375" style="124" customWidth="1"/>
    <col min="515" max="515" width="11" style="124" customWidth="1"/>
    <col min="516" max="516" width="11.85546875" style="124" customWidth="1"/>
    <col min="517" max="522" width="11" style="124" customWidth="1"/>
    <col min="523" max="768" width="9.140625" style="124"/>
    <col min="769" max="769" width="0" style="124" hidden="1" customWidth="1"/>
    <col min="770" max="770" width="24.7109375" style="124" customWidth="1"/>
    <col min="771" max="771" width="11" style="124" customWidth="1"/>
    <col min="772" max="772" width="11.85546875" style="124" customWidth="1"/>
    <col min="773" max="778" width="11" style="124" customWidth="1"/>
    <col min="779" max="1024" width="9.140625" style="124"/>
    <col min="1025" max="1025" width="0" style="124" hidden="1" customWidth="1"/>
    <col min="1026" max="1026" width="24.7109375" style="124" customWidth="1"/>
    <col min="1027" max="1027" width="11" style="124" customWidth="1"/>
    <col min="1028" max="1028" width="11.85546875" style="124" customWidth="1"/>
    <col min="1029" max="1034" width="11" style="124" customWidth="1"/>
    <col min="1035" max="1280" width="9.140625" style="124"/>
    <col min="1281" max="1281" width="0" style="124" hidden="1" customWidth="1"/>
    <col min="1282" max="1282" width="24.7109375" style="124" customWidth="1"/>
    <col min="1283" max="1283" width="11" style="124" customWidth="1"/>
    <col min="1284" max="1284" width="11.85546875" style="124" customWidth="1"/>
    <col min="1285" max="1290" width="11" style="124" customWidth="1"/>
    <col min="1291" max="1536" width="9.140625" style="124"/>
    <col min="1537" max="1537" width="0" style="124" hidden="1" customWidth="1"/>
    <col min="1538" max="1538" width="24.7109375" style="124" customWidth="1"/>
    <col min="1539" max="1539" width="11" style="124" customWidth="1"/>
    <col min="1540" max="1540" width="11.85546875" style="124" customWidth="1"/>
    <col min="1541" max="1546" width="11" style="124" customWidth="1"/>
    <col min="1547" max="1792" width="9.140625" style="124"/>
    <col min="1793" max="1793" width="0" style="124" hidden="1" customWidth="1"/>
    <col min="1794" max="1794" width="24.7109375" style="124" customWidth="1"/>
    <col min="1795" max="1795" width="11" style="124" customWidth="1"/>
    <col min="1796" max="1796" width="11.85546875" style="124" customWidth="1"/>
    <col min="1797" max="1802" width="11" style="124" customWidth="1"/>
    <col min="1803" max="2048" width="9.140625" style="124"/>
    <col min="2049" max="2049" width="0" style="124" hidden="1" customWidth="1"/>
    <col min="2050" max="2050" width="24.7109375" style="124" customWidth="1"/>
    <col min="2051" max="2051" width="11" style="124" customWidth="1"/>
    <col min="2052" max="2052" width="11.85546875" style="124" customWidth="1"/>
    <col min="2053" max="2058" width="11" style="124" customWidth="1"/>
    <col min="2059" max="2304" width="9.140625" style="124"/>
    <col min="2305" max="2305" width="0" style="124" hidden="1" customWidth="1"/>
    <col min="2306" max="2306" width="24.7109375" style="124" customWidth="1"/>
    <col min="2307" max="2307" width="11" style="124" customWidth="1"/>
    <col min="2308" max="2308" width="11.85546875" style="124" customWidth="1"/>
    <col min="2309" max="2314" width="11" style="124" customWidth="1"/>
    <col min="2315" max="2560" width="9.140625" style="124"/>
    <col min="2561" max="2561" width="0" style="124" hidden="1" customWidth="1"/>
    <col min="2562" max="2562" width="24.7109375" style="124" customWidth="1"/>
    <col min="2563" max="2563" width="11" style="124" customWidth="1"/>
    <col min="2564" max="2564" width="11.85546875" style="124" customWidth="1"/>
    <col min="2565" max="2570" width="11" style="124" customWidth="1"/>
    <col min="2571" max="2816" width="9.140625" style="124"/>
    <col min="2817" max="2817" width="0" style="124" hidden="1" customWidth="1"/>
    <col min="2818" max="2818" width="24.7109375" style="124" customWidth="1"/>
    <col min="2819" max="2819" width="11" style="124" customWidth="1"/>
    <col min="2820" max="2820" width="11.85546875" style="124" customWidth="1"/>
    <col min="2821" max="2826" width="11" style="124" customWidth="1"/>
    <col min="2827" max="3072" width="9.140625" style="124"/>
    <col min="3073" max="3073" width="0" style="124" hidden="1" customWidth="1"/>
    <col min="3074" max="3074" width="24.7109375" style="124" customWidth="1"/>
    <col min="3075" max="3075" width="11" style="124" customWidth="1"/>
    <col min="3076" max="3076" width="11.85546875" style="124" customWidth="1"/>
    <col min="3077" max="3082" width="11" style="124" customWidth="1"/>
    <col min="3083" max="3328" width="9.140625" style="124"/>
    <col min="3329" max="3329" width="0" style="124" hidden="1" customWidth="1"/>
    <col min="3330" max="3330" width="24.7109375" style="124" customWidth="1"/>
    <col min="3331" max="3331" width="11" style="124" customWidth="1"/>
    <col min="3332" max="3332" width="11.85546875" style="124" customWidth="1"/>
    <col min="3333" max="3338" width="11" style="124" customWidth="1"/>
    <col min="3339" max="3584" width="9.140625" style="124"/>
    <col min="3585" max="3585" width="0" style="124" hidden="1" customWidth="1"/>
    <col min="3586" max="3586" width="24.7109375" style="124" customWidth="1"/>
    <col min="3587" max="3587" width="11" style="124" customWidth="1"/>
    <col min="3588" max="3588" width="11.85546875" style="124" customWidth="1"/>
    <col min="3589" max="3594" width="11" style="124" customWidth="1"/>
    <col min="3595" max="3840" width="9.140625" style="124"/>
    <col min="3841" max="3841" width="0" style="124" hidden="1" customWidth="1"/>
    <col min="3842" max="3842" width="24.7109375" style="124" customWidth="1"/>
    <col min="3843" max="3843" width="11" style="124" customWidth="1"/>
    <col min="3844" max="3844" width="11.85546875" style="124" customWidth="1"/>
    <col min="3845" max="3850" width="11" style="124" customWidth="1"/>
    <col min="3851" max="4096" width="9.140625" style="124"/>
    <col min="4097" max="4097" width="0" style="124" hidden="1" customWidth="1"/>
    <col min="4098" max="4098" width="24.7109375" style="124" customWidth="1"/>
    <col min="4099" max="4099" width="11" style="124" customWidth="1"/>
    <col min="4100" max="4100" width="11.85546875" style="124" customWidth="1"/>
    <col min="4101" max="4106" width="11" style="124" customWidth="1"/>
    <col min="4107" max="4352" width="9.140625" style="124"/>
    <col min="4353" max="4353" width="0" style="124" hidden="1" customWidth="1"/>
    <col min="4354" max="4354" width="24.7109375" style="124" customWidth="1"/>
    <col min="4355" max="4355" width="11" style="124" customWidth="1"/>
    <col min="4356" max="4356" width="11.85546875" style="124" customWidth="1"/>
    <col min="4357" max="4362" width="11" style="124" customWidth="1"/>
    <col min="4363" max="4608" width="9.140625" style="124"/>
    <col min="4609" max="4609" width="0" style="124" hidden="1" customWidth="1"/>
    <col min="4610" max="4610" width="24.7109375" style="124" customWidth="1"/>
    <col min="4611" max="4611" width="11" style="124" customWidth="1"/>
    <col min="4612" max="4612" width="11.85546875" style="124" customWidth="1"/>
    <col min="4613" max="4618" width="11" style="124" customWidth="1"/>
    <col min="4619" max="4864" width="9.140625" style="124"/>
    <col min="4865" max="4865" width="0" style="124" hidden="1" customWidth="1"/>
    <col min="4866" max="4866" width="24.7109375" style="124" customWidth="1"/>
    <col min="4867" max="4867" width="11" style="124" customWidth="1"/>
    <col min="4868" max="4868" width="11.85546875" style="124" customWidth="1"/>
    <col min="4869" max="4874" width="11" style="124" customWidth="1"/>
    <col min="4875" max="5120" width="9.140625" style="124"/>
    <col min="5121" max="5121" width="0" style="124" hidden="1" customWidth="1"/>
    <col min="5122" max="5122" width="24.7109375" style="124" customWidth="1"/>
    <col min="5123" max="5123" width="11" style="124" customWidth="1"/>
    <col min="5124" max="5124" width="11.85546875" style="124" customWidth="1"/>
    <col min="5125" max="5130" width="11" style="124" customWidth="1"/>
    <col min="5131" max="5376" width="9.140625" style="124"/>
    <col min="5377" max="5377" width="0" style="124" hidden="1" customWidth="1"/>
    <col min="5378" max="5378" width="24.7109375" style="124" customWidth="1"/>
    <col min="5379" max="5379" width="11" style="124" customWidth="1"/>
    <col min="5380" max="5380" width="11.85546875" style="124" customWidth="1"/>
    <col min="5381" max="5386" width="11" style="124" customWidth="1"/>
    <col min="5387" max="5632" width="9.140625" style="124"/>
    <col min="5633" max="5633" width="0" style="124" hidden="1" customWidth="1"/>
    <col min="5634" max="5634" width="24.7109375" style="124" customWidth="1"/>
    <col min="5635" max="5635" width="11" style="124" customWidth="1"/>
    <col min="5636" max="5636" width="11.85546875" style="124" customWidth="1"/>
    <col min="5637" max="5642" width="11" style="124" customWidth="1"/>
    <col min="5643" max="5888" width="9.140625" style="124"/>
    <col min="5889" max="5889" width="0" style="124" hidden="1" customWidth="1"/>
    <col min="5890" max="5890" width="24.7109375" style="124" customWidth="1"/>
    <col min="5891" max="5891" width="11" style="124" customWidth="1"/>
    <col min="5892" max="5892" width="11.85546875" style="124" customWidth="1"/>
    <col min="5893" max="5898" width="11" style="124" customWidth="1"/>
    <col min="5899" max="6144" width="9.140625" style="124"/>
    <col min="6145" max="6145" width="0" style="124" hidden="1" customWidth="1"/>
    <col min="6146" max="6146" width="24.7109375" style="124" customWidth="1"/>
    <col min="6147" max="6147" width="11" style="124" customWidth="1"/>
    <col min="6148" max="6148" width="11.85546875" style="124" customWidth="1"/>
    <col min="6149" max="6154" width="11" style="124" customWidth="1"/>
    <col min="6155" max="6400" width="9.140625" style="124"/>
    <col min="6401" max="6401" width="0" style="124" hidden="1" customWidth="1"/>
    <col min="6402" max="6402" width="24.7109375" style="124" customWidth="1"/>
    <col min="6403" max="6403" width="11" style="124" customWidth="1"/>
    <col min="6404" max="6404" width="11.85546875" style="124" customWidth="1"/>
    <col min="6405" max="6410" width="11" style="124" customWidth="1"/>
    <col min="6411" max="6656" width="9.140625" style="124"/>
    <col min="6657" max="6657" width="0" style="124" hidden="1" customWidth="1"/>
    <col min="6658" max="6658" width="24.7109375" style="124" customWidth="1"/>
    <col min="6659" max="6659" width="11" style="124" customWidth="1"/>
    <col min="6660" max="6660" width="11.85546875" style="124" customWidth="1"/>
    <col min="6661" max="6666" width="11" style="124" customWidth="1"/>
    <col min="6667" max="6912" width="9.140625" style="124"/>
    <col min="6913" max="6913" width="0" style="124" hidden="1" customWidth="1"/>
    <col min="6914" max="6914" width="24.7109375" style="124" customWidth="1"/>
    <col min="6915" max="6915" width="11" style="124" customWidth="1"/>
    <col min="6916" max="6916" width="11.85546875" style="124" customWidth="1"/>
    <col min="6917" max="6922" width="11" style="124" customWidth="1"/>
    <col min="6923" max="7168" width="9.140625" style="124"/>
    <col min="7169" max="7169" width="0" style="124" hidden="1" customWidth="1"/>
    <col min="7170" max="7170" width="24.7109375" style="124" customWidth="1"/>
    <col min="7171" max="7171" width="11" style="124" customWidth="1"/>
    <col min="7172" max="7172" width="11.85546875" style="124" customWidth="1"/>
    <col min="7173" max="7178" width="11" style="124" customWidth="1"/>
    <col min="7179" max="7424" width="9.140625" style="124"/>
    <col min="7425" max="7425" width="0" style="124" hidden="1" customWidth="1"/>
    <col min="7426" max="7426" width="24.7109375" style="124" customWidth="1"/>
    <col min="7427" max="7427" width="11" style="124" customWidth="1"/>
    <col min="7428" max="7428" width="11.85546875" style="124" customWidth="1"/>
    <col min="7429" max="7434" width="11" style="124" customWidth="1"/>
    <col min="7435" max="7680" width="9.140625" style="124"/>
    <col min="7681" max="7681" width="0" style="124" hidden="1" customWidth="1"/>
    <col min="7682" max="7682" width="24.7109375" style="124" customWidth="1"/>
    <col min="7683" max="7683" width="11" style="124" customWidth="1"/>
    <col min="7684" max="7684" width="11.85546875" style="124" customWidth="1"/>
    <col min="7685" max="7690" width="11" style="124" customWidth="1"/>
    <col min="7691" max="7936" width="9.140625" style="124"/>
    <col min="7937" max="7937" width="0" style="124" hidden="1" customWidth="1"/>
    <col min="7938" max="7938" width="24.7109375" style="124" customWidth="1"/>
    <col min="7939" max="7939" width="11" style="124" customWidth="1"/>
    <col min="7940" max="7940" width="11.85546875" style="124" customWidth="1"/>
    <col min="7941" max="7946" width="11" style="124" customWidth="1"/>
    <col min="7947" max="8192" width="9.140625" style="124"/>
    <col min="8193" max="8193" width="0" style="124" hidden="1" customWidth="1"/>
    <col min="8194" max="8194" width="24.7109375" style="124" customWidth="1"/>
    <col min="8195" max="8195" width="11" style="124" customWidth="1"/>
    <col min="8196" max="8196" width="11.85546875" style="124" customWidth="1"/>
    <col min="8197" max="8202" width="11" style="124" customWidth="1"/>
    <col min="8203" max="8448" width="9.140625" style="124"/>
    <col min="8449" max="8449" width="0" style="124" hidden="1" customWidth="1"/>
    <col min="8450" max="8450" width="24.7109375" style="124" customWidth="1"/>
    <col min="8451" max="8451" width="11" style="124" customWidth="1"/>
    <col min="8452" max="8452" width="11.85546875" style="124" customWidth="1"/>
    <col min="8453" max="8458" width="11" style="124" customWidth="1"/>
    <col min="8459" max="8704" width="9.140625" style="124"/>
    <col min="8705" max="8705" width="0" style="124" hidden="1" customWidth="1"/>
    <col min="8706" max="8706" width="24.7109375" style="124" customWidth="1"/>
    <col min="8707" max="8707" width="11" style="124" customWidth="1"/>
    <col min="8708" max="8708" width="11.85546875" style="124" customWidth="1"/>
    <col min="8709" max="8714" width="11" style="124" customWidth="1"/>
    <col min="8715" max="8960" width="9.140625" style="124"/>
    <col min="8961" max="8961" width="0" style="124" hidden="1" customWidth="1"/>
    <col min="8962" max="8962" width="24.7109375" style="124" customWidth="1"/>
    <col min="8963" max="8963" width="11" style="124" customWidth="1"/>
    <col min="8964" max="8964" width="11.85546875" style="124" customWidth="1"/>
    <col min="8965" max="8970" width="11" style="124" customWidth="1"/>
    <col min="8971" max="9216" width="9.140625" style="124"/>
    <col min="9217" max="9217" width="0" style="124" hidden="1" customWidth="1"/>
    <col min="9218" max="9218" width="24.7109375" style="124" customWidth="1"/>
    <col min="9219" max="9219" width="11" style="124" customWidth="1"/>
    <col min="9220" max="9220" width="11.85546875" style="124" customWidth="1"/>
    <col min="9221" max="9226" width="11" style="124" customWidth="1"/>
    <col min="9227" max="9472" width="9.140625" style="124"/>
    <col min="9473" max="9473" width="0" style="124" hidden="1" customWidth="1"/>
    <col min="9474" max="9474" width="24.7109375" style="124" customWidth="1"/>
    <col min="9475" max="9475" width="11" style="124" customWidth="1"/>
    <col min="9476" max="9476" width="11.85546875" style="124" customWidth="1"/>
    <col min="9477" max="9482" width="11" style="124" customWidth="1"/>
    <col min="9483" max="9728" width="9.140625" style="124"/>
    <col min="9729" max="9729" width="0" style="124" hidden="1" customWidth="1"/>
    <col min="9730" max="9730" width="24.7109375" style="124" customWidth="1"/>
    <col min="9731" max="9731" width="11" style="124" customWidth="1"/>
    <col min="9732" max="9732" width="11.85546875" style="124" customWidth="1"/>
    <col min="9733" max="9738" width="11" style="124" customWidth="1"/>
    <col min="9739" max="9984" width="9.140625" style="124"/>
    <col min="9985" max="9985" width="0" style="124" hidden="1" customWidth="1"/>
    <col min="9986" max="9986" width="24.7109375" style="124" customWidth="1"/>
    <col min="9987" max="9987" width="11" style="124" customWidth="1"/>
    <col min="9988" max="9988" width="11.85546875" style="124" customWidth="1"/>
    <col min="9989" max="9994" width="11" style="124" customWidth="1"/>
    <col min="9995" max="10240" width="9.140625" style="124"/>
    <col min="10241" max="10241" width="0" style="124" hidden="1" customWidth="1"/>
    <col min="10242" max="10242" width="24.7109375" style="124" customWidth="1"/>
    <col min="10243" max="10243" width="11" style="124" customWidth="1"/>
    <col min="10244" max="10244" width="11.85546875" style="124" customWidth="1"/>
    <col min="10245" max="10250" width="11" style="124" customWidth="1"/>
    <col min="10251" max="10496" width="9.140625" style="124"/>
    <col min="10497" max="10497" width="0" style="124" hidden="1" customWidth="1"/>
    <col min="10498" max="10498" width="24.7109375" style="124" customWidth="1"/>
    <col min="10499" max="10499" width="11" style="124" customWidth="1"/>
    <col min="10500" max="10500" width="11.85546875" style="124" customWidth="1"/>
    <col min="10501" max="10506" width="11" style="124" customWidth="1"/>
    <col min="10507" max="10752" width="9.140625" style="124"/>
    <col min="10753" max="10753" width="0" style="124" hidden="1" customWidth="1"/>
    <col min="10754" max="10754" width="24.7109375" style="124" customWidth="1"/>
    <col min="10755" max="10755" width="11" style="124" customWidth="1"/>
    <col min="10756" max="10756" width="11.85546875" style="124" customWidth="1"/>
    <col min="10757" max="10762" width="11" style="124" customWidth="1"/>
    <col min="10763" max="11008" width="9.140625" style="124"/>
    <col min="11009" max="11009" width="0" style="124" hidden="1" customWidth="1"/>
    <col min="11010" max="11010" width="24.7109375" style="124" customWidth="1"/>
    <col min="11011" max="11011" width="11" style="124" customWidth="1"/>
    <col min="11012" max="11012" width="11.85546875" style="124" customWidth="1"/>
    <col min="11013" max="11018" width="11" style="124" customWidth="1"/>
    <col min="11019" max="11264" width="9.140625" style="124"/>
    <col min="11265" max="11265" width="0" style="124" hidden="1" customWidth="1"/>
    <col min="11266" max="11266" width="24.7109375" style="124" customWidth="1"/>
    <col min="11267" max="11267" width="11" style="124" customWidth="1"/>
    <col min="11268" max="11268" width="11.85546875" style="124" customWidth="1"/>
    <col min="11269" max="11274" width="11" style="124" customWidth="1"/>
    <col min="11275" max="11520" width="9.140625" style="124"/>
    <col min="11521" max="11521" width="0" style="124" hidden="1" customWidth="1"/>
    <col min="11522" max="11522" width="24.7109375" style="124" customWidth="1"/>
    <col min="11523" max="11523" width="11" style="124" customWidth="1"/>
    <col min="11524" max="11524" width="11.85546875" style="124" customWidth="1"/>
    <col min="11525" max="11530" width="11" style="124" customWidth="1"/>
    <col min="11531" max="11776" width="9.140625" style="124"/>
    <col min="11777" max="11777" width="0" style="124" hidden="1" customWidth="1"/>
    <col min="11778" max="11778" width="24.7109375" style="124" customWidth="1"/>
    <col min="11779" max="11779" width="11" style="124" customWidth="1"/>
    <col min="11780" max="11780" width="11.85546875" style="124" customWidth="1"/>
    <col min="11781" max="11786" width="11" style="124" customWidth="1"/>
    <col min="11787" max="12032" width="9.140625" style="124"/>
    <col min="12033" max="12033" width="0" style="124" hidden="1" customWidth="1"/>
    <col min="12034" max="12034" width="24.7109375" style="124" customWidth="1"/>
    <col min="12035" max="12035" width="11" style="124" customWidth="1"/>
    <col min="12036" max="12036" width="11.85546875" style="124" customWidth="1"/>
    <col min="12037" max="12042" width="11" style="124" customWidth="1"/>
    <col min="12043" max="12288" width="9.140625" style="124"/>
    <col min="12289" max="12289" width="0" style="124" hidden="1" customWidth="1"/>
    <col min="12290" max="12290" width="24.7109375" style="124" customWidth="1"/>
    <col min="12291" max="12291" width="11" style="124" customWidth="1"/>
    <col min="12292" max="12292" width="11.85546875" style="124" customWidth="1"/>
    <col min="12293" max="12298" width="11" style="124" customWidth="1"/>
    <col min="12299" max="12544" width="9.140625" style="124"/>
    <col min="12545" max="12545" width="0" style="124" hidden="1" customWidth="1"/>
    <col min="12546" max="12546" width="24.7109375" style="124" customWidth="1"/>
    <col min="12547" max="12547" width="11" style="124" customWidth="1"/>
    <col min="12548" max="12548" width="11.85546875" style="124" customWidth="1"/>
    <col min="12549" max="12554" width="11" style="124" customWidth="1"/>
    <col min="12555" max="12800" width="9.140625" style="124"/>
    <col min="12801" max="12801" width="0" style="124" hidden="1" customWidth="1"/>
    <col min="12802" max="12802" width="24.7109375" style="124" customWidth="1"/>
    <col min="12803" max="12803" width="11" style="124" customWidth="1"/>
    <col min="12804" max="12804" width="11.85546875" style="124" customWidth="1"/>
    <col min="12805" max="12810" width="11" style="124" customWidth="1"/>
    <col min="12811" max="13056" width="9.140625" style="124"/>
    <col min="13057" max="13057" width="0" style="124" hidden="1" customWidth="1"/>
    <col min="13058" max="13058" width="24.7109375" style="124" customWidth="1"/>
    <col min="13059" max="13059" width="11" style="124" customWidth="1"/>
    <col min="13060" max="13060" width="11.85546875" style="124" customWidth="1"/>
    <col min="13061" max="13066" width="11" style="124" customWidth="1"/>
    <col min="13067" max="13312" width="9.140625" style="124"/>
    <col min="13313" max="13313" width="0" style="124" hidden="1" customWidth="1"/>
    <col min="13314" max="13314" width="24.7109375" style="124" customWidth="1"/>
    <col min="13315" max="13315" width="11" style="124" customWidth="1"/>
    <col min="13316" max="13316" width="11.85546875" style="124" customWidth="1"/>
    <col min="13317" max="13322" width="11" style="124" customWidth="1"/>
    <col min="13323" max="13568" width="9.140625" style="124"/>
    <col min="13569" max="13569" width="0" style="124" hidden="1" customWidth="1"/>
    <col min="13570" max="13570" width="24.7109375" style="124" customWidth="1"/>
    <col min="13571" max="13571" width="11" style="124" customWidth="1"/>
    <col min="13572" max="13572" width="11.85546875" style="124" customWidth="1"/>
    <col min="13573" max="13578" width="11" style="124" customWidth="1"/>
    <col min="13579" max="13824" width="9.140625" style="124"/>
    <col min="13825" max="13825" width="0" style="124" hidden="1" customWidth="1"/>
    <col min="13826" max="13826" width="24.7109375" style="124" customWidth="1"/>
    <col min="13827" max="13827" width="11" style="124" customWidth="1"/>
    <col min="13828" max="13828" width="11.85546875" style="124" customWidth="1"/>
    <col min="13829" max="13834" width="11" style="124" customWidth="1"/>
    <col min="13835" max="14080" width="9.140625" style="124"/>
    <col min="14081" max="14081" width="0" style="124" hidden="1" customWidth="1"/>
    <col min="14082" max="14082" width="24.7109375" style="124" customWidth="1"/>
    <col min="14083" max="14083" width="11" style="124" customWidth="1"/>
    <col min="14084" max="14084" width="11.85546875" style="124" customWidth="1"/>
    <col min="14085" max="14090" width="11" style="124" customWidth="1"/>
    <col min="14091" max="14336" width="9.140625" style="124"/>
    <col min="14337" max="14337" width="0" style="124" hidden="1" customWidth="1"/>
    <col min="14338" max="14338" width="24.7109375" style="124" customWidth="1"/>
    <col min="14339" max="14339" width="11" style="124" customWidth="1"/>
    <col min="14340" max="14340" width="11.85546875" style="124" customWidth="1"/>
    <col min="14341" max="14346" width="11" style="124" customWidth="1"/>
    <col min="14347" max="14592" width="9.140625" style="124"/>
    <col min="14593" max="14593" width="0" style="124" hidden="1" customWidth="1"/>
    <col min="14594" max="14594" width="24.7109375" style="124" customWidth="1"/>
    <col min="14595" max="14595" width="11" style="124" customWidth="1"/>
    <col min="14596" max="14596" width="11.85546875" style="124" customWidth="1"/>
    <col min="14597" max="14602" width="11" style="124" customWidth="1"/>
    <col min="14603" max="14848" width="9.140625" style="124"/>
    <col min="14849" max="14849" width="0" style="124" hidden="1" customWidth="1"/>
    <col min="14850" max="14850" width="24.7109375" style="124" customWidth="1"/>
    <col min="14851" max="14851" width="11" style="124" customWidth="1"/>
    <col min="14852" max="14852" width="11.85546875" style="124" customWidth="1"/>
    <col min="14853" max="14858" width="11" style="124" customWidth="1"/>
    <col min="14859" max="15104" width="9.140625" style="124"/>
    <col min="15105" max="15105" width="0" style="124" hidden="1" customWidth="1"/>
    <col min="15106" max="15106" width="24.7109375" style="124" customWidth="1"/>
    <col min="15107" max="15107" width="11" style="124" customWidth="1"/>
    <col min="15108" max="15108" width="11.85546875" style="124" customWidth="1"/>
    <col min="15109" max="15114" width="11" style="124" customWidth="1"/>
    <col min="15115" max="15360" width="9.140625" style="124"/>
    <col min="15361" max="15361" width="0" style="124" hidden="1" customWidth="1"/>
    <col min="15362" max="15362" width="24.7109375" style="124" customWidth="1"/>
    <col min="15363" max="15363" width="11" style="124" customWidth="1"/>
    <col min="15364" max="15364" width="11.85546875" style="124" customWidth="1"/>
    <col min="15365" max="15370" width="11" style="124" customWidth="1"/>
    <col min="15371" max="15616" width="9.140625" style="124"/>
    <col min="15617" max="15617" width="0" style="124" hidden="1" customWidth="1"/>
    <col min="15618" max="15618" width="24.7109375" style="124" customWidth="1"/>
    <col min="15619" max="15619" width="11" style="124" customWidth="1"/>
    <col min="15620" max="15620" width="11.85546875" style="124" customWidth="1"/>
    <col min="15621" max="15626" width="11" style="124" customWidth="1"/>
    <col min="15627" max="15872" width="9.140625" style="124"/>
    <col min="15873" max="15873" width="0" style="124" hidden="1" customWidth="1"/>
    <col min="15874" max="15874" width="24.7109375" style="124" customWidth="1"/>
    <col min="15875" max="15875" width="11" style="124" customWidth="1"/>
    <col min="15876" max="15876" width="11.85546875" style="124" customWidth="1"/>
    <col min="15877" max="15882" width="11" style="124" customWidth="1"/>
    <col min="15883" max="16128" width="9.140625" style="124"/>
    <col min="16129" max="16129" width="0" style="124" hidden="1" customWidth="1"/>
    <col min="16130" max="16130" width="24.7109375" style="124" customWidth="1"/>
    <col min="16131" max="16131" width="11" style="124" customWidth="1"/>
    <col min="16132" max="16132" width="11.85546875" style="124" customWidth="1"/>
    <col min="16133" max="16138" width="11" style="124" customWidth="1"/>
    <col min="16139" max="16384" width="9.140625" style="124"/>
  </cols>
  <sheetData>
    <row r="1" spans="1:12" ht="48" customHeight="1">
      <c r="B1" s="196" t="s">
        <v>92</v>
      </c>
      <c r="C1" s="196"/>
      <c r="D1" s="196"/>
      <c r="E1" s="196"/>
      <c r="F1" s="196"/>
      <c r="G1" s="196"/>
      <c r="H1" s="196"/>
      <c r="I1" s="196"/>
      <c r="J1" s="196"/>
    </row>
    <row r="2" spans="1:12" ht="12.75" customHeight="1">
      <c r="B2" s="197"/>
      <c r="C2" s="221" t="s">
        <v>1</v>
      </c>
      <c r="D2" s="221"/>
      <c r="E2" s="204" t="s">
        <v>2</v>
      </c>
      <c r="F2" s="204"/>
      <c r="G2" s="204"/>
      <c r="H2" s="204"/>
      <c r="I2" s="205" t="s">
        <v>5</v>
      </c>
      <c r="J2" s="205"/>
    </row>
    <row r="3" spans="1:12" ht="30" customHeight="1">
      <c r="A3" s="4"/>
      <c r="B3" s="197"/>
      <c r="C3" s="206"/>
      <c r="D3" s="206"/>
      <c r="E3" s="144" t="s">
        <v>3</v>
      </c>
      <c r="F3" s="144"/>
      <c r="G3" s="144" t="s">
        <v>4</v>
      </c>
      <c r="H3" s="144"/>
      <c r="I3" s="206"/>
      <c r="J3" s="206"/>
    </row>
    <row r="4" spans="1:12" ht="45.75" customHeight="1">
      <c r="B4" s="203"/>
      <c r="C4" s="145" t="s">
        <v>59</v>
      </c>
      <c r="D4" s="146" t="s">
        <v>60</v>
      </c>
      <c r="E4" s="145" t="s">
        <v>59</v>
      </c>
      <c r="F4" s="146" t="s">
        <v>60</v>
      </c>
      <c r="G4" s="145" t="s">
        <v>59</v>
      </c>
      <c r="H4" s="146" t="s">
        <v>60</v>
      </c>
      <c r="I4" s="145" t="s">
        <v>59</v>
      </c>
      <c r="J4" s="146" t="s">
        <v>60</v>
      </c>
    </row>
    <row r="5" spans="1:12" ht="30" customHeight="1">
      <c r="B5" s="129" t="s">
        <v>6</v>
      </c>
      <c r="C5" s="135">
        <v>733</v>
      </c>
      <c r="D5" s="135">
        <v>364</v>
      </c>
      <c r="E5" s="135">
        <v>129</v>
      </c>
      <c r="F5" s="135">
        <v>77</v>
      </c>
      <c r="G5" s="135">
        <v>27</v>
      </c>
      <c r="H5" s="135">
        <v>8</v>
      </c>
      <c r="I5" s="135">
        <v>1</v>
      </c>
      <c r="J5" s="135">
        <v>0</v>
      </c>
      <c r="L5" s="147"/>
    </row>
    <row r="6" spans="1:12" s="129" customFormat="1" ht="25.5" customHeight="1">
      <c r="A6" s="9"/>
      <c r="B6" s="129" t="s">
        <v>7</v>
      </c>
      <c r="C6" s="148">
        <v>515</v>
      </c>
      <c r="D6" s="148">
        <v>283</v>
      </c>
      <c r="E6" s="148">
        <v>85</v>
      </c>
      <c r="F6" s="148">
        <v>40</v>
      </c>
      <c r="G6" s="148">
        <v>12</v>
      </c>
      <c r="H6" s="148">
        <v>3</v>
      </c>
      <c r="I6" s="148">
        <v>0</v>
      </c>
      <c r="J6" s="148">
        <v>0</v>
      </c>
    </row>
    <row r="7" spans="1:12" ht="12.75" customHeight="1">
      <c r="A7" s="12">
        <v>51</v>
      </c>
      <c r="B7" s="124" t="s">
        <v>8</v>
      </c>
      <c r="C7" s="149">
        <v>10</v>
      </c>
      <c r="D7" s="149">
        <v>5</v>
      </c>
      <c r="E7" s="149">
        <v>1</v>
      </c>
      <c r="F7" s="149">
        <v>0</v>
      </c>
      <c r="G7" s="149">
        <v>0</v>
      </c>
      <c r="H7" s="150">
        <v>0</v>
      </c>
      <c r="I7" s="150">
        <v>0</v>
      </c>
      <c r="J7" s="150">
        <v>0</v>
      </c>
    </row>
    <row r="8" spans="1:12" ht="12.75" customHeight="1">
      <c r="A8" s="12">
        <v>52</v>
      </c>
      <c r="B8" s="124" t="s">
        <v>9</v>
      </c>
      <c r="C8" s="149">
        <v>13</v>
      </c>
      <c r="D8" s="149">
        <v>5</v>
      </c>
      <c r="E8" s="149">
        <v>3</v>
      </c>
      <c r="F8" s="149">
        <v>0</v>
      </c>
      <c r="G8" s="149">
        <v>0</v>
      </c>
      <c r="H8" s="150">
        <v>0</v>
      </c>
      <c r="I8" s="150">
        <v>0</v>
      </c>
      <c r="J8" s="150">
        <v>0</v>
      </c>
    </row>
    <row r="9" spans="1:12" ht="12.75" customHeight="1">
      <c r="A9" s="12">
        <v>86</v>
      </c>
      <c r="B9" s="124" t="s">
        <v>10</v>
      </c>
      <c r="C9" s="150">
        <v>15</v>
      </c>
      <c r="D9" s="150">
        <v>14</v>
      </c>
      <c r="E9" s="150">
        <v>3</v>
      </c>
      <c r="F9" s="150">
        <v>0</v>
      </c>
      <c r="G9" s="150">
        <v>0</v>
      </c>
      <c r="H9" s="150">
        <v>0</v>
      </c>
      <c r="I9" s="150">
        <v>0</v>
      </c>
      <c r="J9" s="150">
        <v>0</v>
      </c>
    </row>
    <row r="10" spans="1:12" ht="12.75" customHeight="1">
      <c r="A10" s="12">
        <v>53</v>
      </c>
      <c r="B10" s="124" t="s">
        <v>11</v>
      </c>
      <c r="C10" s="149">
        <v>3</v>
      </c>
      <c r="D10" s="149">
        <v>3</v>
      </c>
      <c r="E10" s="149">
        <v>0</v>
      </c>
      <c r="F10" s="149">
        <v>0</v>
      </c>
      <c r="G10" s="149">
        <v>0</v>
      </c>
      <c r="H10" s="150">
        <v>0</v>
      </c>
      <c r="I10" s="150">
        <v>0</v>
      </c>
      <c r="J10" s="150">
        <v>0</v>
      </c>
    </row>
    <row r="11" spans="1:12" ht="12.75" customHeight="1">
      <c r="A11" s="12">
        <v>54</v>
      </c>
      <c r="B11" s="124" t="s">
        <v>12</v>
      </c>
      <c r="C11" s="149">
        <v>29</v>
      </c>
      <c r="D11" s="149">
        <v>15</v>
      </c>
      <c r="E11" s="149">
        <v>3</v>
      </c>
      <c r="F11" s="149">
        <v>0</v>
      </c>
      <c r="G11" s="149">
        <v>0</v>
      </c>
      <c r="H11" s="150">
        <v>0</v>
      </c>
      <c r="I11" s="150">
        <v>0</v>
      </c>
      <c r="J11" s="150">
        <v>0</v>
      </c>
    </row>
    <row r="12" spans="1:12" ht="12.75" customHeight="1">
      <c r="A12" s="12">
        <v>55</v>
      </c>
      <c r="B12" s="124" t="s">
        <v>13</v>
      </c>
      <c r="C12" s="149">
        <v>8</v>
      </c>
      <c r="D12" s="149">
        <v>2</v>
      </c>
      <c r="E12" s="149">
        <v>5</v>
      </c>
      <c r="F12" s="149">
        <v>0</v>
      </c>
      <c r="G12" s="149">
        <v>0</v>
      </c>
      <c r="H12" s="150">
        <v>0</v>
      </c>
      <c r="I12" s="150">
        <v>0</v>
      </c>
      <c r="J12" s="150">
        <v>0</v>
      </c>
    </row>
    <row r="13" spans="1:12" ht="12.75" customHeight="1">
      <c r="A13" s="12">
        <v>56</v>
      </c>
      <c r="B13" s="124" t="s">
        <v>14</v>
      </c>
      <c r="C13" s="149">
        <v>5</v>
      </c>
      <c r="D13" s="149">
        <v>0</v>
      </c>
      <c r="E13" s="149">
        <v>0</v>
      </c>
      <c r="F13" s="149">
        <v>0</v>
      </c>
      <c r="G13" s="149">
        <v>0</v>
      </c>
      <c r="H13" s="150">
        <v>0</v>
      </c>
      <c r="I13" s="150">
        <v>0</v>
      </c>
      <c r="J13" s="150">
        <v>0</v>
      </c>
    </row>
    <row r="14" spans="1:12" ht="12.75" customHeight="1">
      <c r="A14" s="12">
        <v>57</v>
      </c>
      <c r="B14" s="124" t="s">
        <v>15</v>
      </c>
      <c r="C14" s="149">
        <v>6</v>
      </c>
      <c r="D14" s="149">
        <v>18</v>
      </c>
      <c r="E14" s="149">
        <v>2</v>
      </c>
      <c r="F14" s="149">
        <v>5</v>
      </c>
      <c r="G14" s="149">
        <v>0</v>
      </c>
      <c r="H14" s="150">
        <v>0</v>
      </c>
      <c r="I14" s="150">
        <v>0</v>
      </c>
      <c r="J14" s="150">
        <v>0</v>
      </c>
    </row>
    <row r="15" spans="1:12" ht="12.75" customHeight="1">
      <c r="A15" s="12">
        <v>59</v>
      </c>
      <c r="B15" s="124" t="s">
        <v>16</v>
      </c>
      <c r="C15" s="149">
        <v>4</v>
      </c>
      <c r="D15" s="149">
        <v>8</v>
      </c>
      <c r="E15" s="149">
        <v>1</v>
      </c>
      <c r="F15" s="149">
        <v>2</v>
      </c>
      <c r="G15" s="149">
        <v>0</v>
      </c>
      <c r="H15" s="150">
        <v>0</v>
      </c>
      <c r="I15" s="150">
        <v>0</v>
      </c>
      <c r="J15" s="150">
        <v>0</v>
      </c>
    </row>
    <row r="16" spans="1:12" ht="12.75" customHeight="1">
      <c r="A16" s="12">
        <v>60</v>
      </c>
      <c r="B16" s="124" t="s">
        <v>17</v>
      </c>
      <c r="C16" s="149">
        <v>3</v>
      </c>
      <c r="D16" s="149">
        <v>8</v>
      </c>
      <c r="E16" s="149">
        <v>0</v>
      </c>
      <c r="F16" s="149">
        <v>1</v>
      </c>
      <c r="G16" s="149">
        <v>0</v>
      </c>
      <c r="H16" s="150">
        <v>0</v>
      </c>
      <c r="I16" s="150">
        <v>0</v>
      </c>
      <c r="J16" s="150">
        <v>0</v>
      </c>
    </row>
    <row r="17" spans="1:10" ht="12.75" customHeight="1">
      <c r="A17" s="12">
        <v>61</v>
      </c>
      <c r="B17" s="151" t="s">
        <v>18</v>
      </c>
      <c r="C17" s="149">
        <v>25</v>
      </c>
      <c r="D17" s="149">
        <v>8</v>
      </c>
      <c r="E17" s="149">
        <v>1</v>
      </c>
      <c r="F17" s="149">
        <v>1</v>
      </c>
      <c r="G17" s="149">
        <v>1</v>
      </c>
      <c r="H17" s="150">
        <v>0</v>
      </c>
      <c r="I17" s="150">
        <v>0</v>
      </c>
      <c r="J17" s="150">
        <v>0</v>
      </c>
    </row>
    <row r="18" spans="1:10" s="184" customFormat="1" ht="12.75" customHeight="1">
      <c r="A18" s="12"/>
      <c r="B18" s="132" t="s">
        <v>125</v>
      </c>
      <c r="C18" s="165" t="s">
        <v>126</v>
      </c>
      <c r="D18" s="165" t="s">
        <v>126</v>
      </c>
      <c r="E18" s="165" t="s">
        <v>126</v>
      </c>
      <c r="F18" s="165" t="s">
        <v>126</v>
      </c>
      <c r="G18" s="149" t="s">
        <v>126</v>
      </c>
      <c r="H18" s="150" t="s">
        <v>126</v>
      </c>
      <c r="I18" s="150" t="s">
        <v>126</v>
      </c>
      <c r="J18" s="150" t="s">
        <v>126</v>
      </c>
    </row>
    <row r="19" spans="1:10" ht="12.75" customHeight="1">
      <c r="A19" s="12">
        <v>62</v>
      </c>
      <c r="B19" s="124" t="s">
        <v>19</v>
      </c>
      <c r="C19" s="149">
        <v>11</v>
      </c>
      <c r="D19" s="149">
        <v>19</v>
      </c>
      <c r="E19" s="149">
        <v>0</v>
      </c>
      <c r="F19" s="149">
        <v>0</v>
      </c>
      <c r="G19" s="149">
        <v>0</v>
      </c>
      <c r="H19" s="150">
        <v>0</v>
      </c>
      <c r="I19" s="150">
        <v>0</v>
      </c>
      <c r="J19" s="150">
        <v>0</v>
      </c>
    </row>
    <row r="20" spans="1:10" ht="12.75" customHeight="1">
      <c r="A20" s="12">
        <v>58</v>
      </c>
      <c r="B20" s="124" t="s">
        <v>20</v>
      </c>
      <c r="C20" s="149">
        <v>5</v>
      </c>
      <c r="D20" s="149">
        <v>4</v>
      </c>
      <c r="E20" s="149">
        <v>3</v>
      </c>
      <c r="F20" s="149">
        <v>1</v>
      </c>
      <c r="G20" s="149">
        <v>0</v>
      </c>
      <c r="H20" s="150">
        <v>0</v>
      </c>
      <c r="I20" s="150">
        <v>0</v>
      </c>
      <c r="J20" s="150">
        <v>0</v>
      </c>
    </row>
    <row r="21" spans="1:10" ht="12.75" customHeight="1">
      <c r="A21" s="12">
        <v>63</v>
      </c>
      <c r="B21" s="124" t="s">
        <v>21</v>
      </c>
      <c r="C21" s="149">
        <v>30</v>
      </c>
      <c r="D21" s="149">
        <v>15</v>
      </c>
      <c r="E21" s="149">
        <v>1</v>
      </c>
      <c r="F21" s="149">
        <v>2</v>
      </c>
      <c r="G21" s="149">
        <v>0</v>
      </c>
      <c r="H21" s="150">
        <v>0</v>
      </c>
      <c r="I21" s="150">
        <v>0</v>
      </c>
      <c r="J21" s="150">
        <v>0</v>
      </c>
    </row>
    <row r="22" spans="1:10" ht="12.75" customHeight="1">
      <c r="A22" s="12">
        <v>64</v>
      </c>
      <c r="B22" s="124" t="s">
        <v>22</v>
      </c>
      <c r="C22" s="149">
        <v>41</v>
      </c>
      <c r="D22" s="149">
        <v>13</v>
      </c>
      <c r="E22" s="149">
        <v>7</v>
      </c>
      <c r="F22" s="149">
        <v>1</v>
      </c>
      <c r="G22" s="149">
        <v>2</v>
      </c>
      <c r="H22" s="150">
        <v>0</v>
      </c>
      <c r="I22" s="150">
        <v>0</v>
      </c>
      <c r="J22" s="150">
        <v>0</v>
      </c>
    </row>
    <row r="23" spans="1:10" ht="12.75" customHeight="1">
      <c r="A23" s="12">
        <v>65</v>
      </c>
      <c r="B23" s="124" t="s">
        <v>23</v>
      </c>
      <c r="C23" s="149">
        <v>9</v>
      </c>
      <c r="D23" s="149">
        <v>10</v>
      </c>
      <c r="E23" s="149">
        <v>0</v>
      </c>
      <c r="F23" s="149">
        <v>0</v>
      </c>
      <c r="G23" s="149">
        <v>0</v>
      </c>
      <c r="H23" s="150">
        <v>0</v>
      </c>
      <c r="I23" s="150">
        <v>0</v>
      </c>
      <c r="J23" s="150">
        <v>0</v>
      </c>
    </row>
    <row r="24" spans="1:10" ht="12.75" customHeight="1">
      <c r="A24" s="12">
        <v>67</v>
      </c>
      <c r="B24" s="124" t="s">
        <v>24</v>
      </c>
      <c r="C24" s="149">
        <v>14</v>
      </c>
      <c r="D24" s="149">
        <v>9</v>
      </c>
      <c r="E24" s="149">
        <v>2</v>
      </c>
      <c r="F24" s="149">
        <v>5</v>
      </c>
      <c r="G24" s="149">
        <v>0</v>
      </c>
      <c r="H24" s="150">
        <v>3</v>
      </c>
      <c r="I24" s="150">
        <v>0</v>
      </c>
      <c r="J24" s="150">
        <v>0</v>
      </c>
    </row>
    <row r="25" spans="1:10" ht="12.75" customHeight="1">
      <c r="A25" s="12">
        <v>68</v>
      </c>
      <c r="B25" s="124" t="s">
        <v>25</v>
      </c>
      <c r="C25" s="149">
        <v>19</v>
      </c>
      <c r="D25" s="149">
        <v>15</v>
      </c>
      <c r="E25" s="149">
        <v>2</v>
      </c>
      <c r="F25" s="149">
        <v>3</v>
      </c>
      <c r="G25" s="149">
        <v>1</v>
      </c>
      <c r="H25" s="150">
        <v>0</v>
      </c>
      <c r="I25" s="150">
        <v>0</v>
      </c>
      <c r="J25" s="150">
        <v>0</v>
      </c>
    </row>
    <row r="26" spans="1:10" ht="12.75" customHeight="1">
      <c r="A26" s="12">
        <v>69</v>
      </c>
      <c r="B26" s="124" t="s">
        <v>26</v>
      </c>
      <c r="C26" s="149">
        <v>14</v>
      </c>
      <c r="D26" s="149">
        <v>4</v>
      </c>
      <c r="E26" s="149">
        <v>0</v>
      </c>
      <c r="F26" s="149">
        <v>2</v>
      </c>
      <c r="G26" s="149">
        <v>1</v>
      </c>
      <c r="H26" s="150">
        <v>0</v>
      </c>
      <c r="I26" s="150">
        <v>0</v>
      </c>
      <c r="J26" s="150">
        <v>0</v>
      </c>
    </row>
    <row r="27" spans="1:10" ht="12.75" customHeight="1">
      <c r="A27" s="12">
        <v>70</v>
      </c>
      <c r="B27" s="124" t="s">
        <v>27</v>
      </c>
      <c r="C27" s="149">
        <v>16</v>
      </c>
      <c r="D27" s="149">
        <v>5</v>
      </c>
      <c r="E27" s="149">
        <v>1</v>
      </c>
      <c r="F27" s="149">
        <v>0</v>
      </c>
      <c r="G27" s="149">
        <v>0</v>
      </c>
      <c r="H27" s="150">
        <v>0</v>
      </c>
      <c r="I27" s="150">
        <v>0</v>
      </c>
      <c r="J27" s="150">
        <v>0</v>
      </c>
    </row>
    <row r="28" spans="1:10" ht="12.75" customHeight="1">
      <c r="A28" s="12">
        <v>71</v>
      </c>
      <c r="B28" s="152" t="s">
        <v>28</v>
      </c>
      <c r="C28" s="149">
        <v>4</v>
      </c>
      <c r="D28" s="149">
        <v>1</v>
      </c>
      <c r="E28" s="149">
        <v>0</v>
      </c>
      <c r="F28" s="149">
        <v>0</v>
      </c>
      <c r="G28" s="149">
        <v>0</v>
      </c>
      <c r="H28" s="150">
        <v>0</v>
      </c>
      <c r="I28" s="150">
        <v>0</v>
      </c>
      <c r="J28" s="150">
        <v>0</v>
      </c>
    </row>
    <row r="29" spans="1:10" ht="12.75" customHeight="1">
      <c r="A29" s="12">
        <v>73</v>
      </c>
      <c r="B29" s="124" t="s">
        <v>29</v>
      </c>
      <c r="C29" s="153">
        <v>29</v>
      </c>
      <c r="D29" s="153">
        <v>9</v>
      </c>
      <c r="E29" s="153">
        <v>6</v>
      </c>
      <c r="F29" s="153">
        <v>3</v>
      </c>
      <c r="G29" s="153">
        <v>1</v>
      </c>
      <c r="H29" s="153">
        <v>0</v>
      </c>
      <c r="I29" s="153">
        <v>0</v>
      </c>
      <c r="J29" s="153">
        <v>0</v>
      </c>
    </row>
    <row r="30" spans="1:10" ht="12.75" customHeight="1">
      <c r="A30" s="12">
        <v>74</v>
      </c>
      <c r="B30" s="124" t="s">
        <v>30</v>
      </c>
      <c r="C30" s="149">
        <v>13</v>
      </c>
      <c r="D30" s="149">
        <v>2</v>
      </c>
      <c r="E30" s="149">
        <v>3</v>
      </c>
      <c r="F30" s="149">
        <v>1</v>
      </c>
      <c r="G30" s="149">
        <v>0</v>
      </c>
      <c r="H30" s="150">
        <v>0</v>
      </c>
      <c r="I30" s="150">
        <v>0</v>
      </c>
      <c r="J30" s="150">
        <v>0</v>
      </c>
    </row>
    <row r="31" spans="1:10" ht="12.75" customHeight="1">
      <c r="A31" s="12">
        <v>75</v>
      </c>
      <c r="B31" s="124" t="s">
        <v>31</v>
      </c>
      <c r="C31" s="149">
        <v>12</v>
      </c>
      <c r="D31" s="149">
        <v>1</v>
      </c>
      <c r="E31" s="149">
        <v>4</v>
      </c>
      <c r="F31" s="149">
        <v>0</v>
      </c>
      <c r="G31" s="149">
        <v>1</v>
      </c>
      <c r="H31" s="150">
        <v>0</v>
      </c>
      <c r="I31" s="150">
        <v>0</v>
      </c>
      <c r="J31" s="150">
        <v>0</v>
      </c>
    </row>
    <row r="32" spans="1:10" ht="12.75" customHeight="1">
      <c r="A32" s="12">
        <v>76</v>
      </c>
      <c r="B32" s="124" t="s">
        <v>32</v>
      </c>
      <c r="C32" s="150">
        <v>6</v>
      </c>
      <c r="D32" s="150">
        <v>8</v>
      </c>
      <c r="E32" s="150">
        <v>2</v>
      </c>
      <c r="F32" s="150">
        <v>0</v>
      </c>
      <c r="G32" s="150">
        <v>0</v>
      </c>
      <c r="H32" s="150">
        <v>0</v>
      </c>
      <c r="I32" s="150">
        <v>0</v>
      </c>
      <c r="J32" s="150">
        <v>0</v>
      </c>
    </row>
    <row r="33" spans="1:12" ht="12.75" customHeight="1">
      <c r="A33" s="12">
        <v>79</v>
      </c>
      <c r="B33" s="124" t="s">
        <v>33</v>
      </c>
      <c r="C33" s="150">
        <v>19</v>
      </c>
      <c r="D33" s="150">
        <v>27</v>
      </c>
      <c r="E33" s="150">
        <v>4</v>
      </c>
      <c r="F33" s="150">
        <v>4</v>
      </c>
      <c r="G33" s="150">
        <v>2</v>
      </c>
      <c r="H33" s="150">
        <v>0</v>
      </c>
      <c r="I33" s="150">
        <v>0</v>
      </c>
      <c r="J33" s="150">
        <v>0</v>
      </c>
    </row>
    <row r="34" spans="1:12" ht="12.75" customHeight="1">
      <c r="A34" s="12">
        <v>80</v>
      </c>
      <c r="B34" s="124" t="s">
        <v>34</v>
      </c>
      <c r="C34" s="150">
        <v>15</v>
      </c>
      <c r="D34" s="150">
        <v>8</v>
      </c>
      <c r="E34" s="150">
        <v>2</v>
      </c>
      <c r="F34" s="150">
        <v>2</v>
      </c>
      <c r="G34" s="150">
        <v>0</v>
      </c>
      <c r="H34" s="150">
        <v>0</v>
      </c>
      <c r="I34" s="150">
        <v>0</v>
      </c>
      <c r="J34" s="150">
        <v>0</v>
      </c>
    </row>
    <row r="35" spans="1:12" ht="12.75" customHeight="1">
      <c r="A35" s="12">
        <v>81</v>
      </c>
      <c r="B35" s="124" t="s">
        <v>35</v>
      </c>
      <c r="C35" s="150">
        <v>14</v>
      </c>
      <c r="D35" s="150">
        <v>8</v>
      </c>
      <c r="E35" s="150">
        <v>2</v>
      </c>
      <c r="F35" s="150">
        <v>2</v>
      </c>
      <c r="G35" s="150">
        <v>0</v>
      </c>
      <c r="H35" s="150">
        <v>0</v>
      </c>
      <c r="I35" s="150">
        <v>0</v>
      </c>
      <c r="J35" s="150">
        <v>0</v>
      </c>
    </row>
    <row r="36" spans="1:12" ht="12.75" customHeight="1">
      <c r="A36" s="12">
        <v>83</v>
      </c>
      <c r="B36" s="124" t="s">
        <v>36</v>
      </c>
      <c r="C36" s="150">
        <v>10</v>
      </c>
      <c r="D36" s="150">
        <v>4</v>
      </c>
      <c r="E36" s="150">
        <v>2</v>
      </c>
      <c r="F36" s="150">
        <v>1</v>
      </c>
      <c r="G36" s="150">
        <v>0</v>
      </c>
      <c r="H36" s="150">
        <v>0</v>
      </c>
      <c r="I36" s="150">
        <v>0</v>
      </c>
      <c r="J36" s="150">
        <v>0</v>
      </c>
    </row>
    <row r="37" spans="1:12" ht="12.75" customHeight="1">
      <c r="A37" s="12">
        <v>84</v>
      </c>
      <c r="B37" s="124" t="s">
        <v>37</v>
      </c>
      <c r="C37" s="150">
        <v>5</v>
      </c>
      <c r="D37" s="150">
        <v>4</v>
      </c>
      <c r="E37" s="150">
        <v>1</v>
      </c>
      <c r="F37" s="150">
        <v>1</v>
      </c>
      <c r="G37" s="150">
        <v>0</v>
      </c>
      <c r="H37" s="150">
        <v>0</v>
      </c>
      <c r="I37" s="150">
        <v>0</v>
      </c>
      <c r="J37" s="150">
        <v>0</v>
      </c>
    </row>
    <row r="38" spans="1:12" ht="12.75" customHeight="1">
      <c r="A38" s="12">
        <v>85</v>
      </c>
      <c r="B38" s="124" t="s">
        <v>38</v>
      </c>
      <c r="C38" s="150">
        <v>27</v>
      </c>
      <c r="D38" s="150">
        <v>2</v>
      </c>
      <c r="E38" s="150">
        <v>8</v>
      </c>
      <c r="F38" s="150">
        <v>0</v>
      </c>
      <c r="G38" s="150">
        <v>1</v>
      </c>
      <c r="H38" s="150">
        <v>0</v>
      </c>
      <c r="I38" s="150">
        <v>0</v>
      </c>
      <c r="J38" s="150">
        <v>0</v>
      </c>
    </row>
    <row r="39" spans="1:12" ht="12.75" customHeight="1">
      <c r="A39" s="12">
        <v>87</v>
      </c>
      <c r="B39" s="124" t="s">
        <v>39</v>
      </c>
      <c r="C39" s="150">
        <v>10</v>
      </c>
      <c r="D39" s="150">
        <v>2</v>
      </c>
      <c r="E39" s="150">
        <v>1</v>
      </c>
      <c r="F39" s="150">
        <v>0</v>
      </c>
      <c r="G39" s="150">
        <v>0</v>
      </c>
      <c r="H39" s="150">
        <v>0</v>
      </c>
      <c r="I39" s="150">
        <v>0</v>
      </c>
      <c r="J39" s="150">
        <v>0</v>
      </c>
    </row>
    <row r="40" spans="1:12" ht="12.75" customHeight="1">
      <c r="A40" s="12">
        <v>90</v>
      </c>
      <c r="B40" s="124" t="s">
        <v>40</v>
      </c>
      <c r="C40" s="150">
        <v>11</v>
      </c>
      <c r="D40" s="150">
        <v>5</v>
      </c>
      <c r="E40" s="150">
        <v>2</v>
      </c>
      <c r="F40" s="150">
        <v>1</v>
      </c>
      <c r="G40" s="150">
        <v>0</v>
      </c>
      <c r="H40" s="150">
        <v>0</v>
      </c>
      <c r="I40" s="150">
        <v>0</v>
      </c>
      <c r="J40" s="150">
        <v>0</v>
      </c>
    </row>
    <row r="41" spans="1:12" ht="12.75" customHeight="1">
      <c r="A41" s="12">
        <v>91</v>
      </c>
      <c r="B41" s="124" t="s">
        <v>41</v>
      </c>
      <c r="C41" s="150">
        <v>15</v>
      </c>
      <c r="D41" s="150">
        <v>4</v>
      </c>
      <c r="E41" s="150">
        <v>6</v>
      </c>
      <c r="F41" s="150">
        <v>1</v>
      </c>
      <c r="G41" s="150">
        <v>0</v>
      </c>
      <c r="H41" s="150">
        <v>0</v>
      </c>
      <c r="I41" s="150">
        <v>0</v>
      </c>
      <c r="J41" s="150">
        <v>0</v>
      </c>
      <c r="K41" s="129"/>
    </row>
    <row r="42" spans="1:12" ht="12.75" customHeight="1">
      <c r="A42" s="12">
        <v>92</v>
      </c>
      <c r="B42" s="124" t="s">
        <v>42</v>
      </c>
      <c r="C42" s="150">
        <v>20</v>
      </c>
      <c r="D42" s="150">
        <v>8</v>
      </c>
      <c r="E42" s="150">
        <v>4</v>
      </c>
      <c r="F42" s="150">
        <v>1</v>
      </c>
      <c r="G42" s="150">
        <v>0</v>
      </c>
      <c r="H42" s="150">
        <v>0</v>
      </c>
      <c r="I42" s="150">
        <v>0</v>
      </c>
      <c r="J42" s="150">
        <v>0</v>
      </c>
    </row>
    <row r="43" spans="1:12" ht="12.75" customHeight="1">
      <c r="A43" s="12">
        <v>94</v>
      </c>
      <c r="B43" s="124" t="s">
        <v>43</v>
      </c>
      <c r="C43" s="150">
        <v>11</v>
      </c>
      <c r="D43" s="150">
        <v>4</v>
      </c>
      <c r="E43" s="150">
        <v>1</v>
      </c>
      <c r="F43" s="150">
        <v>0</v>
      </c>
      <c r="G43" s="150">
        <v>0</v>
      </c>
      <c r="H43" s="150">
        <v>0</v>
      </c>
      <c r="I43" s="150">
        <v>0</v>
      </c>
      <c r="J43" s="150">
        <v>0</v>
      </c>
    </row>
    <row r="44" spans="1:12" ht="12.75" customHeight="1">
      <c r="A44" s="12">
        <v>96</v>
      </c>
      <c r="B44" s="124" t="s">
        <v>44</v>
      </c>
      <c r="C44" s="150">
        <v>9</v>
      </c>
      <c r="D44" s="150">
        <v>4</v>
      </c>
      <c r="E44" s="150">
        <v>1</v>
      </c>
      <c r="F44" s="150">
        <v>0</v>
      </c>
      <c r="G44" s="150">
        <v>2</v>
      </c>
      <c r="H44" s="150">
        <v>0</v>
      </c>
      <c r="I44" s="150">
        <v>0</v>
      </c>
      <c r="J44" s="150">
        <v>0</v>
      </c>
      <c r="L44" s="129"/>
    </row>
    <row r="45" spans="1:12" ht="12.75" customHeight="1">
      <c r="A45" s="12">
        <v>98</v>
      </c>
      <c r="B45" s="124" t="s">
        <v>45</v>
      </c>
      <c r="C45" s="150">
        <v>5</v>
      </c>
      <c r="D45" s="150">
        <v>2</v>
      </c>
      <c r="E45" s="150">
        <v>1</v>
      </c>
      <c r="F45" s="150">
        <v>0</v>
      </c>
      <c r="G45" s="150">
        <v>0</v>
      </c>
      <c r="H45" s="150">
        <v>0</v>
      </c>
      <c r="I45" s="150">
        <v>0</v>
      </c>
      <c r="J45" s="150">
        <v>0</v>
      </c>
      <c r="L45" s="154"/>
    </row>
    <row r="46" spans="1:12" ht="12.75" customHeight="1">
      <c r="A46" s="12">
        <v>72</v>
      </c>
      <c r="B46" s="152" t="s">
        <v>46</v>
      </c>
      <c r="C46" s="149">
        <v>0</v>
      </c>
      <c r="D46" s="149">
        <v>0</v>
      </c>
      <c r="E46" s="149">
        <v>0</v>
      </c>
      <c r="F46" s="149">
        <v>0</v>
      </c>
      <c r="G46" s="149">
        <v>0</v>
      </c>
      <c r="H46" s="150">
        <v>0</v>
      </c>
      <c r="I46" s="150">
        <v>0</v>
      </c>
      <c r="J46" s="150">
        <v>0</v>
      </c>
    </row>
    <row r="47" spans="1:12" s="129" customFormat="1" ht="25.5" customHeight="1">
      <c r="B47" s="129" t="s">
        <v>47</v>
      </c>
      <c r="C47" s="155">
        <v>218</v>
      </c>
      <c r="D47" s="155">
        <v>81</v>
      </c>
      <c r="E47" s="155">
        <v>44</v>
      </c>
      <c r="F47" s="155">
        <v>37</v>
      </c>
      <c r="G47" s="155">
        <v>15</v>
      </c>
      <c r="H47" s="155">
        <v>5</v>
      </c>
      <c r="I47" s="155">
        <v>1</v>
      </c>
      <c r="J47" s="155">
        <v>0</v>
      </c>
    </row>
    <row r="48" spans="1:12" ht="12.75" customHeight="1">
      <c r="A48" s="12">
        <v>66</v>
      </c>
      <c r="B48" s="124" t="s">
        <v>48</v>
      </c>
      <c r="C48" s="149">
        <v>38</v>
      </c>
      <c r="D48" s="149">
        <v>7</v>
      </c>
      <c r="E48" s="149">
        <v>3</v>
      </c>
      <c r="F48" s="149">
        <v>9</v>
      </c>
      <c r="G48" s="149">
        <v>4</v>
      </c>
      <c r="H48" s="150">
        <v>4</v>
      </c>
      <c r="I48" s="150">
        <v>1</v>
      </c>
      <c r="J48" s="150">
        <v>0</v>
      </c>
    </row>
    <row r="49" spans="1:12" ht="12.75" customHeight="1">
      <c r="A49" s="12">
        <v>78</v>
      </c>
      <c r="B49" s="124" t="s">
        <v>49</v>
      </c>
      <c r="C49" s="149">
        <v>14</v>
      </c>
      <c r="D49" s="149">
        <v>1</v>
      </c>
      <c r="E49" s="149">
        <v>2</v>
      </c>
      <c r="F49" s="149">
        <v>0</v>
      </c>
      <c r="G49" s="149">
        <v>0</v>
      </c>
      <c r="H49" s="150">
        <v>0</v>
      </c>
      <c r="I49" s="150">
        <v>0</v>
      </c>
      <c r="J49" s="150">
        <v>0</v>
      </c>
    </row>
    <row r="50" spans="1:12" ht="12.75" customHeight="1">
      <c r="A50" s="12">
        <v>89</v>
      </c>
      <c r="B50" s="124" t="s">
        <v>50</v>
      </c>
      <c r="C50" s="149">
        <v>17</v>
      </c>
      <c r="D50" s="149">
        <v>3</v>
      </c>
      <c r="E50" s="149">
        <v>1</v>
      </c>
      <c r="F50" s="149">
        <v>1</v>
      </c>
      <c r="G50" s="149">
        <v>0</v>
      </c>
      <c r="H50" s="150">
        <v>0</v>
      </c>
      <c r="I50" s="150">
        <v>0</v>
      </c>
      <c r="J50" s="150">
        <v>0</v>
      </c>
    </row>
    <row r="51" spans="1:12" ht="12.75" customHeight="1">
      <c r="A51" s="12">
        <v>93</v>
      </c>
      <c r="B51" s="124" t="s">
        <v>51</v>
      </c>
      <c r="C51" s="149">
        <v>7</v>
      </c>
      <c r="D51" s="149">
        <v>4</v>
      </c>
      <c r="E51" s="149">
        <v>0</v>
      </c>
      <c r="F51" s="149">
        <v>1</v>
      </c>
      <c r="G51" s="149">
        <v>3</v>
      </c>
      <c r="H51" s="150">
        <v>0</v>
      </c>
      <c r="I51" s="150">
        <v>0</v>
      </c>
      <c r="J51" s="150">
        <v>0</v>
      </c>
    </row>
    <row r="52" spans="1:12" ht="12.75" customHeight="1">
      <c r="A52" s="12">
        <v>95</v>
      </c>
      <c r="B52" s="124" t="s">
        <v>52</v>
      </c>
      <c r="C52" s="149">
        <v>54</v>
      </c>
      <c r="D52" s="149">
        <v>6</v>
      </c>
      <c r="E52" s="149">
        <v>6</v>
      </c>
      <c r="F52" s="149">
        <v>2</v>
      </c>
      <c r="G52" s="149">
        <v>3</v>
      </c>
      <c r="H52" s="150">
        <v>0</v>
      </c>
      <c r="I52" s="150">
        <v>0</v>
      </c>
      <c r="J52" s="150">
        <v>0</v>
      </c>
    </row>
    <row r="53" spans="1:12" ht="12.75" customHeight="1">
      <c r="A53" s="12">
        <v>97</v>
      </c>
      <c r="B53" s="124" t="s">
        <v>53</v>
      </c>
      <c r="C53" s="149">
        <v>37</v>
      </c>
      <c r="D53" s="149">
        <v>8</v>
      </c>
      <c r="E53" s="149">
        <v>6</v>
      </c>
      <c r="F53" s="149">
        <v>0</v>
      </c>
      <c r="G53" s="149">
        <v>1</v>
      </c>
      <c r="H53" s="150">
        <v>0</v>
      </c>
      <c r="I53" s="150">
        <v>0</v>
      </c>
      <c r="J53" s="150">
        <v>0</v>
      </c>
    </row>
    <row r="54" spans="1:12" ht="12.75" customHeight="1">
      <c r="A54" s="12">
        <v>77</v>
      </c>
      <c r="B54" s="156" t="s">
        <v>54</v>
      </c>
      <c r="C54" s="157">
        <v>51</v>
      </c>
      <c r="D54" s="157">
        <v>52</v>
      </c>
      <c r="E54" s="157">
        <v>26</v>
      </c>
      <c r="F54" s="157">
        <v>24</v>
      </c>
      <c r="G54" s="157">
        <v>4</v>
      </c>
      <c r="H54" s="158">
        <v>1</v>
      </c>
      <c r="I54" s="158">
        <v>0</v>
      </c>
      <c r="J54" s="158">
        <v>0</v>
      </c>
    </row>
    <row r="55" spans="1:12" s="154" customFormat="1" ht="13.5" customHeight="1">
      <c r="A55" s="1"/>
      <c r="C55" s="159"/>
      <c r="D55" s="160"/>
      <c r="E55" s="159"/>
      <c r="F55" s="159"/>
      <c r="G55" s="159"/>
      <c r="H55" s="159"/>
      <c r="I55" s="159"/>
      <c r="J55" s="159"/>
      <c r="K55" s="124"/>
      <c r="L55" s="124"/>
    </row>
    <row r="56" spans="1:12" ht="18.75" customHeight="1">
      <c r="B56" s="12" t="s">
        <v>55</v>
      </c>
    </row>
    <row r="57" spans="1:12">
      <c r="B57" s="201" t="s">
        <v>56</v>
      </c>
      <c r="C57" s="201"/>
      <c r="D57" s="201"/>
      <c r="E57" s="201"/>
      <c r="F57" s="201"/>
      <c r="G57" s="201"/>
      <c r="H57" s="201"/>
      <c r="I57" s="201"/>
      <c r="J57" s="201"/>
    </row>
    <row r="58" spans="1:12" ht="12.75" customHeight="1">
      <c r="B58" s="201"/>
      <c r="C58" s="201"/>
      <c r="D58" s="201"/>
      <c r="E58" s="201"/>
      <c r="F58" s="201"/>
      <c r="G58" s="201"/>
      <c r="H58" s="201"/>
      <c r="I58" s="201"/>
      <c r="J58" s="201"/>
    </row>
    <row r="59" spans="1:12" ht="18.75" customHeight="1">
      <c r="B59" s="201"/>
      <c r="C59" s="201"/>
      <c r="D59" s="201"/>
      <c r="E59" s="201"/>
      <c r="F59" s="201"/>
      <c r="G59" s="201"/>
      <c r="H59" s="201"/>
      <c r="I59" s="201"/>
      <c r="J59" s="201"/>
    </row>
    <row r="60" spans="1:12" ht="18.75" customHeight="1">
      <c r="B60" s="201"/>
      <c r="C60" s="201"/>
      <c r="D60" s="201"/>
      <c r="E60" s="201"/>
      <c r="F60" s="201"/>
      <c r="G60" s="201"/>
      <c r="H60" s="201"/>
      <c r="I60" s="201"/>
      <c r="J60" s="201"/>
    </row>
    <row r="61" spans="1:12" ht="18.75" customHeight="1">
      <c r="B61" s="201"/>
      <c r="C61" s="201"/>
      <c r="D61" s="201"/>
      <c r="E61" s="201"/>
      <c r="F61" s="201"/>
      <c r="G61" s="201"/>
      <c r="H61" s="201"/>
      <c r="I61" s="201"/>
      <c r="J61" s="201"/>
    </row>
    <row r="62" spans="1:12" ht="17.25" customHeight="1">
      <c r="B62" s="201"/>
      <c r="C62" s="201"/>
      <c r="D62" s="201"/>
      <c r="E62" s="201"/>
      <c r="F62" s="201"/>
      <c r="G62" s="201"/>
      <c r="H62" s="201"/>
      <c r="I62" s="201"/>
      <c r="J62" s="201"/>
    </row>
    <row r="63" spans="1:12" ht="15.75" customHeight="1">
      <c r="B63" s="12" t="s">
        <v>61</v>
      </c>
    </row>
    <row r="64" spans="1:12" ht="9.75" customHeight="1">
      <c r="B64" s="201"/>
      <c r="C64" s="201"/>
      <c r="D64" s="201"/>
      <c r="E64" s="57"/>
      <c r="F64" s="57"/>
      <c r="G64" s="57"/>
      <c r="H64" s="57"/>
      <c r="I64" s="57"/>
      <c r="J64" s="57"/>
    </row>
    <row r="65" spans="2:2" ht="18.75" customHeight="1">
      <c r="B65" s="140" t="s">
        <v>62</v>
      </c>
    </row>
    <row r="66" spans="2:2">
      <c r="B66" s="142"/>
    </row>
    <row r="68" spans="2:2">
      <c r="B68" s="143"/>
    </row>
  </sheetData>
  <mergeCells count="7">
    <mergeCell ref="B64:D64"/>
    <mergeCell ref="B1:J1"/>
    <mergeCell ref="B2:B4"/>
    <mergeCell ref="C2:D3"/>
    <mergeCell ref="E2:H2"/>
    <mergeCell ref="I2:J3"/>
    <mergeCell ref="B57:J6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2"/>
  </sheetPr>
  <dimension ref="A1:K65"/>
  <sheetViews>
    <sheetView showGridLines="0" zoomScale="85" workbookViewId="0">
      <pane xSplit="2" ySplit="3" topLeftCell="C4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RowHeight="12.75"/>
  <cols>
    <col min="1" max="1" width="3.140625" style="1" hidden="1" customWidth="1"/>
    <col min="2" max="2" width="24.7109375" style="124" customWidth="1"/>
    <col min="3" max="3" width="18" style="163" customWidth="1"/>
    <col min="4" max="4" width="18.42578125" style="163" customWidth="1"/>
    <col min="5" max="5" width="13.85546875" style="163" customWidth="1"/>
    <col min="6" max="6" width="14" style="163" customWidth="1"/>
    <col min="7" max="256" width="9.140625" style="124"/>
    <col min="257" max="257" width="0" style="124" hidden="1" customWidth="1"/>
    <col min="258" max="258" width="24.7109375" style="124" customWidth="1"/>
    <col min="259" max="259" width="18" style="124" customWidth="1"/>
    <col min="260" max="260" width="18.42578125" style="124" customWidth="1"/>
    <col min="261" max="261" width="13.85546875" style="124" customWidth="1"/>
    <col min="262" max="262" width="14" style="124" customWidth="1"/>
    <col min="263" max="512" width="9.140625" style="124"/>
    <col min="513" max="513" width="0" style="124" hidden="1" customWidth="1"/>
    <col min="514" max="514" width="24.7109375" style="124" customWidth="1"/>
    <col min="515" max="515" width="18" style="124" customWidth="1"/>
    <col min="516" max="516" width="18.42578125" style="124" customWidth="1"/>
    <col min="517" max="517" width="13.85546875" style="124" customWidth="1"/>
    <col min="518" max="518" width="14" style="124" customWidth="1"/>
    <col min="519" max="768" width="9.140625" style="124"/>
    <col min="769" max="769" width="0" style="124" hidden="1" customWidth="1"/>
    <col min="770" max="770" width="24.7109375" style="124" customWidth="1"/>
    <col min="771" max="771" width="18" style="124" customWidth="1"/>
    <col min="772" max="772" width="18.42578125" style="124" customWidth="1"/>
    <col min="773" max="773" width="13.85546875" style="124" customWidth="1"/>
    <col min="774" max="774" width="14" style="124" customWidth="1"/>
    <col min="775" max="1024" width="9.140625" style="124"/>
    <col min="1025" max="1025" width="0" style="124" hidden="1" customWidth="1"/>
    <col min="1026" max="1026" width="24.7109375" style="124" customWidth="1"/>
    <col min="1027" max="1027" width="18" style="124" customWidth="1"/>
    <col min="1028" max="1028" width="18.42578125" style="124" customWidth="1"/>
    <col min="1029" max="1029" width="13.85546875" style="124" customWidth="1"/>
    <col min="1030" max="1030" width="14" style="124" customWidth="1"/>
    <col min="1031" max="1280" width="9.140625" style="124"/>
    <col min="1281" max="1281" width="0" style="124" hidden="1" customWidth="1"/>
    <col min="1282" max="1282" width="24.7109375" style="124" customWidth="1"/>
    <col min="1283" max="1283" width="18" style="124" customWidth="1"/>
    <col min="1284" max="1284" width="18.42578125" style="124" customWidth="1"/>
    <col min="1285" max="1285" width="13.85546875" style="124" customWidth="1"/>
    <col min="1286" max="1286" width="14" style="124" customWidth="1"/>
    <col min="1287" max="1536" width="9.140625" style="124"/>
    <col min="1537" max="1537" width="0" style="124" hidden="1" customWidth="1"/>
    <col min="1538" max="1538" width="24.7109375" style="124" customWidth="1"/>
    <col min="1539" max="1539" width="18" style="124" customWidth="1"/>
    <col min="1540" max="1540" width="18.42578125" style="124" customWidth="1"/>
    <col min="1541" max="1541" width="13.85546875" style="124" customWidth="1"/>
    <col min="1542" max="1542" width="14" style="124" customWidth="1"/>
    <col min="1543" max="1792" width="9.140625" style="124"/>
    <col min="1793" max="1793" width="0" style="124" hidden="1" customWidth="1"/>
    <col min="1794" max="1794" width="24.7109375" style="124" customWidth="1"/>
    <col min="1795" max="1795" width="18" style="124" customWidth="1"/>
    <col min="1796" max="1796" width="18.42578125" style="124" customWidth="1"/>
    <col min="1797" max="1797" width="13.85546875" style="124" customWidth="1"/>
    <col min="1798" max="1798" width="14" style="124" customWidth="1"/>
    <col min="1799" max="2048" width="9.140625" style="124"/>
    <col min="2049" max="2049" width="0" style="124" hidden="1" customWidth="1"/>
    <col min="2050" max="2050" width="24.7109375" style="124" customWidth="1"/>
    <col min="2051" max="2051" width="18" style="124" customWidth="1"/>
    <col min="2052" max="2052" width="18.42578125" style="124" customWidth="1"/>
    <col min="2053" max="2053" width="13.85546875" style="124" customWidth="1"/>
    <col min="2054" max="2054" width="14" style="124" customWidth="1"/>
    <col min="2055" max="2304" width="9.140625" style="124"/>
    <col min="2305" max="2305" width="0" style="124" hidden="1" customWidth="1"/>
    <col min="2306" max="2306" width="24.7109375" style="124" customWidth="1"/>
    <col min="2307" max="2307" width="18" style="124" customWidth="1"/>
    <col min="2308" max="2308" width="18.42578125" style="124" customWidth="1"/>
    <col min="2309" max="2309" width="13.85546875" style="124" customWidth="1"/>
    <col min="2310" max="2310" width="14" style="124" customWidth="1"/>
    <col min="2311" max="2560" width="9.140625" style="124"/>
    <col min="2561" max="2561" width="0" style="124" hidden="1" customWidth="1"/>
    <col min="2562" max="2562" width="24.7109375" style="124" customWidth="1"/>
    <col min="2563" max="2563" width="18" style="124" customWidth="1"/>
    <col min="2564" max="2564" width="18.42578125" style="124" customWidth="1"/>
    <col min="2565" max="2565" width="13.85546875" style="124" customWidth="1"/>
    <col min="2566" max="2566" width="14" style="124" customWidth="1"/>
    <col min="2567" max="2816" width="9.140625" style="124"/>
    <col min="2817" max="2817" width="0" style="124" hidden="1" customWidth="1"/>
    <col min="2818" max="2818" width="24.7109375" style="124" customWidth="1"/>
    <col min="2819" max="2819" width="18" style="124" customWidth="1"/>
    <col min="2820" max="2820" width="18.42578125" style="124" customWidth="1"/>
    <col min="2821" max="2821" width="13.85546875" style="124" customWidth="1"/>
    <col min="2822" max="2822" width="14" style="124" customWidth="1"/>
    <col min="2823" max="3072" width="9.140625" style="124"/>
    <col min="3073" max="3073" width="0" style="124" hidden="1" customWidth="1"/>
    <col min="3074" max="3074" width="24.7109375" style="124" customWidth="1"/>
    <col min="3075" max="3075" width="18" style="124" customWidth="1"/>
    <col min="3076" max="3076" width="18.42578125" style="124" customWidth="1"/>
    <col min="3077" max="3077" width="13.85546875" style="124" customWidth="1"/>
    <col min="3078" max="3078" width="14" style="124" customWidth="1"/>
    <col min="3079" max="3328" width="9.140625" style="124"/>
    <col min="3329" max="3329" width="0" style="124" hidden="1" customWidth="1"/>
    <col min="3330" max="3330" width="24.7109375" style="124" customWidth="1"/>
    <col min="3331" max="3331" width="18" style="124" customWidth="1"/>
    <col min="3332" max="3332" width="18.42578125" style="124" customWidth="1"/>
    <col min="3333" max="3333" width="13.85546875" style="124" customWidth="1"/>
    <col min="3334" max="3334" width="14" style="124" customWidth="1"/>
    <col min="3335" max="3584" width="9.140625" style="124"/>
    <col min="3585" max="3585" width="0" style="124" hidden="1" customWidth="1"/>
    <col min="3586" max="3586" width="24.7109375" style="124" customWidth="1"/>
    <col min="3587" max="3587" width="18" style="124" customWidth="1"/>
    <col min="3588" max="3588" width="18.42578125" style="124" customWidth="1"/>
    <col min="3589" max="3589" width="13.85546875" style="124" customWidth="1"/>
    <col min="3590" max="3590" width="14" style="124" customWidth="1"/>
    <col min="3591" max="3840" width="9.140625" style="124"/>
    <col min="3841" max="3841" width="0" style="124" hidden="1" customWidth="1"/>
    <col min="3842" max="3842" width="24.7109375" style="124" customWidth="1"/>
    <col min="3843" max="3843" width="18" style="124" customWidth="1"/>
    <col min="3844" max="3844" width="18.42578125" style="124" customWidth="1"/>
    <col min="3845" max="3845" width="13.85546875" style="124" customWidth="1"/>
    <col min="3846" max="3846" width="14" style="124" customWidth="1"/>
    <col min="3847" max="4096" width="9.140625" style="124"/>
    <col min="4097" max="4097" width="0" style="124" hidden="1" customWidth="1"/>
    <col min="4098" max="4098" width="24.7109375" style="124" customWidth="1"/>
    <col min="4099" max="4099" width="18" style="124" customWidth="1"/>
    <col min="4100" max="4100" width="18.42578125" style="124" customWidth="1"/>
    <col min="4101" max="4101" width="13.85546875" style="124" customWidth="1"/>
    <col min="4102" max="4102" width="14" style="124" customWidth="1"/>
    <col min="4103" max="4352" width="9.140625" style="124"/>
    <col min="4353" max="4353" width="0" style="124" hidden="1" customWidth="1"/>
    <col min="4354" max="4354" width="24.7109375" style="124" customWidth="1"/>
    <col min="4355" max="4355" width="18" style="124" customWidth="1"/>
    <col min="4356" max="4356" width="18.42578125" style="124" customWidth="1"/>
    <col min="4357" max="4357" width="13.85546875" style="124" customWidth="1"/>
    <col min="4358" max="4358" width="14" style="124" customWidth="1"/>
    <col min="4359" max="4608" width="9.140625" style="124"/>
    <col min="4609" max="4609" width="0" style="124" hidden="1" customWidth="1"/>
    <col min="4610" max="4610" width="24.7109375" style="124" customWidth="1"/>
    <col min="4611" max="4611" width="18" style="124" customWidth="1"/>
    <col min="4612" max="4612" width="18.42578125" style="124" customWidth="1"/>
    <col min="4613" max="4613" width="13.85546875" style="124" customWidth="1"/>
    <col min="4614" max="4614" width="14" style="124" customWidth="1"/>
    <col min="4615" max="4864" width="9.140625" style="124"/>
    <col min="4865" max="4865" width="0" style="124" hidden="1" customWidth="1"/>
    <col min="4866" max="4866" width="24.7109375" style="124" customWidth="1"/>
    <col min="4867" max="4867" width="18" style="124" customWidth="1"/>
    <col min="4868" max="4868" width="18.42578125" style="124" customWidth="1"/>
    <col min="4869" max="4869" width="13.85546875" style="124" customWidth="1"/>
    <col min="4870" max="4870" width="14" style="124" customWidth="1"/>
    <col min="4871" max="5120" width="9.140625" style="124"/>
    <col min="5121" max="5121" width="0" style="124" hidden="1" customWidth="1"/>
    <col min="5122" max="5122" width="24.7109375" style="124" customWidth="1"/>
    <col min="5123" max="5123" width="18" style="124" customWidth="1"/>
    <col min="5124" max="5124" width="18.42578125" style="124" customWidth="1"/>
    <col min="5125" max="5125" width="13.85546875" style="124" customWidth="1"/>
    <col min="5126" max="5126" width="14" style="124" customWidth="1"/>
    <col min="5127" max="5376" width="9.140625" style="124"/>
    <col min="5377" max="5377" width="0" style="124" hidden="1" customWidth="1"/>
    <col min="5378" max="5378" width="24.7109375" style="124" customWidth="1"/>
    <col min="5379" max="5379" width="18" style="124" customWidth="1"/>
    <col min="5380" max="5380" width="18.42578125" style="124" customWidth="1"/>
    <col min="5381" max="5381" width="13.85546875" style="124" customWidth="1"/>
    <col min="5382" max="5382" width="14" style="124" customWidth="1"/>
    <col min="5383" max="5632" width="9.140625" style="124"/>
    <col min="5633" max="5633" width="0" style="124" hidden="1" customWidth="1"/>
    <col min="5634" max="5634" width="24.7109375" style="124" customWidth="1"/>
    <col min="5635" max="5635" width="18" style="124" customWidth="1"/>
    <col min="5636" max="5636" width="18.42578125" style="124" customWidth="1"/>
    <col min="5637" max="5637" width="13.85546875" style="124" customWidth="1"/>
    <col min="5638" max="5638" width="14" style="124" customWidth="1"/>
    <col min="5639" max="5888" width="9.140625" style="124"/>
    <col min="5889" max="5889" width="0" style="124" hidden="1" customWidth="1"/>
    <col min="5890" max="5890" width="24.7109375" style="124" customWidth="1"/>
    <col min="5891" max="5891" width="18" style="124" customWidth="1"/>
    <col min="5892" max="5892" width="18.42578125" style="124" customWidth="1"/>
    <col min="5893" max="5893" width="13.85546875" style="124" customWidth="1"/>
    <col min="5894" max="5894" width="14" style="124" customWidth="1"/>
    <col min="5895" max="6144" width="9.140625" style="124"/>
    <col min="6145" max="6145" width="0" style="124" hidden="1" customWidth="1"/>
    <col min="6146" max="6146" width="24.7109375" style="124" customWidth="1"/>
    <col min="6147" max="6147" width="18" style="124" customWidth="1"/>
    <col min="6148" max="6148" width="18.42578125" style="124" customWidth="1"/>
    <col min="6149" max="6149" width="13.85546875" style="124" customWidth="1"/>
    <col min="6150" max="6150" width="14" style="124" customWidth="1"/>
    <col min="6151" max="6400" width="9.140625" style="124"/>
    <col min="6401" max="6401" width="0" style="124" hidden="1" customWidth="1"/>
    <col min="6402" max="6402" width="24.7109375" style="124" customWidth="1"/>
    <col min="6403" max="6403" width="18" style="124" customWidth="1"/>
    <col min="6404" max="6404" width="18.42578125" style="124" customWidth="1"/>
    <col min="6405" max="6405" width="13.85546875" style="124" customWidth="1"/>
    <col min="6406" max="6406" width="14" style="124" customWidth="1"/>
    <col min="6407" max="6656" width="9.140625" style="124"/>
    <col min="6657" max="6657" width="0" style="124" hidden="1" customWidth="1"/>
    <col min="6658" max="6658" width="24.7109375" style="124" customWidth="1"/>
    <col min="6659" max="6659" width="18" style="124" customWidth="1"/>
    <col min="6660" max="6660" width="18.42578125" style="124" customWidth="1"/>
    <col min="6661" max="6661" width="13.85546875" style="124" customWidth="1"/>
    <col min="6662" max="6662" width="14" style="124" customWidth="1"/>
    <col min="6663" max="6912" width="9.140625" style="124"/>
    <col min="6913" max="6913" width="0" style="124" hidden="1" customWidth="1"/>
    <col min="6914" max="6914" width="24.7109375" style="124" customWidth="1"/>
    <col min="6915" max="6915" width="18" style="124" customWidth="1"/>
    <col min="6916" max="6916" width="18.42578125" style="124" customWidth="1"/>
    <col min="6917" max="6917" width="13.85546875" style="124" customWidth="1"/>
    <col min="6918" max="6918" width="14" style="124" customWidth="1"/>
    <col min="6919" max="7168" width="9.140625" style="124"/>
    <col min="7169" max="7169" width="0" style="124" hidden="1" customWidth="1"/>
    <col min="7170" max="7170" width="24.7109375" style="124" customWidth="1"/>
    <col min="7171" max="7171" width="18" style="124" customWidth="1"/>
    <col min="7172" max="7172" width="18.42578125" style="124" customWidth="1"/>
    <col min="7173" max="7173" width="13.85546875" style="124" customWidth="1"/>
    <col min="7174" max="7174" width="14" style="124" customWidth="1"/>
    <col min="7175" max="7424" width="9.140625" style="124"/>
    <col min="7425" max="7425" width="0" style="124" hidden="1" customWidth="1"/>
    <col min="7426" max="7426" width="24.7109375" style="124" customWidth="1"/>
    <col min="7427" max="7427" width="18" style="124" customWidth="1"/>
    <col min="7428" max="7428" width="18.42578125" style="124" customWidth="1"/>
    <col min="7429" max="7429" width="13.85546875" style="124" customWidth="1"/>
    <col min="7430" max="7430" width="14" style="124" customWidth="1"/>
    <col min="7431" max="7680" width="9.140625" style="124"/>
    <col min="7681" max="7681" width="0" style="124" hidden="1" customWidth="1"/>
    <col min="7682" max="7682" width="24.7109375" style="124" customWidth="1"/>
    <col min="7683" max="7683" width="18" style="124" customWidth="1"/>
    <col min="7684" max="7684" width="18.42578125" style="124" customWidth="1"/>
    <col min="7685" max="7685" width="13.85546875" style="124" customWidth="1"/>
    <col min="7686" max="7686" width="14" style="124" customWidth="1"/>
    <col min="7687" max="7936" width="9.140625" style="124"/>
    <col min="7937" max="7937" width="0" style="124" hidden="1" customWidth="1"/>
    <col min="7938" max="7938" width="24.7109375" style="124" customWidth="1"/>
    <col min="7939" max="7939" width="18" style="124" customWidth="1"/>
    <col min="7940" max="7940" width="18.42578125" style="124" customWidth="1"/>
    <col min="7941" max="7941" width="13.85546875" style="124" customWidth="1"/>
    <col min="7942" max="7942" width="14" style="124" customWidth="1"/>
    <col min="7943" max="8192" width="9.140625" style="124"/>
    <col min="8193" max="8193" width="0" style="124" hidden="1" customWidth="1"/>
    <col min="8194" max="8194" width="24.7109375" style="124" customWidth="1"/>
    <col min="8195" max="8195" width="18" style="124" customWidth="1"/>
    <col min="8196" max="8196" width="18.42578125" style="124" customWidth="1"/>
    <col min="8197" max="8197" width="13.85546875" style="124" customWidth="1"/>
    <col min="8198" max="8198" width="14" style="124" customWidth="1"/>
    <col min="8199" max="8448" width="9.140625" style="124"/>
    <col min="8449" max="8449" width="0" style="124" hidden="1" customWidth="1"/>
    <col min="8450" max="8450" width="24.7109375" style="124" customWidth="1"/>
    <col min="8451" max="8451" width="18" style="124" customWidth="1"/>
    <col min="8452" max="8452" width="18.42578125" style="124" customWidth="1"/>
    <col min="8453" max="8453" width="13.85546875" style="124" customWidth="1"/>
    <col min="8454" max="8454" width="14" style="124" customWidth="1"/>
    <col min="8455" max="8704" width="9.140625" style="124"/>
    <col min="8705" max="8705" width="0" style="124" hidden="1" customWidth="1"/>
    <col min="8706" max="8706" width="24.7109375" style="124" customWidth="1"/>
    <col min="8707" max="8707" width="18" style="124" customWidth="1"/>
    <col min="8708" max="8708" width="18.42578125" style="124" customWidth="1"/>
    <col min="8709" max="8709" width="13.85546875" style="124" customWidth="1"/>
    <col min="8710" max="8710" width="14" style="124" customWidth="1"/>
    <col min="8711" max="8960" width="9.140625" style="124"/>
    <col min="8961" max="8961" width="0" style="124" hidden="1" customWidth="1"/>
    <col min="8962" max="8962" width="24.7109375" style="124" customWidth="1"/>
    <col min="8963" max="8963" width="18" style="124" customWidth="1"/>
    <col min="8964" max="8964" width="18.42578125" style="124" customWidth="1"/>
    <col min="8965" max="8965" width="13.85546875" style="124" customWidth="1"/>
    <col min="8966" max="8966" width="14" style="124" customWidth="1"/>
    <col min="8967" max="9216" width="9.140625" style="124"/>
    <col min="9217" max="9217" width="0" style="124" hidden="1" customWidth="1"/>
    <col min="9218" max="9218" width="24.7109375" style="124" customWidth="1"/>
    <col min="9219" max="9219" width="18" style="124" customWidth="1"/>
    <col min="9220" max="9220" width="18.42578125" style="124" customWidth="1"/>
    <col min="9221" max="9221" width="13.85546875" style="124" customWidth="1"/>
    <col min="9222" max="9222" width="14" style="124" customWidth="1"/>
    <col min="9223" max="9472" width="9.140625" style="124"/>
    <col min="9473" max="9473" width="0" style="124" hidden="1" customWidth="1"/>
    <col min="9474" max="9474" width="24.7109375" style="124" customWidth="1"/>
    <col min="9475" max="9475" width="18" style="124" customWidth="1"/>
    <col min="9476" max="9476" width="18.42578125" style="124" customWidth="1"/>
    <col min="9477" max="9477" width="13.85546875" style="124" customWidth="1"/>
    <col min="9478" max="9478" width="14" style="124" customWidth="1"/>
    <col min="9479" max="9728" width="9.140625" style="124"/>
    <col min="9729" max="9729" width="0" style="124" hidden="1" customWidth="1"/>
    <col min="9730" max="9730" width="24.7109375" style="124" customWidth="1"/>
    <col min="9731" max="9731" width="18" style="124" customWidth="1"/>
    <col min="9732" max="9732" width="18.42578125" style="124" customWidth="1"/>
    <col min="9733" max="9733" width="13.85546875" style="124" customWidth="1"/>
    <col min="9734" max="9734" width="14" style="124" customWidth="1"/>
    <col min="9735" max="9984" width="9.140625" style="124"/>
    <col min="9985" max="9985" width="0" style="124" hidden="1" customWidth="1"/>
    <col min="9986" max="9986" width="24.7109375" style="124" customWidth="1"/>
    <col min="9987" max="9987" width="18" style="124" customWidth="1"/>
    <col min="9988" max="9988" width="18.42578125" style="124" customWidth="1"/>
    <col min="9989" max="9989" width="13.85546875" style="124" customWidth="1"/>
    <col min="9990" max="9990" width="14" style="124" customWidth="1"/>
    <col min="9991" max="10240" width="9.140625" style="124"/>
    <col min="10241" max="10241" width="0" style="124" hidden="1" customWidth="1"/>
    <col min="10242" max="10242" width="24.7109375" style="124" customWidth="1"/>
    <col min="10243" max="10243" width="18" style="124" customWidth="1"/>
    <col min="10244" max="10244" width="18.42578125" style="124" customWidth="1"/>
    <col min="10245" max="10245" width="13.85546875" style="124" customWidth="1"/>
    <col min="10246" max="10246" width="14" style="124" customWidth="1"/>
    <col min="10247" max="10496" width="9.140625" style="124"/>
    <col min="10497" max="10497" width="0" style="124" hidden="1" customWidth="1"/>
    <col min="10498" max="10498" width="24.7109375" style="124" customWidth="1"/>
    <col min="10499" max="10499" width="18" style="124" customWidth="1"/>
    <col min="10500" max="10500" width="18.42578125" style="124" customWidth="1"/>
    <col min="10501" max="10501" width="13.85546875" style="124" customWidth="1"/>
    <col min="10502" max="10502" width="14" style="124" customWidth="1"/>
    <col min="10503" max="10752" width="9.140625" style="124"/>
    <col min="10753" max="10753" width="0" style="124" hidden="1" customWidth="1"/>
    <col min="10754" max="10754" width="24.7109375" style="124" customWidth="1"/>
    <col min="10755" max="10755" width="18" style="124" customWidth="1"/>
    <col min="10756" max="10756" width="18.42578125" style="124" customWidth="1"/>
    <col min="10757" max="10757" width="13.85546875" style="124" customWidth="1"/>
    <col min="10758" max="10758" width="14" style="124" customWidth="1"/>
    <col min="10759" max="11008" width="9.140625" style="124"/>
    <col min="11009" max="11009" width="0" style="124" hidden="1" customWidth="1"/>
    <col min="11010" max="11010" width="24.7109375" style="124" customWidth="1"/>
    <col min="11011" max="11011" width="18" style="124" customWidth="1"/>
    <col min="11012" max="11012" width="18.42578125" style="124" customWidth="1"/>
    <col min="11013" max="11013" width="13.85546875" style="124" customWidth="1"/>
    <col min="11014" max="11014" width="14" style="124" customWidth="1"/>
    <col min="11015" max="11264" width="9.140625" style="124"/>
    <col min="11265" max="11265" width="0" style="124" hidden="1" customWidth="1"/>
    <col min="11266" max="11266" width="24.7109375" style="124" customWidth="1"/>
    <col min="11267" max="11267" width="18" style="124" customWidth="1"/>
    <col min="11268" max="11268" width="18.42578125" style="124" customWidth="1"/>
    <col min="11269" max="11269" width="13.85546875" style="124" customWidth="1"/>
    <col min="11270" max="11270" width="14" style="124" customWidth="1"/>
    <col min="11271" max="11520" width="9.140625" style="124"/>
    <col min="11521" max="11521" width="0" style="124" hidden="1" customWidth="1"/>
    <col min="11522" max="11522" width="24.7109375" style="124" customWidth="1"/>
    <col min="11523" max="11523" width="18" style="124" customWidth="1"/>
    <col min="11524" max="11524" width="18.42578125" style="124" customWidth="1"/>
    <col min="11525" max="11525" width="13.85546875" style="124" customWidth="1"/>
    <col min="11526" max="11526" width="14" style="124" customWidth="1"/>
    <col min="11527" max="11776" width="9.140625" style="124"/>
    <col min="11777" max="11777" width="0" style="124" hidden="1" customWidth="1"/>
    <col min="11778" max="11778" width="24.7109375" style="124" customWidth="1"/>
    <col min="11779" max="11779" width="18" style="124" customWidth="1"/>
    <col min="11780" max="11780" width="18.42578125" style="124" customWidth="1"/>
    <col min="11781" max="11781" width="13.85546875" style="124" customWidth="1"/>
    <col min="11782" max="11782" width="14" style="124" customWidth="1"/>
    <col min="11783" max="12032" width="9.140625" style="124"/>
    <col min="12033" max="12033" width="0" style="124" hidden="1" customWidth="1"/>
    <col min="12034" max="12034" width="24.7109375" style="124" customWidth="1"/>
    <col min="12035" max="12035" width="18" style="124" customWidth="1"/>
    <col min="12036" max="12036" width="18.42578125" style="124" customWidth="1"/>
    <col min="12037" max="12037" width="13.85546875" style="124" customWidth="1"/>
    <col min="12038" max="12038" width="14" style="124" customWidth="1"/>
    <col min="12039" max="12288" width="9.140625" style="124"/>
    <col min="12289" max="12289" width="0" style="124" hidden="1" customWidth="1"/>
    <col min="12290" max="12290" width="24.7109375" style="124" customWidth="1"/>
    <col min="12291" max="12291" width="18" style="124" customWidth="1"/>
    <col min="12292" max="12292" width="18.42578125" style="124" customWidth="1"/>
    <col min="12293" max="12293" width="13.85546875" style="124" customWidth="1"/>
    <col min="12294" max="12294" width="14" style="124" customWidth="1"/>
    <col min="12295" max="12544" width="9.140625" style="124"/>
    <col min="12545" max="12545" width="0" style="124" hidden="1" customWidth="1"/>
    <col min="12546" max="12546" width="24.7109375" style="124" customWidth="1"/>
    <col min="12547" max="12547" width="18" style="124" customWidth="1"/>
    <col min="12548" max="12548" width="18.42578125" style="124" customWidth="1"/>
    <col min="12549" max="12549" width="13.85546875" style="124" customWidth="1"/>
    <col min="12550" max="12550" width="14" style="124" customWidth="1"/>
    <col min="12551" max="12800" width="9.140625" style="124"/>
    <col min="12801" max="12801" width="0" style="124" hidden="1" customWidth="1"/>
    <col min="12802" max="12802" width="24.7109375" style="124" customWidth="1"/>
    <col min="12803" max="12803" width="18" style="124" customWidth="1"/>
    <col min="12804" max="12804" width="18.42578125" style="124" customWidth="1"/>
    <col min="12805" max="12805" width="13.85546875" style="124" customWidth="1"/>
    <col min="12806" max="12806" width="14" style="124" customWidth="1"/>
    <col min="12807" max="13056" width="9.140625" style="124"/>
    <col min="13057" max="13057" width="0" style="124" hidden="1" customWidth="1"/>
    <col min="13058" max="13058" width="24.7109375" style="124" customWidth="1"/>
    <col min="13059" max="13059" width="18" style="124" customWidth="1"/>
    <col min="13060" max="13060" width="18.42578125" style="124" customWidth="1"/>
    <col min="13061" max="13061" width="13.85546875" style="124" customWidth="1"/>
    <col min="13062" max="13062" width="14" style="124" customWidth="1"/>
    <col min="13063" max="13312" width="9.140625" style="124"/>
    <col min="13313" max="13313" width="0" style="124" hidden="1" customWidth="1"/>
    <col min="13314" max="13314" width="24.7109375" style="124" customWidth="1"/>
    <col min="13315" max="13315" width="18" style="124" customWidth="1"/>
    <col min="13316" max="13316" width="18.42578125" style="124" customWidth="1"/>
    <col min="13317" max="13317" width="13.85546875" style="124" customWidth="1"/>
    <col min="13318" max="13318" width="14" style="124" customWidth="1"/>
    <col min="13319" max="13568" width="9.140625" style="124"/>
    <col min="13569" max="13569" width="0" style="124" hidden="1" customWidth="1"/>
    <col min="13570" max="13570" width="24.7109375" style="124" customWidth="1"/>
    <col min="13571" max="13571" width="18" style="124" customWidth="1"/>
    <col min="13572" max="13572" width="18.42578125" style="124" customWidth="1"/>
    <col min="13573" max="13573" width="13.85546875" style="124" customWidth="1"/>
    <col min="13574" max="13574" width="14" style="124" customWidth="1"/>
    <col min="13575" max="13824" width="9.140625" style="124"/>
    <col min="13825" max="13825" width="0" style="124" hidden="1" customWidth="1"/>
    <col min="13826" max="13826" width="24.7109375" style="124" customWidth="1"/>
    <col min="13827" max="13827" width="18" style="124" customWidth="1"/>
    <col min="13828" max="13828" width="18.42578125" style="124" customWidth="1"/>
    <col min="13829" max="13829" width="13.85546875" style="124" customWidth="1"/>
    <col min="13830" max="13830" width="14" style="124" customWidth="1"/>
    <col min="13831" max="14080" width="9.140625" style="124"/>
    <col min="14081" max="14081" width="0" style="124" hidden="1" customWidth="1"/>
    <col min="14082" max="14082" width="24.7109375" style="124" customWidth="1"/>
    <col min="14083" max="14083" width="18" style="124" customWidth="1"/>
    <col min="14084" max="14084" width="18.42578125" style="124" customWidth="1"/>
    <col min="14085" max="14085" width="13.85546875" style="124" customWidth="1"/>
    <col min="14086" max="14086" width="14" style="124" customWidth="1"/>
    <col min="14087" max="14336" width="9.140625" style="124"/>
    <col min="14337" max="14337" width="0" style="124" hidden="1" customWidth="1"/>
    <col min="14338" max="14338" width="24.7109375" style="124" customWidth="1"/>
    <col min="14339" max="14339" width="18" style="124" customWidth="1"/>
    <col min="14340" max="14340" width="18.42578125" style="124" customWidth="1"/>
    <col min="14341" max="14341" width="13.85546875" style="124" customWidth="1"/>
    <col min="14342" max="14342" width="14" style="124" customWidth="1"/>
    <col min="14343" max="14592" width="9.140625" style="124"/>
    <col min="14593" max="14593" width="0" style="124" hidden="1" customWidth="1"/>
    <col min="14594" max="14594" width="24.7109375" style="124" customWidth="1"/>
    <col min="14595" max="14595" width="18" style="124" customWidth="1"/>
    <col min="14596" max="14596" width="18.42578125" style="124" customWidth="1"/>
    <col min="14597" max="14597" width="13.85546875" style="124" customWidth="1"/>
    <col min="14598" max="14598" width="14" style="124" customWidth="1"/>
    <col min="14599" max="14848" width="9.140625" style="124"/>
    <col min="14849" max="14849" width="0" style="124" hidden="1" customWidth="1"/>
    <col min="14850" max="14850" width="24.7109375" style="124" customWidth="1"/>
    <col min="14851" max="14851" width="18" style="124" customWidth="1"/>
    <col min="14852" max="14852" width="18.42578125" style="124" customWidth="1"/>
    <col min="14853" max="14853" width="13.85546875" style="124" customWidth="1"/>
    <col min="14854" max="14854" width="14" style="124" customWidth="1"/>
    <col min="14855" max="15104" width="9.140625" style="124"/>
    <col min="15105" max="15105" width="0" style="124" hidden="1" customWidth="1"/>
    <col min="15106" max="15106" width="24.7109375" style="124" customWidth="1"/>
    <col min="15107" max="15107" width="18" style="124" customWidth="1"/>
    <col min="15108" max="15108" width="18.42578125" style="124" customWidth="1"/>
    <col min="15109" max="15109" width="13.85546875" style="124" customWidth="1"/>
    <col min="15110" max="15110" width="14" style="124" customWidth="1"/>
    <col min="15111" max="15360" width="9.140625" style="124"/>
    <col min="15361" max="15361" width="0" style="124" hidden="1" customWidth="1"/>
    <col min="15362" max="15362" width="24.7109375" style="124" customWidth="1"/>
    <col min="15363" max="15363" width="18" style="124" customWidth="1"/>
    <col min="15364" max="15364" width="18.42578125" style="124" customWidth="1"/>
    <col min="15365" max="15365" width="13.85546875" style="124" customWidth="1"/>
    <col min="15366" max="15366" width="14" style="124" customWidth="1"/>
    <col min="15367" max="15616" width="9.140625" style="124"/>
    <col min="15617" max="15617" width="0" style="124" hidden="1" customWidth="1"/>
    <col min="15618" max="15618" width="24.7109375" style="124" customWidth="1"/>
    <col min="15619" max="15619" width="18" style="124" customWidth="1"/>
    <col min="15620" max="15620" width="18.42578125" style="124" customWidth="1"/>
    <col min="15621" max="15621" width="13.85546875" style="124" customWidth="1"/>
    <col min="15622" max="15622" width="14" style="124" customWidth="1"/>
    <col min="15623" max="15872" width="9.140625" style="124"/>
    <col min="15873" max="15873" width="0" style="124" hidden="1" customWidth="1"/>
    <col min="15874" max="15874" width="24.7109375" style="124" customWidth="1"/>
    <col min="15875" max="15875" width="18" style="124" customWidth="1"/>
    <col min="15876" max="15876" width="18.42578125" style="124" customWidth="1"/>
    <col min="15877" max="15877" width="13.85546875" style="124" customWidth="1"/>
    <col min="15878" max="15878" width="14" style="124" customWidth="1"/>
    <col min="15879" max="16128" width="9.140625" style="124"/>
    <col min="16129" max="16129" width="0" style="124" hidden="1" customWidth="1"/>
    <col min="16130" max="16130" width="24.7109375" style="124" customWidth="1"/>
    <col min="16131" max="16131" width="18" style="124" customWidth="1"/>
    <col min="16132" max="16132" width="18.42578125" style="124" customWidth="1"/>
    <col min="16133" max="16133" width="13.85546875" style="124" customWidth="1"/>
    <col min="16134" max="16134" width="14" style="124" customWidth="1"/>
    <col min="16135" max="16384" width="9.140625" style="124"/>
  </cols>
  <sheetData>
    <row r="1" spans="1:9" ht="48.75" customHeight="1">
      <c r="B1" s="222" t="s">
        <v>93</v>
      </c>
      <c r="C1" s="223"/>
      <c r="D1" s="223"/>
      <c r="E1" s="223"/>
      <c r="F1" s="224"/>
    </row>
    <row r="2" spans="1:9" ht="15.75" customHeight="1">
      <c r="C2" s="198" t="s">
        <v>1</v>
      </c>
      <c r="D2" s="225" t="s">
        <v>2</v>
      </c>
      <c r="E2" s="225"/>
      <c r="F2" s="198" t="s">
        <v>5</v>
      </c>
    </row>
    <row r="3" spans="1:9" ht="34.5" customHeight="1">
      <c r="A3" s="4"/>
      <c r="C3" s="199"/>
      <c r="D3" s="145" t="s">
        <v>3</v>
      </c>
      <c r="E3" s="145" t="s">
        <v>4</v>
      </c>
      <c r="F3" s="199"/>
    </row>
    <row r="4" spans="1:9" ht="23.25" customHeight="1">
      <c r="A4" s="4"/>
      <c r="B4" s="129" t="s">
        <v>6</v>
      </c>
      <c r="C4" s="161">
        <v>1279</v>
      </c>
      <c r="D4" s="161">
        <v>220</v>
      </c>
      <c r="E4" s="161">
        <v>24</v>
      </c>
      <c r="F4" s="161">
        <v>0</v>
      </c>
      <c r="I4" s="141"/>
    </row>
    <row r="5" spans="1:9" s="129" customFormat="1" ht="25.5" customHeight="1">
      <c r="A5" s="9"/>
      <c r="B5" s="129" t="s">
        <v>7</v>
      </c>
      <c r="C5" s="155">
        <v>994</v>
      </c>
      <c r="D5" s="155">
        <v>162</v>
      </c>
      <c r="E5" s="155">
        <v>22</v>
      </c>
      <c r="F5" s="155">
        <v>0</v>
      </c>
    </row>
    <row r="6" spans="1:9">
      <c r="A6" s="12">
        <v>51</v>
      </c>
      <c r="B6" s="124" t="s">
        <v>8</v>
      </c>
      <c r="C6" s="150">
        <v>32</v>
      </c>
      <c r="D6" s="150">
        <v>10</v>
      </c>
      <c r="E6" s="150">
        <v>2</v>
      </c>
      <c r="F6" s="150">
        <v>0</v>
      </c>
    </row>
    <row r="7" spans="1:9">
      <c r="A7" s="12">
        <v>52</v>
      </c>
      <c r="B7" s="124" t="s">
        <v>9</v>
      </c>
      <c r="C7" s="150">
        <v>22</v>
      </c>
      <c r="D7" s="150">
        <v>3</v>
      </c>
      <c r="E7" s="150">
        <v>0</v>
      </c>
      <c r="F7" s="150">
        <v>0</v>
      </c>
    </row>
    <row r="8" spans="1:9">
      <c r="A8" s="12">
        <v>86</v>
      </c>
      <c r="B8" s="124" t="s">
        <v>10</v>
      </c>
      <c r="C8" s="150">
        <v>34</v>
      </c>
      <c r="D8" s="150">
        <v>3</v>
      </c>
      <c r="E8" s="150">
        <v>1</v>
      </c>
      <c r="F8" s="150">
        <v>0</v>
      </c>
    </row>
    <row r="9" spans="1:9">
      <c r="A9" s="12">
        <v>53</v>
      </c>
      <c r="B9" s="124" t="s">
        <v>11</v>
      </c>
      <c r="C9" s="150">
        <v>10</v>
      </c>
      <c r="D9" s="150">
        <v>2</v>
      </c>
      <c r="E9" s="150">
        <v>0</v>
      </c>
      <c r="F9" s="150">
        <v>0</v>
      </c>
    </row>
    <row r="10" spans="1:9">
      <c r="A10" s="12">
        <v>54</v>
      </c>
      <c r="B10" s="124" t="s">
        <v>12</v>
      </c>
      <c r="C10" s="150">
        <v>50</v>
      </c>
      <c r="D10" s="150">
        <v>6</v>
      </c>
      <c r="E10" s="150">
        <v>0</v>
      </c>
      <c r="F10" s="150">
        <v>0</v>
      </c>
    </row>
    <row r="11" spans="1:9">
      <c r="A11" s="12">
        <v>55</v>
      </c>
      <c r="B11" s="124" t="s">
        <v>13</v>
      </c>
      <c r="C11" s="150">
        <v>14</v>
      </c>
      <c r="D11" s="150">
        <v>3</v>
      </c>
      <c r="E11" s="150">
        <v>0</v>
      </c>
      <c r="F11" s="150">
        <v>0</v>
      </c>
    </row>
    <row r="12" spans="1:9">
      <c r="A12" s="12">
        <v>56</v>
      </c>
      <c r="B12" s="124" t="s">
        <v>14</v>
      </c>
      <c r="C12" s="150">
        <v>3</v>
      </c>
      <c r="D12" s="150">
        <v>0</v>
      </c>
      <c r="E12" s="150">
        <v>0</v>
      </c>
      <c r="F12" s="150">
        <v>0</v>
      </c>
    </row>
    <row r="13" spans="1:9">
      <c r="A13" s="12">
        <v>57</v>
      </c>
      <c r="B13" s="124" t="s">
        <v>15</v>
      </c>
      <c r="C13" s="150">
        <v>6</v>
      </c>
      <c r="D13" s="150">
        <v>0</v>
      </c>
      <c r="E13" s="150">
        <v>0</v>
      </c>
      <c r="F13" s="150">
        <v>0</v>
      </c>
    </row>
    <row r="14" spans="1:9">
      <c r="A14" s="12">
        <v>59</v>
      </c>
      <c r="B14" s="124" t="s">
        <v>16</v>
      </c>
      <c r="C14" s="150">
        <v>13</v>
      </c>
      <c r="D14" s="150">
        <v>4</v>
      </c>
      <c r="E14" s="150">
        <v>1</v>
      </c>
      <c r="F14" s="150">
        <v>0</v>
      </c>
    </row>
    <row r="15" spans="1:9">
      <c r="A15" s="12">
        <v>60</v>
      </c>
      <c r="B15" s="124" t="s">
        <v>17</v>
      </c>
      <c r="C15" s="150">
        <v>10</v>
      </c>
      <c r="D15" s="150">
        <v>3</v>
      </c>
      <c r="E15" s="150">
        <v>0</v>
      </c>
      <c r="F15" s="150">
        <v>0</v>
      </c>
    </row>
    <row r="16" spans="1:9">
      <c r="A16" s="12">
        <v>61</v>
      </c>
      <c r="B16" s="151" t="s">
        <v>18</v>
      </c>
      <c r="C16" s="150">
        <v>42</v>
      </c>
      <c r="D16" s="150">
        <v>9</v>
      </c>
      <c r="E16" s="150">
        <v>1</v>
      </c>
      <c r="F16" s="150">
        <v>0</v>
      </c>
    </row>
    <row r="17" spans="1:6" s="184" customFormat="1">
      <c r="A17" s="12"/>
      <c r="B17" s="132" t="s">
        <v>125</v>
      </c>
      <c r="C17" s="165" t="s">
        <v>126</v>
      </c>
      <c r="D17" s="165" t="s">
        <v>126</v>
      </c>
      <c r="E17" s="165" t="s">
        <v>126</v>
      </c>
      <c r="F17" s="165" t="s">
        <v>126</v>
      </c>
    </row>
    <row r="18" spans="1:6">
      <c r="A18" s="12">
        <v>62</v>
      </c>
      <c r="B18" s="124" t="s">
        <v>19</v>
      </c>
      <c r="C18" s="150">
        <v>33</v>
      </c>
      <c r="D18" s="150">
        <v>7</v>
      </c>
      <c r="E18" s="150">
        <v>1</v>
      </c>
      <c r="F18" s="150">
        <v>0</v>
      </c>
    </row>
    <row r="19" spans="1:6">
      <c r="A19" s="12">
        <v>58</v>
      </c>
      <c r="B19" s="124" t="s">
        <v>20</v>
      </c>
      <c r="C19" s="150">
        <v>5</v>
      </c>
      <c r="D19" s="150">
        <v>2</v>
      </c>
      <c r="E19" s="150">
        <v>0</v>
      </c>
      <c r="F19" s="150">
        <v>0</v>
      </c>
    </row>
    <row r="20" spans="1:6">
      <c r="A20" s="12">
        <v>63</v>
      </c>
      <c r="B20" s="124" t="s">
        <v>21</v>
      </c>
      <c r="C20" s="150">
        <v>42</v>
      </c>
      <c r="D20" s="150">
        <v>3</v>
      </c>
      <c r="E20" s="150">
        <v>1</v>
      </c>
      <c r="F20" s="150">
        <v>0</v>
      </c>
    </row>
    <row r="21" spans="1:6">
      <c r="A21" s="12">
        <v>64</v>
      </c>
      <c r="B21" s="124" t="s">
        <v>22</v>
      </c>
      <c r="C21" s="150">
        <v>42</v>
      </c>
      <c r="D21" s="150">
        <v>11</v>
      </c>
      <c r="E21" s="150">
        <v>0</v>
      </c>
      <c r="F21" s="150">
        <v>0</v>
      </c>
    </row>
    <row r="22" spans="1:6">
      <c r="A22" s="12">
        <v>65</v>
      </c>
      <c r="B22" s="124" t="s">
        <v>23</v>
      </c>
      <c r="C22" s="150">
        <v>37</v>
      </c>
      <c r="D22" s="150">
        <v>4</v>
      </c>
      <c r="E22" s="150">
        <v>4</v>
      </c>
      <c r="F22" s="150">
        <v>0</v>
      </c>
    </row>
    <row r="23" spans="1:6">
      <c r="A23" s="12">
        <v>67</v>
      </c>
      <c r="B23" s="124" t="s">
        <v>24</v>
      </c>
      <c r="C23" s="150">
        <v>50</v>
      </c>
      <c r="D23" s="150">
        <v>12</v>
      </c>
      <c r="E23" s="149">
        <v>6</v>
      </c>
      <c r="F23" s="150">
        <v>0</v>
      </c>
    </row>
    <row r="24" spans="1:6">
      <c r="A24" s="12">
        <v>68</v>
      </c>
      <c r="B24" s="124" t="s">
        <v>25</v>
      </c>
      <c r="C24" s="150">
        <v>30</v>
      </c>
      <c r="D24" s="150">
        <v>3</v>
      </c>
      <c r="E24" s="150">
        <v>0</v>
      </c>
      <c r="F24" s="150">
        <v>0</v>
      </c>
    </row>
    <row r="25" spans="1:6">
      <c r="A25" s="12">
        <v>69</v>
      </c>
      <c r="B25" s="124" t="s">
        <v>26</v>
      </c>
      <c r="C25" s="150">
        <v>23</v>
      </c>
      <c r="D25" s="150">
        <v>3</v>
      </c>
      <c r="E25" s="150">
        <v>1</v>
      </c>
      <c r="F25" s="150">
        <v>0</v>
      </c>
    </row>
    <row r="26" spans="1:6">
      <c r="A26" s="12">
        <v>70</v>
      </c>
      <c r="B26" s="124" t="s">
        <v>27</v>
      </c>
      <c r="C26" s="150">
        <v>56</v>
      </c>
      <c r="D26" s="150">
        <v>2</v>
      </c>
      <c r="E26" s="150">
        <v>0</v>
      </c>
      <c r="F26" s="150">
        <v>0</v>
      </c>
    </row>
    <row r="27" spans="1:6">
      <c r="A27" s="12">
        <v>71</v>
      </c>
      <c r="B27" s="152" t="s">
        <v>28</v>
      </c>
      <c r="C27" s="150">
        <v>11</v>
      </c>
      <c r="D27" s="150">
        <v>1</v>
      </c>
      <c r="E27" s="150">
        <v>0</v>
      </c>
      <c r="F27" s="150">
        <v>0</v>
      </c>
    </row>
    <row r="28" spans="1:6">
      <c r="A28" s="12">
        <v>73</v>
      </c>
      <c r="B28" s="124" t="s">
        <v>29</v>
      </c>
      <c r="C28" s="150">
        <v>33</v>
      </c>
      <c r="D28" s="150">
        <v>7</v>
      </c>
      <c r="E28" s="150">
        <v>0</v>
      </c>
      <c r="F28" s="150">
        <v>0</v>
      </c>
    </row>
    <row r="29" spans="1:6">
      <c r="A29" s="12">
        <v>74</v>
      </c>
      <c r="B29" s="124" t="s">
        <v>30</v>
      </c>
      <c r="C29" s="150">
        <v>17</v>
      </c>
      <c r="D29" s="150">
        <v>5</v>
      </c>
      <c r="E29" s="150">
        <v>0</v>
      </c>
      <c r="F29" s="150">
        <v>0</v>
      </c>
    </row>
    <row r="30" spans="1:6">
      <c r="A30" s="12">
        <v>75</v>
      </c>
      <c r="B30" s="124" t="s">
        <v>31</v>
      </c>
      <c r="C30" s="150">
        <v>27</v>
      </c>
      <c r="D30" s="150">
        <v>6</v>
      </c>
      <c r="E30" s="150">
        <v>1</v>
      </c>
      <c r="F30" s="150">
        <v>0</v>
      </c>
    </row>
    <row r="31" spans="1:6">
      <c r="A31" s="12">
        <v>76</v>
      </c>
      <c r="B31" s="124" t="s">
        <v>32</v>
      </c>
      <c r="C31" s="150">
        <v>21</v>
      </c>
      <c r="D31" s="150">
        <v>7</v>
      </c>
      <c r="E31" s="150">
        <v>0</v>
      </c>
      <c r="F31" s="150">
        <v>0</v>
      </c>
    </row>
    <row r="32" spans="1:6">
      <c r="A32" s="12">
        <v>79</v>
      </c>
      <c r="B32" s="124" t="s">
        <v>33</v>
      </c>
      <c r="C32" s="150">
        <v>40</v>
      </c>
      <c r="D32" s="150">
        <v>9</v>
      </c>
      <c r="E32" s="150">
        <v>1</v>
      </c>
      <c r="F32" s="150">
        <v>0</v>
      </c>
    </row>
    <row r="33" spans="1:11">
      <c r="A33" s="12">
        <v>80</v>
      </c>
      <c r="B33" s="124" t="s">
        <v>34</v>
      </c>
      <c r="C33" s="150">
        <v>49</v>
      </c>
      <c r="D33" s="150">
        <v>10</v>
      </c>
      <c r="E33" s="150">
        <v>0</v>
      </c>
      <c r="F33" s="150">
        <v>0</v>
      </c>
    </row>
    <row r="34" spans="1:11">
      <c r="A34" s="12">
        <v>81</v>
      </c>
      <c r="B34" s="124" t="s">
        <v>35</v>
      </c>
      <c r="C34" s="150">
        <v>19</v>
      </c>
      <c r="D34" s="150">
        <v>1</v>
      </c>
      <c r="E34" s="150">
        <v>0</v>
      </c>
      <c r="F34" s="150">
        <v>0</v>
      </c>
    </row>
    <row r="35" spans="1:11">
      <c r="A35" s="12">
        <v>83</v>
      </c>
      <c r="B35" s="124" t="s">
        <v>36</v>
      </c>
      <c r="C35" s="150">
        <v>13</v>
      </c>
      <c r="D35" s="150">
        <v>0</v>
      </c>
      <c r="E35" s="150">
        <v>1</v>
      </c>
      <c r="F35" s="150">
        <v>0</v>
      </c>
    </row>
    <row r="36" spans="1:11">
      <c r="A36" s="12">
        <v>84</v>
      </c>
      <c r="B36" s="124" t="s">
        <v>37</v>
      </c>
      <c r="C36" s="150">
        <v>23</v>
      </c>
      <c r="D36" s="150">
        <v>3</v>
      </c>
      <c r="E36" s="150">
        <v>0</v>
      </c>
      <c r="F36" s="150">
        <v>0</v>
      </c>
    </row>
    <row r="37" spans="1:11" ht="15">
      <c r="A37" s="12">
        <v>85</v>
      </c>
      <c r="B37" s="124" t="s">
        <v>38</v>
      </c>
      <c r="C37" s="150">
        <v>24</v>
      </c>
      <c r="D37" s="150">
        <v>3</v>
      </c>
      <c r="E37" s="150">
        <v>0</v>
      </c>
      <c r="F37" s="150">
        <v>0</v>
      </c>
      <c r="G37" s="129"/>
    </row>
    <row r="38" spans="1:11" ht="15">
      <c r="A38" s="12">
        <v>87</v>
      </c>
      <c r="B38" s="124" t="s">
        <v>39</v>
      </c>
      <c r="C38" s="150">
        <v>26</v>
      </c>
      <c r="D38" s="150">
        <v>3</v>
      </c>
      <c r="E38" s="150">
        <v>0</v>
      </c>
      <c r="F38" s="150">
        <v>0</v>
      </c>
      <c r="H38" s="129"/>
      <c r="I38" s="129"/>
    </row>
    <row r="39" spans="1:11">
      <c r="A39" s="12">
        <v>90</v>
      </c>
      <c r="B39" s="124" t="s">
        <v>40</v>
      </c>
      <c r="C39" s="150">
        <v>26</v>
      </c>
      <c r="D39" s="150">
        <v>4</v>
      </c>
      <c r="E39" s="150">
        <v>0</v>
      </c>
      <c r="F39" s="150">
        <v>0</v>
      </c>
    </row>
    <row r="40" spans="1:11">
      <c r="A40" s="12">
        <v>91</v>
      </c>
      <c r="B40" s="124" t="s">
        <v>41</v>
      </c>
      <c r="C40" s="150">
        <v>36</v>
      </c>
      <c r="D40" s="150">
        <v>3</v>
      </c>
      <c r="E40" s="150">
        <v>0</v>
      </c>
      <c r="F40" s="150">
        <v>0</v>
      </c>
    </row>
    <row r="41" spans="1:11">
      <c r="A41" s="12">
        <v>92</v>
      </c>
      <c r="B41" s="124" t="s">
        <v>42</v>
      </c>
      <c r="C41" s="150">
        <v>16</v>
      </c>
      <c r="D41" s="150">
        <v>1</v>
      </c>
      <c r="E41" s="150">
        <v>0</v>
      </c>
      <c r="F41" s="150">
        <v>0</v>
      </c>
    </row>
    <row r="42" spans="1:11">
      <c r="A42" s="12">
        <v>94</v>
      </c>
      <c r="B42" s="124" t="s">
        <v>43</v>
      </c>
      <c r="C42" s="150">
        <v>16</v>
      </c>
      <c r="D42" s="150">
        <v>0</v>
      </c>
      <c r="E42" s="150">
        <v>0</v>
      </c>
      <c r="F42" s="150">
        <v>0</v>
      </c>
    </row>
    <row r="43" spans="1:11" ht="15">
      <c r="A43" s="12">
        <v>96</v>
      </c>
      <c r="B43" s="124" t="s">
        <v>44</v>
      </c>
      <c r="C43" s="150">
        <v>19</v>
      </c>
      <c r="D43" s="150">
        <v>3</v>
      </c>
      <c r="E43" s="150">
        <v>0</v>
      </c>
      <c r="F43" s="150">
        <v>0</v>
      </c>
      <c r="J43" s="129"/>
    </row>
    <row r="44" spans="1:11" ht="15">
      <c r="A44" s="12">
        <v>98</v>
      </c>
      <c r="B44" s="124" t="s">
        <v>45</v>
      </c>
      <c r="C44" s="150">
        <v>24</v>
      </c>
      <c r="D44" s="150">
        <v>6</v>
      </c>
      <c r="E44" s="150">
        <v>1</v>
      </c>
      <c r="F44" s="150">
        <v>0</v>
      </c>
      <c r="K44" s="129"/>
    </row>
    <row r="45" spans="1:11">
      <c r="A45" s="12">
        <v>72</v>
      </c>
      <c r="B45" s="152" t="s">
        <v>46</v>
      </c>
      <c r="C45" s="150">
        <v>0</v>
      </c>
      <c r="D45" s="150">
        <v>0</v>
      </c>
      <c r="E45" s="150">
        <v>0</v>
      </c>
      <c r="F45" s="150">
        <v>0</v>
      </c>
    </row>
    <row r="46" spans="1:11" s="129" customFormat="1" ht="25.5" customHeight="1">
      <c r="A46" s="50"/>
      <c r="B46" s="129" t="s">
        <v>47</v>
      </c>
      <c r="C46" s="155">
        <v>285</v>
      </c>
      <c r="D46" s="155">
        <v>58</v>
      </c>
      <c r="E46" s="155">
        <v>2</v>
      </c>
      <c r="F46" s="155">
        <v>0</v>
      </c>
    </row>
    <row r="47" spans="1:11">
      <c r="A47" s="12">
        <v>66</v>
      </c>
      <c r="B47" s="124" t="s">
        <v>48</v>
      </c>
      <c r="C47" s="150">
        <v>22</v>
      </c>
      <c r="D47" s="150">
        <v>3</v>
      </c>
      <c r="E47" s="150">
        <v>0</v>
      </c>
      <c r="F47" s="150">
        <v>0</v>
      </c>
    </row>
    <row r="48" spans="1:11">
      <c r="A48" s="12">
        <v>78</v>
      </c>
      <c r="B48" s="124" t="s">
        <v>49</v>
      </c>
      <c r="C48" s="150">
        <v>11</v>
      </c>
      <c r="D48" s="150">
        <v>2</v>
      </c>
      <c r="E48" s="150">
        <v>0</v>
      </c>
      <c r="F48" s="150">
        <v>0</v>
      </c>
    </row>
    <row r="49" spans="1:6">
      <c r="A49" s="12">
        <v>89</v>
      </c>
      <c r="B49" s="124" t="s">
        <v>50</v>
      </c>
      <c r="C49" s="150">
        <v>44</v>
      </c>
      <c r="D49" s="150">
        <v>5</v>
      </c>
      <c r="E49" s="150">
        <v>0</v>
      </c>
      <c r="F49" s="150">
        <v>0</v>
      </c>
    </row>
    <row r="50" spans="1:6">
      <c r="A50" s="12">
        <v>93</v>
      </c>
      <c r="B50" s="124" t="s">
        <v>51</v>
      </c>
      <c r="C50" s="150">
        <v>11</v>
      </c>
      <c r="D50" s="150">
        <v>2</v>
      </c>
      <c r="E50" s="150">
        <v>1</v>
      </c>
      <c r="F50" s="150">
        <v>0</v>
      </c>
    </row>
    <row r="51" spans="1:6">
      <c r="A51" s="12">
        <v>95</v>
      </c>
      <c r="B51" s="124" t="s">
        <v>52</v>
      </c>
      <c r="C51" s="150">
        <v>29</v>
      </c>
      <c r="D51" s="150">
        <v>4</v>
      </c>
      <c r="E51" s="150">
        <v>0</v>
      </c>
      <c r="F51" s="150">
        <v>0</v>
      </c>
    </row>
    <row r="52" spans="1:6">
      <c r="A52" s="12">
        <v>97</v>
      </c>
      <c r="B52" s="124" t="s">
        <v>53</v>
      </c>
      <c r="C52" s="149">
        <v>70</v>
      </c>
      <c r="D52" s="150">
        <v>10</v>
      </c>
      <c r="E52" s="150">
        <v>1</v>
      </c>
      <c r="F52" s="150">
        <v>0</v>
      </c>
    </row>
    <row r="53" spans="1:6">
      <c r="A53" s="12">
        <v>77</v>
      </c>
      <c r="B53" s="156" t="s">
        <v>54</v>
      </c>
      <c r="C53" s="158">
        <v>98</v>
      </c>
      <c r="D53" s="158">
        <v>32</v>
      </c>
      <c r="E53" s="158">
        <v>0</v>
      </c>
      <c r="F53" s="158">
        <v>0</v>
      </c>
    </row>
    <row r="54" spans="1:6">
      <c r="C54" s="150"/>
      <c r="D54" s="162"/>
      <c r="E54" s="150"/>
      <c r="F54" s="150"/>
    </row>
    <row r="55" spans="1:6" ht="13.5" customHeight="1">
      <c r="B55" s="12" t="s">
        <v>55</v>
      </c>
    </row>
    <row r="56" spans="1:6" ht="13.5" customHeight="1">
      <c r="B56" s="219" t="s">
        <v>56</v>
      </c>
      <c r="C56" s="220"/>
      <c r="D56" s="220"/>
      <c r="E56" s="220"/>
      <c r="F56" s="220"/>
    </row>
    <row r="57" spans="1:6" ht="15" customHeight="1">
      <c r="B57" s="220"/>
      <c r="C57" s="220"/>
      <c r="D57" s="220"/>
      <c r="E57" s="220"/>
      <c r="F57" s="220"/>
    </row>
    <row r="58" spans="1:6" ht="13.5" customHeight="1">
      <c r="B58" s="220"/>
      <c r="C58" s="220"/>
      <c r="D58" s="220"/>
      <c r="E58" s="220"/>
      <c r="F58" s="220"/>
    </row>
    <row r="59" spans="1:6" ht="12.75" customHeight="1">
      <c r="B59" s="220"/>
      <c r="C59" s="220"/>
      <c r="D59" s="220"/>
      <c r="E59" s="220"/>
      <c r="F59" s="220"/>
    </row>
    <row r="60" spans="1:6" ht="15.75" customHeight="1">
      <c r="B60" s="220"/>
      <c r="C60" s="220"/>
      <c r="D60" s="220"/>
      <c r="E60" s="220"/>
      <c r="F60" s="220"/>
    </row>
    <row r="61" spans="1:6" ht="67.5" customHeight="1">
      <c r="B61" s="220"/>
      <c r="C61" s="220"/>
      <c r="D61" s="220"/>
      <c r="E61" s="220"/>
      <c r="F61" s="220"/>
    </row>
    <row r="62" spans="1:6" ht="9.75" customHeight="1">
      <c r="B62" s="57"/>
      <c r="C62" s="54"/>
      <c r="D62" s="54"/>
      <c r="E62" s="54"/>
      <c r="F62" s="54"/>
    </row>
    <row r="63" spans="1:6">
      <c r="B63" s="140" t="s">
        <v>57</v>
      </c>
    </row>
    <row r="65" spans="2:2">
      <c r="B65" s="143"/>
    </row>
  </sheetData>
  <mergeCells count="5">
    <mergeCell ref="B1:F1"/>
    <mergeCell ref="C2:C3"/>
    <mergeCell ref="D2:E2"/>
    <mergeCell ref="F2:F3"/>
    <mergeCell ref="B56:F61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B1:M68"/>
  <sheetViews>
    <sheetView showGridLines="0" zoomScale="85" workbookViewId="0">
      <pane xSplit="2" ySplit="4" topLeftCell="C5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RowHeight="12.75"/>
  <cols>
    <col min="1" max="1" width="9.140625" style="124"/>
    <col min="2" max="2" width="24.7109375" style="124" customWidth="1"/>
    <col min="3" max="3" width="11" style="124" customWidth="1"/>
    <col min="4" max="4" width="11.85546875" style="124" customWidth="1"/>
    <col min="5" max="10" width="11" style="124" customWidth="1"/>
    <col min="11" max="257" width="9.140625" style="124"/>
    <col min="258" max="258" width="24.7109375" style="124" customWidth="1"/>
    <col min="259" max="259" width="11" style="124" customWidth="1"/>
    <col min="260" max="260" width="11.85546875" style="124" customWidth="1"/>
    <col min="261" max="266" width="11" style="124" customWidth="1"/>
    <col min="267" max="513" width="9.140625" style="124"/>
    <col min="514" max="514" width="24.7109375" style="124" customWidth="1"/>
    <col min="515" max="515" width="11" style="124" customWidth="1"/>
    <col min="516" max="516" width="11.85546875" style="124" customWidth="1"/>
    <col min="517" max="522" width="11" style="124" customWidth="1"/>
    <col min="523" max="769" width="9.140625" style="124"/>
    <col min="770" max="770" width="24.7109375" style="124" customWidth="1"/>
    <col min="771" max="771" width="11" style="124" customWidth="1"/>
    <col min="772" max="772" width="11.85546875" style="124" customWidth="1"/>
    <col min="773" max="778" width="11" style="124" customWidth="1"/>
    <col min="779" max="1025" width="9.140625" style="124"/>
    <col min="1026" max="1026" width="24.7109375" style="124" customWidth="1"/>
    <col min="1027" max="1027" width="11" style="124" customWidth="1"/>
    <col min="1028" max="1028" width="11.85546875" style="124" customWidth="1"/>
    <col min="1029" max="1034" width="11" style="124" customWidth="1"/>
    <col min="1035" max="1281" width="9.140625" style="124"/>
    <col min="1282" max="1282" width="24.7109375" style="124" customWidth="1"/>
    <col min="1283" max="1283" width="11" style="124" customWidth="1"/>
    <col min="1284" max="1284" width="11.85546875" style="124" customWidth="1"/>
    <col min="1285" max="1290" width="11" style="124" customWidth="1"/>
    <col min="1291" max="1537" width="9.140625" style="124"/>
    <col min="1538" max="1538" width="24.7109375" style="124" customWidth="1"/>
    <col min="1539" max="1539" width="11" style="124" customWidth="1"/>
    <col min="1540" max="1540" width="11.85546875" style="124" customWidth="1"/>
    <col min="1541" max="1546" width="11" style="124" customWidth="1"/>
    <col min="1547" max="1793" width="9.140625" style="124"/>
    <col min="1794" max="1794" width="24.7109375" style="124" customWidth="1"/>
    <col min="1795" max="1795" width="11" style="124" customWidth="1"/>
    <col min="1796" max="1796" width="11.85546875" style="124" customWidth="1"/>
    <col min="1797" max="1802" width="11" style="124" customWidth="1"/>
    <col min="1803" max="2049" width="9.140625" style="124"/>
    <col min="2050" max="2050" width="24.7109375" style="124" customWidth="1"/>
    <col min="2051" max="2051" width="11" style="124" customWidth="1"/>
    <col min="2052" max="2052" width="11.85546875" style="124" customWidth="1"/>
    <col min="2053" max="2058" width="11" style="124" customWidth="1"/>
    <col min="2059" max="2305" width="9.140625" style="124"/>
    <col min="2306" max="2306" width="24.7109375" style="124" customWidth="1"/>
    <col min="2307" max="2307" width="11" style="124" customWidth="1"/>
    <col min="2308" max="2308" width="11.85546875" style="124" customWidth="1"/>
    <col min="2309" max="2314" width="11" style="124" customWidth="1"/>
    <col min="2315" max="2561" width="9.140625" style="124"/>
    <col min="2562" max="2562" width="24.7109375" style="124" customWidth="1"/>
    <col min="2563" max="2563" width="11" style="124" customWidth="1"/>
    <col min="2564" max="2564" width="11.85546875" style="124" customWidth="1"/>
    <col min="2565" max="2570" width="11" style="124" customWidth="1"/>
    <col min="2571" max="2817" width="9.140625" style="124"/>
    <col min="2818" max="2818" width="24.7109375" style="124" customWidth="1"/>
    <col min="2819" max="2819" width="11" style="124" customWidth="1"/>
    <col min="2820" max="2820" width="11.85546875" style="124" customWidth="1"/>
    <col min="2821" max="2826" width="11" style="124" customWidth="1"/>
    <col min="2827" max="3073" width="9.140625" style="124"/>
    <col min="3074" max="3074" width="24.7109375" style="124" customWidth="1"/>
    <col min="3075" max="3075" width="11" style="124" customWidth="1"/>
    <col min="3076" max="3076" width="11.85546875" style="124" customWidth="1"/>
    <col min="3077" max="3082" width="11" style="124" customWidth="1"/>
    <col min="3083" max="3329" width="9.140625" style="124"/>
    <col min="3330" max="3330" width="24.7109375" style="124" customWidth="1"/>
    <col min="3331" max="3331" width="11" style="124" customWidth="1"/>
    <col min="3332" max="3332" width="11.85546875" style="124" customWidth="1"/>
    <col min="3333" max="3338" width="11" style="124" customWidth="1"/>
    <col min="3339" max="3585" width="9.140625" style="124"/>
    <col min="3586" max="3586" width="24.7109375" style="124" customWidth="1"/>
    <col min="3587" max="3587" width="11" style="124" customWidth="1"/>
    <col min="3588" max="3588" width="11.85546875" style="124" customWidth="1"/>
    <col min="3589" max="3594" width="11" style="124" customWidth="1"/>
    <col min="3595" max="3841" width="9.140625" style="124"/>
    <col min="3842" max="3842" width="24.7109375" style="124" customWidth="1"/>
    <col min="3843" max="3843" width="11" style="124" customWidth="1"/>
    <col min="3844" max="3844" width="11.85546875" style="124" customWidth="1"/>
    <col min="3845" max="3850" width="11" style="124" customWidth="1"/>
    <col min="3851" max="4097" width="9.140625" style="124"/>
    <col min="4098" max="4098" width="24.7109375" style="124" customWidth="1"/>
    <col min="4099" max="4099" width="11" style="124" customWidth="1"/>
    <col min="4100" max="4100" width="11.85546875" style="124" customWidth="1"/>
    <col min="4101" max="4106" width="11" style="124" customWidth="1"/>
    <col min="4107" max="4353" width="9.140625" style="124"/>
    <col min="4354" max="4354" width="24.7109375" style="124" customWidth="1"/>
    <col min="4355" max="4355" width="11" style="124" customWidth="1"/>
    <col min="4356" max="4356" width="11.85546875" style="124" customWidth="1"/>
    <col min="4357" max="4362" width="11" style="124" customWidth="1"/>
    <col min="4363" max="4609" width="9.140625" style="124"/>
    <col min="4610" max="4610" width="24.7109375" style="124" customWidth="1"/>
    <col min="4611" max="4611" width="11" style="124" customWidth="1"/>
    <col min="4612" max="4612" width="11.85546875" style="124" customWidth="1"/>
    <col min="4613" max="4618" width="11" style="124" customWidth="1"/>
    <col min="4619" max="4865" width="9.140625" style="124"/>
    <col min="4866" max="4866" width="24.7109375" style="124" customWidth="1"/>
    <col min="4867" max="4867" width="11" style="124" customWidth="1"/>
    <col min="4868" max="4868" width="11.85546875" style="124" customWidth="1"/>
    <col min="4869" max="4874" width="11" style="124" customWidth="1"/>
    <col min="4875" max="5121" width="9.140625" style="124"/>
    <col min="5122" max="5122" width="24.7109375" style="124" customWidth="1"/>
    <col min="5123" max="5123" width="11" style="124" customWidth="1"/>
    <col min="5124" max="5124" width="11.85546875" style="124" customWidth="1"/>
    <col min="5125" max="5130" width="11" style="124" customWidth="1"/>
    <col min="5131" max="5377" width="9.140625" style="124"/>
    <col min="5378" max="5378" width="24.7109375" style="124" customWidth="1"/>
    <col min="5379" max="5379" width="11" style="124" customWidth="1"/>
    <col min="5380" max="5380" width="11.85546875" style="124" customWidth="1"/>
    <col min="5381" max="5386" width="11" style="124" customWidth="1"/>
    <col min="5387" max="5633" width="9.140625" style="124"/>
    <col min="5634" max="5634" width="24.7109375" style="124" customWidth="1"/>
    <col min="5635" max="5635" width="11" style="124" customWidth="1"/>
    <col min="5636" max="5636" width="11.85546875" style="124" customWidth="1"/>
    <col min="5637" max="5642" width="11" style="124" customWidth="1"/>
    <col min="5643" max="5889" width="9.140625" style="124"/>
    <col min="5890" max="5890" width="24.7109375" style="124" customWidth="1"/>
    <col min="5891" max="5891" width="11" style="124" customWidth="1"/>
    <col min="5892" max="5892" width="11.85546875" style="124" customWidth="1"/>
    <col min="5893" max="5898" width="11" style="124" customWidth="1"/>
    <col min="5899" max="6145" width="9.140625" style="124"/>
    <col min="6146" max="6146" width="24.7109375" style="124" customWidth="1"/>
    <col min="6147" max="6147" width="11" style="124" customWidth="1"/>
    <col min="6148" max="6148" width="11.85546875" style="124" customWidth="1"/>
    <col min="6149" max="6154" width="11" style="124" customWidth="1"/>
    <col min="6155" max="6401" width="9.140625" style="124"/>
    <col min="6402" max="6402" width="24.7109375" style="124" customWidth="1"/>
    <col min="6403" max="6403" width="11" style="124" customWidth="1"/>
    <col min="6404" max="6404" width="11.85546875" style="124" customWidth="1"/>
    <col min="6405" max="6410" width="11" style="124" customWidth="1"/>
    <col min="6411" max="6657" width="9.140625" style="124"/>
    <col min="6658" max="6658" width="24.7109375" style="124" customWidth="1"/>
    <col min="6659" max="6659" width="11" style="124" customWidth="1"/>
    <col min="6660" max="6660" width="11.85546875" style="124" customWidth="1"/>
    <col min="6661" max="6666" width="11" style="124" customWidth="1"/>
    <col min="6667" max="6913" width="9.140625" style="124"/>
    <col min="6914" max="6914" width="24.7109375" style="124" customWidth="1"/>
    <col min="6915" max="6915" width="11" style="124" customWidth="1"/>
    <col min="6916" max="6916" width="11.85546875" style="124" customWidth="1"/>
    <col min="6917" max="6922" width="11" style="124" customWidth="1"/>
    <col min="6923" max="7169" width="9.140625" style="124"/>
    <col min="7170" max="7170" width="24.7109375" style="124" customWidth="1"/>
    <col min="7171" max="7171" width="11" style="124" customWidth="1"/>
    <col min="7172" max="7172" width="11.85546875" style="124" customWidth="1"/>
    <col min="7173" max="7178" width="11" style="124" customWidth="1"/>
    <col min="7179" max="7425" width="9.140625" style="124"/>
    <col min="7426" max="7426" width="24.7109375" style="124" customWidth="1"/>
    <col min="7427" max="7427" width="11" style="124" customWidth="1"/>
    <col min="7428" max="7428" width="11.85546875" style="124" customWidth="1"/>
    <col min="7429" max="7434" width="11" style="124" customWidth="1"/>
    <col min="7435" max="7681" width="9.140625" style="124"/>
    <col min="7682" max="7682" width="24.7109375" style="124" customWidth="1"/>
    <col min="7683" max="7683" width="11" style="124" customWidth="1"/>
    <col min="7684" max="7684" width="11.85546875" style="124" customWidth="1"/>
    <col min="7685" max="7690" width="11" style="124" customWidth="1"/>
    <col min="7691" max="7937" width="9.140625" style="124"/>
    <col min="7938" max="7938" width="24.7109375" style="124" customWidth="1"/>
    <col min="7939" max="7939" width="11" style="124" customWidth="1"/>
    <col min="7940" max="7940" width="11.85546875" style="124" customWidth="1"/>
    <col min="7941" max="7946" width="11" style="124" customWidth="1"/>
    <col min="7947" max="8193" width="9.140625" style="124"/>
    <col min="8194" max="8194" width="24.7109375" style="124" customWidth="1"/>
    <col min="8195" max="8195" width="11" style="124" customWidth="1"/>
    <col min="8196" max="8196" width="11.85546875" style="124" customWidth="1"/>
    <col min="8197" max="8202" width="11" style="124" customWidth="1"/>
    <col min="8203" max="8449" width="9.140625" style="124"/>
    <col min="8450" max="8450" width="24.7109375" style="124" customWidth="1"/>
    <col min="8451" max="8451" width="11" style="124" customWidth="1"/>
    <col min="8452" max="8452" width="11.85546875" style="124" customWidth="1"/>
    <col min="8453" max="8458" width="11" style="124" customWidth="1"/>
    <col min="8459" max="8705" width="9.140625" style="124"/>
    <col min="8706" max="8706" width="24.7109375" style="124" customWidth="1"/>
    <col min="8707" max="8707" width="11" style="124" customWidth="1"/>
    <col min="8708" max="8708" width="11.85546875" style="124" customWidth="1"/>
    <col min="8709" max="8714" width="11" style="124" customWidth="1"/>
    <col min="8715" max="8961" width="9.140625" style="124"/>
    <col min="8962" max="8962" width="24.7109375" style="124" customWidth="1"/>
    <col min="8963" max="8963" width="11" style="124" customWidth="1"/>
    <col min="8964" max="8964" width="11.85546875" style="124" customWidth="1"/>
    <col min="8965" max="8970" width="11" style="124" customWidth="1"/>
    <col min="8971" max="9217" width="9.140625" style="124"/>
    <col min="9218" max="9218" width="24.7109375" style="124" customWidth="1"/>
    <col min="9219" max="9219" width="11" style="124" customWidth="1"/>
    <col min="9220" max="9220" width="11.85546875" style="124" customWidth="1"/>
    <col min="9221" max="9226" width="11" style="124" customWidth="1"/>
    <col min="9227" max="9473" width="9.140625" style="124"/>
    <col min="9474" max="9474" width="24.7109375" style="124" customWidth="1"/>
    <col min="9475" max="9475" width="11" style="124" customWidth="1"/>
    <col min="9476" max="9476" width="11.85546875" style="124" customWidth="1"/>
    <col min="9477" max="9482" width="11" style="124" customWidth="1"/>
    <col min="9483" max="9729" width="9.140625" style="124"/>
    <col min="9730" max="9730" width="24.7109375" style="124" customWidth="1"/>
    <col min="9731" max="9731" width="11" style="124" customWidth="1"/>
    <col min="9732" max="9732" width="11.85546875" style="124" customWidth="1"/>
    <col min="9733" max="9738" width="11" style="124" customWidth="1"/>
    <col min="9739" max="9985" width="9.140625" style="124"/>
    <col min="9986" max="9986" width="24.7109375" style="124" customWidth="1"/>
    <col min="9987" max="9987" width="11" style="124" customWidth="1"/>
    <col min="9988" max="9988" width="11.85546875" style="124" customWidth="1"/>
    <col min="9989" max="9994" width="11" style="124" customWidth="1"/>
    <col min="9995" max="10241" width="9.140625" style="124"/>
    <col min="10242" max="10242" width="24.7109375" style="124" customWidth="1"/>
    <col min="10243" max="10243" width="11" style="124" customWidth="1"/>
    <col min="10244" max="10244" width="11.85546875" style="124" customWidth="1"/>
    <col min="10245" max="10250" width="11" style="124" customWidth="1"/>
    <col min="10251" max="10497" width="9.140625" style="124"/>
    <col min="10498" max="10498" width="24.7109375" style="124" customWidth="1"/>
    <col min="10499" max="10499" width="11" style="124" customWidth="1"/>
    <col min="10500" max="10500" width="11.85546875" style="124" customWidth="1"/>
    <col min="10501" max="10506" width="11" style="124" customWidth="1"/>
    <col min="10507" max="10753" width="9.140625" style="124"/>
    <col min="10754" max="10754" width="24.7109375" style="124" customWidth="1"/>
    <col min="10755" max="10755" width="11" style="124" customWidth="1"/>
    <col min="10756" max="10756" width="11.85546875" style="124" customWidth="1"/>
    <col min="10757" max="10762" width="11" style="124" customWidth="1"/>
    <col min="10763" max="11009" width="9.140625" style="124"/>
    <col min="11010" max="11010" width="24.7109375" style="124" customWidth="1"/>
    <col min="11011" max="11011" width="11" style="124" customWidth="1"/>
    <col min="11012" max="11012" width="11.85546875" style="124" customWidth="1"/>
    <col min="11013" max="11018" width="11" style="124" customWidth="1"/>
    <col min="11019" max="11265" width="9.140625" style="124"/>
    <col min="11266" max="11266" width="24.7109375" style="124" customWidth="1"/>
    <col min="11267" max="11267" width="11" style="124" customWidth="1"/>
    <col min="11268" max="11268" width="11.85546875" style="124" customWidth="1"/>
    <col min="11269" max="11274" width="11" style="124" customWidth="1"/>
    <col min="11275" max="11521" width="9.140625" style="124"/>
    <col min="11522" max="11522" width="24.7109375" style="124" customWidth="1"/>
    <col min="11523" max="11523" width="11" style="124" customWidth="1"/>
    <col min="11524" max="11524" width="11.85546875" style="124" customWidth="1"/>
    <col min="11525" max="11530" width="11" style="124" customWidth="1"/>
    <col min="11531" max="11777" width="9.140625" style="124"/>
    <col min="11778" max="11778" width="24.7109375" style="124" customWidth="1"/>
    <col min="11779" max="11779" width="11" style="124" customWidth="1"/>
    <col min="11780" max="11780" width="11.85546875" style="124" customWidth="1"/>
    <col min="11781" max="11786" width="11" style="124" customWidth="1"/>
    <col min="11787" max="12033" width="9.140625" style="124"/>
    <col min="12034" max="12034" width="24.7109375" style="124" customWidth="1"/>
    <col min="12035" max="12035" width="11" style="124" customWidth="1"/>
    <col min="12036" max="12036" width="11.85546875" style="124" customWidth="1"/>
    <col min="12037" max="12042" width="11" style="124" customWidth="1"/>
    <col min="12043" max="12289" width="9.140625" style="124"/>
    <col min="12290" max="12290" width="24.7109375" style="124" customWidth="1"/>
    <col min="12291" max="12291" width="11" style="124" customWidth="1"/>
    <col min="12292" max="12292" width="11.85546875" style="124" customWidth="1"/>
    <col min="12293" max="12298" width="11" style="124" customWidth="1"/>
    <col min="12299" max="12545" width="9.140625" style="124"/>
    <col min="12546" max="12546" width="24.7109375" style="124" customWidth="1"/>
    <col min="12547" max="12547" width="11" style="124" customWidth="1"/>
    <col min="12548" max="12548" width="11.85546875" style="124" customWidth="1"/>
    <col min="12549" max="12554" width="11" style="124" customWidth="1"/>
    <col min="12555" max="12801" width="9.140625" style="124"/>
    <col min="12802" max="12802" width="24.7109375" style="124" customWidth="1"/>
    <col min="12803" max="12803" width="11" style="124" customWidth="1"/>
    <col min="12804" max="12804" width="11.85546875" style="124" customWidth="1"/>
    <col min="12805" max="12810" width="11" style="124" customWidth="1"/>
    <col min="12811" max="13057" width="9.140625" style="124"/>
    <col min="13058" max="13058" width="24.7109375" style="124" customWidth="1"/>
    <col min="13059" max="13059" width="11" style="124" customWidth="1"/>
    <col min="13060" max="13060" width="11.85546875" style="124" customWidth="1"/>
    <col min="13061" max="13066" width="11" style="124" customWidth="1"/>
    <col min="13067" max="13313" width="9.140625" style="124"/>
    <col min="13314" max="13314" width="24.7109375" style="124" customWidth="1"/>
    <col min="13315" max="13315" width="11" style="124" customWidth="1"/>
    <col min="13316" max="13316" width="11.85546875" style="124" customWidth="1"/>
    <col min="13317" max="13322" width="11" style="124" customWidth="1"/>
    <col min="13323" max="13569" width="9.140625" style="124"/>
    <col min="13570" max="13570" width="24.7109375" style="124" customWidth="1"/>
    <col min="13571" max="13571" width="11" style="124" customWidth="1"/>
    <col min="13572" max="13572" width="11.85546875" style="124" customWidth="1"/>
    <col min="13573" max="13578" width="11" style="124" customWidth="1"/>
    <col min="13579" max="13825" width="9.140625" style="124"/>
    <col min="13826" max="13826" width="24.7109375" style="124" customWidth="1"/>
    <col min="13827" max="13827" width="11" style="124" customWidth="1"/>
    <col min="13828" max="13828" width="11.85546875" style="124" customWidth="1"/>
    <col min="13829" max="13834" width="11" style="124" customWidth="1"/>
    <col min="13835" max="14081" width="9.140625" style="124"/>
    <col min="14082" max="14082" width="24.7109375" style="124" customWidth="1"/>
    <col min="14083" max="14083" width="11" style="124" customWidth="1"/>
    <col min="14084" max="14084" width="11.85546875" style="124" customWidth="1"/>
    <col min="14085" max="14090" width="11" style="124" customWidth="1"/>
    <col min="14091" max="14337" width="9.140625" style="124"/>
    <col min="14338" max="14338" width="24.7109375" style="124" customWidth="1"/>
    <col min="14339" max="14339" width="11" style="124" customWidth="1"/>
    <col min="14340" max="14340" width="11.85546875" style="124" customWidth="1"/>
    <col min="14341" max="14346" width="11" style="124" customWidth="1"/>
    <col min="14347" max="14593" width="9.140625" style="124"/>
    <col min="14594" max="14594" width="24.7109375" style="124" customWidth="1"/>
    <col min="14595" max="14595" width="11" style="124" customWidth="1"/>
    <col min="14596" max="14596" width="11.85546875" style="124" customWidth="1"/>
    <col min="14597" max="14602" width="11" style="124" customWidth="1"/>
    <col min="14603" max="14849" width="9.140625" style="124"/>
    <col min="14850" max="14850" width="24.7109375" style="124" customWidth="1"/>
    <col min="14851" max="14851" width="11" style="124" customWidth="1"/>
    <col min="14852" max="14852" width="11.85546875" style="124" customWidth="1"/>
    <col min="14853" max="14858" width="11" style="124" customWidth="1"/>
    <col min="14859" max="15105" width="9.140625" style="124"/>
    <col min="15106" max="15106" width="24.7109375" style="124" customWidth="1"/>
    <col min="15107" max="15107" width="11" style="124" customWidth="1"/>
    <col min="15108" max="15108" width="11.85546875" style="124" customWidth="1"/>
    <col min="15109" max="15114" width="11" style="124" customWidth="1"/>
    <col min="15115" max="15361" width="9.140625" style="124"/>
    <col min="15362" max="15362" width="24.7109375" style="124" customWidth="1"/>
    <col min="15363" max="15363" width="11" style="124" customWidth="1"/>
    <col min="15364" max="15364" width="11.85546875" style="124" customWidth="1"/>
    <col min="15365" max="15370" width="11" style="124" customWidth="1"/>
    <col min="15371" max="15617" width="9.140625" style="124"/>
    <col min="15618" max="15618" width="24.7109375" style="124" customWidth="1"/>
    <col min="15619" max="15619" width="11" style="124" customWidth="1"/>
    <col min="15620" max="15620" width="11.85546875" style="124" customWidth="1"/>
    <col min="15621" max="15626" width="11" style="124" customWidth="1"/>
    <col min="15627" max="15873" width="9.140625" style="124"/>
    <col min="15874" max="15874" width="24.7109375" style="124" customWidth="1"/>
    <col min="15875" max="15875" width="11" style="124" customWidth="1"/>
    <col min="15876" max="15876" width="11.85546875" style="124" customWidth="1"/>
    <col min="15877" max="15882" width="11" style="124" customWidth="1"/>
    <col min="15883" max="16129" width="9.140625" style="124"/>
    <col min="16130" max="16130" width="24.7109375" style="124" customWidth="1"/>
    <col min="16131" max="16131" width="11" style="124" customWidth="1"/>
    <col min="16132" max="16132" width="11.85546875" style="124" customWidth="1"/>
    <col min="16133" max="16138" width="11" style="124" customWidth="1"/>
    <col min="16139" max="16384" width="9.140625" style="124"/>
  </cols>
  <sheetData>
    <row r="1" spans="2:13" ht="48" customHeight="1">
      <c r="B1" s="196" t="s">
        <v>113</v>
      </c>
      <c r="C1" s="196"/>
      <c r="D1" s="196"/>
      <c r="E1" s="196"/>
      <c r="F1" s="196"/>
      <c r="G1" s="196"/>
      <c r="H1" s="196"/>
      <c r="I1" s="196"/>
      <c r="J1" s="196"/>
    </row>
    <row r="2" spans="2:13" ht="12.75" customHeight="1">
      <c r="B2" s="197"/>
      <c r="C2" s="198" t="s">
        <v>1</v>
      </c>
      <c r="D2" s="198"/>
      <c r="E2" s="204" t="s">
        <v>2</v>
      </c>
      <c r="F2" s="204"/>
      <c r="G2" s="204"/>
      <c r="H2" s="204"/>
      <c r="I2" s="205" t="s">
        <v>5</v>
      </c>
      <c r="J2" s="205"/>
    </row>
    <row r="3" spans="2:13" ht="30" customHeight="1">
      <c r="B3" s="197"/>
      <c r="C3" s="199"/>
      <c r="D3" s="199"/>
      <c r="E3" s="144" t="s">
        <v>3</v>
      </c>
      <c r="F3" s="144"/>
      <c r="G3" s="144" t="s">
        <v>108</v>
      </c>
      <c r="H3" s="144"/>
      <c r="I3" s="206"/>
      <c r="J3" s="206"/>
    </row>
    <row r="4" spans="2:13" ht="45.75" customHeight="1">
      <c r="B4" s="203"/>
      <c r="C4" s="145" t="s">
        <v>59</v>
      </c>
      <c r="D4" s="146" t="s">
        <v>114</v>
      </c>
      <c r="E4" s="145" t="s">
        <v>59</v>
      </c>
      <c r="F4" s="146" t="s">
        <v>114</v>
      </c>
      <c r="G4" s="145" t="s">
        <v>59</v>
      </c>
      <c r="H4" s="146" t="s">
        <v>114</v>
      </c>
      <c r="I4" s="145" t="s">
        <v>59</v>
      </c>
      <c r="J4" s="146" t="s">
        <v>114</v>
      </c>
    </row>
    <row r="5" spans="2:13" ht="30" customHeight="1">
      <c r="B5" s="129" t="s">
        <v>6</v>
      </c>
      <c r="C5" s="135">
        <v>1096</v>
      </c>
      <c r="D5" s="135">
        <v>336</v>
      </c>
      <c r="E5" s="135">
        <v>244</v>
      </c>
      <c r="F5" s="135">
        <v>63</v>
      </c>
      <c r="G5" s="135">
        <v>18</v>
      </c>
      <c r="H5" s="135">
        <v>6</v>
      </c>
      <c r="I5" s="135">
        <v>0</v>
      </c>
      <c r="J5" s="135">
        <v>1</v>
      </c>
      <c r="L5" s="147"/>
      <c r="M5" s="147"/>
    </row>
    <row r="6" spans="2:13" s="129" customFormat="1" ht="25.5" customHeight="1">
      <c r="B6" s="129" t="s">
        <v>7</v>
      </c>
      <c r="C6" s="148">
        <v>751</v>
      </c>
      <c r="D6" s="148">
        <v>207</v>
      </c>
      <c r="E6" s="148">
        <v>148</v>
      </c>
      <c r="F6" s="148">
        <v>41</v>
      </c>
      <c r="G6" s="148">
        <v>14</v>
      </c>
      <c r="H6" s="148">
        <v>5</v>
      </c>
      <c r="I6" s="148">
        <v>0</v>
      </c>
      <c r="J6" s="148">
        <v>1</v>
      </c>
    </row>
    <row r="7" spans="2:13" ht="12.75" customHeight="1">
      <c r="B7" s="124" t="s">
        <v>8</v>
      </c>
      <c r="C7" s="149">
        <v>14</v>
      </c>
      <c r="D7" s="149">
        <v>8</v>
      </c>
      <c r="E7" s="149">
        <v>3</v>
      </c>
      <c r="F7" s="149">
        <v>2</v>
      </c>
      <c r="G7" s="149">
        <v>0</v>
      </c>
      <c r="H7" s="150">
        <v>0</v>
      </c>
      <c r="I7" s="150">
        <v>0</v>
      </c>
      <c r="J7" s="150">
        <v>0</v>
      </c>
    </row>
    <row r="8" spans="2:13" ht="12.75" customHeight="1">
      <c r="B8" s="124" t="s">
        <v>9</v>
      </c>
      <c r="C8" s="149">
        <v>33</v>
      </c>
      <c r="D8" s="149">
        <v>18</v>
      </c>
      <c r="E8" s="149">
        <v>6</v>
      </c>
      <c r="F8" s="149">
        <v>1</v>
      </c>
      <c r="G8" s="149">
        <v>0</v>
      </c>
      <c r="H8" s="150">
        <v>0</v>
      </c>
      <c r="I8" s="150">
        <v>0</v>
      </c>
      <c r="J8" s="150">
        <v>0</v>
      </c>
    </row>
    <row r="9" spans="2:13" ht="12.75" customHeight="1">
      <c r="B9" s="124" t="s">
        <v>10</v>
      </c>
      <c r="C9" s="150">
        <v>15</v>
      </c>
      <c r="D9" s="150">
        <v>4</v>
      </c>
      <c r="E9" s="150">
        <v>4</v>
      </c>
      <c r="F9" s="150">
        <v>1</v>
      </c>
      <c r="G9" s="150">
        <v>2</v>
      </c>
      <c r="H9" s="150">
        <v>0</v>
      </c>
      <c r="I9" s="150">
        <v>0</v>
      </c>
      <c r="J9" s="150">
        <v>0</v>
      </c>
    </row>
    <row r="10" spans="2:13" ht="12.75" customHeight="1">
      <c r="B10" s="124" t="s">
        <v>11</v>
      </c>
      <c r="C10" s="149">
        <v>14</v>
      </c>
      <c r="D10" s="149">
        <v>2</v>
      </c>
      <c r="E10" s="149">
        <v>2</v>
      </c>
      <c r="F10" s="149">
        <v>0</v>
      </c>
      <c r="G10" s="149">
        <v>0</v>
      </c>
      <c r="H10" s="150">
        <v>0</v>
      </c>
      <c r="I10" s="150">
        <v>0</v>
      </c>
      <c r="J10" s="150">
        <v>0</v>
      </c>
    </row>
    <row r="11" spans="2:13" ht="12.75" customHeight="1">
      <c r="B11" s="124" t="s">
        <v>12</v>
      </c>
      <c r="C11" s="149">
        <v>50</v>
      </c>
      <c r="D11" s="149">
        <v>14</v>
      </c>
      <c r="E11" s="149">
        <v>7</v>
      </c>
      <c r="F11" s="149">
        <v>4</v>
      </c>
      <c r="G11" s="149">
        <v>0</v>
      </c>
      <c r="H11" s="150">
        <v>0</v>
      </c>
      <c r="I11" s="150">
        <v>0</v>
      </c>
      <c r="J11" s="150">
        <v>0</v>
      </c>
    </row>
    <row r="12" spans="2:13" ht="12.75" customHeight="1">
      <c r="B12" s="124" t="s">
        <v>13</v>
      </c>
      <c r="C12" s="149">
        <v>13</v>
      </c>
      <c r="D12" s="149">
        <v>1</v>
      </c>
      <c r="E12" s="149">
        <v>2</v>
      </c>
      <c r="F12" s="149">
        <v>0</v>
      </c>
      <c r="G12" s="149">
        <v>0</v>
      </c>
      <c r="H12" s="150">
        <v>0</v>
      </c>
      <c r="I12" s="150">
        <v>0</v>
      </c>
      <c r="J12" s="150">
        <v>0</v>
      </c>
    </row>
    <row r="13" spans="2:13" ht="12.75" customHeight="1">
      <c r="B13" s="124" t="s">
        <v>14</v>
      </c>
      <c r="C13" s="149">
        <v>3</v>
      </c>
      <c r="D13" s="149">
        <v>5</v>
      </c>
      <c r="E13" s="149">
        <v>3</v>
      </c>
      <c r="F13" s="149">
        <v>0</v>
      </c>
      <c r="G13" s="149">
        <v>0</v>
      </c>
      <c r="H13" s="150">
        <v>0</v>
      </c>
      <c r="I13" s="150">
        <v>0</v>
      </c>
      <c r="J13" s="150">
        <v>0</v>
      </c>
    </row>
    <row r="14" spans="2:13" ht="12.75" customHeight="1">
      <c r="B14" s="124" t="s">
        <v>15</v>
      </c>
      <c r="C14" s="149">
        <v>12</v>
      </c>
      <c r="D14" s="149">
        <v>5</v>
      </c>
      <c r="E14" s="149">
        <v>3</v>
      </c>
      <c r="F14" s="149">
        <v>3</v>
      </c>
      <c r="G14" s="149">
        <v>0</v>
      </c>
      <c r="H14" s="150">
        <v>0</v>
      </c>
      <c r="I14" s="150">
        <v>0</v>
      </c>
      <c r="J14" s="150">
        <v>0</v>
      </c>
    </row>
    <row r="15" spans="2:13" ht="12.75" customHeight="1">
      <c r="B15" s="124" t="s">
        <v>16</v>
      </c>
      <c r="C15" s="149">
        <v>9</v>
      </c>
      <c r="D15" s="149">
        <v>3</v>
      </c>
      <c r="E15" s="149">
        <v>2</v>
      </c>
      <c r="F15" s="149">
        <v>1</v>
      </c>
      <c r="G15" s="149">
        <v>0</v>
      </c>
      <c r="H15" s="150">
        <v>0</v>
      </c>
      <c r="I15" s="150">
        <v>0</v>
      </c>
      <c r="J15" s="150">
        <v>0</v>
      </c>
    </row>
    <row r="16" spans="2:13" ht="12.75" customHeight="1">
      <c r="B16" s="124" t="s">
        <v>17</v>
      </c>
      <c r="C16" s="149">
        <v>18</v>
      </c>
      <c r="D16" s="149">
        <v>6</v>
      </c>
      <c r="E16" s="149">
        <v>4</v>
      </c>
      <c r="F16" s="149">
        <v>0</v>
      </c>
      <c r="G16" s="149">
        <v>0</v>
      </c>
      <c r="H16" s="150">
        <v>0</v>
      </c>
      <c r="I16" s="150">
        <v>0</v>
      </c>
      <c r="J16" s="150">
        <v>0</v>
      </c>
    </row>
    <row r="17" spans="2:10" ht="12.75" customHeight="1">
      <c r="B17" s="151" t="s">
        <v>18</v>
      </c>
      <c r="C17" s="149">
        <v>53</v>
      </c>
      <c r="D17" s="149">
        <v>9</v>
      </c>
      <c r="E17" s="149">
        <v>15</v>
      </c>
      <c r="F17" s="149">
        <v>1</v>
      </c>
      <c r="G17" s="149">
        <v>1</v>
      </c>
      <c r="H17" s="150">
        <v>0</v>
      </c>
      <c r="I17" s="150">
        <v>0</v>
      </c>
      <c r="J17" s="150">
        <v>0</v>
      </c>
    </row>
    <row r="18" spans="2:10" s="184" customFormat="1" ht="12.75" customHeight="1">
      <c r="B18" s="132" t="s">
        <v>125</v>
      </c>
      <c r="C18" s="165" t="s">
        <v>126</v>
      </c>
      <c r="D18" s="165" t="s">
        <v>126</v>
      </c>
      <c r="E18" s="165" t="s">
        <v>126</v>
      </c>
      <c r="F18" s="165" t="s">
        <v>126</v>
      </c>
      <c r="G18" s="149" t="s">
        <v>126</v>
      </c>
      <c r="H18" s="150" t="s">
        <v>126</v>
      </c>
      <c r="I18" s="150" t="s">
        <v>126</v>
      </c>
      <c r="J18" s="150" t="s">
        <v>126</v>
      </c>
    </row>
    <row r="19" spans="2:10" ht="12.75" customHeight="1">
      <c r="B19" s="124" t="s">
        <v>19</v>
      </c>
      <c r="C19" s="149">
        <v>28</v>
      </c>
      <c r="D19" s="149">
        <v>9</v>
      </c>
      <c r="E19" s="149">
        <v>5</v>
      </c>
      <c r="F19" s="149">
        <v>4</v>
      </c>
      <c r="G19" s="149">
        <v>0</v>
      </c>
      <c r="H19" s="150">
        <v>0</v>
      </c>
      <c r="I19" s="150">
        <v>0</v>
      </c>
      <c r="J19" s="150">
        <v>0</v>
      </c>
    </row>
    <row r="20" spans="2:10" ht="12.75" customHeight="1">
      <c r="B20" s="124" t="s">
        <v>20</v>
      </c>
      <c r="C20" s="149">
        <v>5</v>
      </c>
      <c r="D20" s="149">
        <v>0</v>
      </c>
      <c r="E20" s="149">
        <v>3</v>
      </c>
      <c r="F20" s="149">
        <v>0</v>
      </c>
      <c r="G20" s="149">
        <v>0</v>
      </c>
      <c r="H20" s="150">
        <v>0</v>
      </c>
      <c r="I20" s="150">
        <v>0</v>
      </c>
      <c r="J20" s="150">
        <v>0</v>
      </c>
    </row>
    <row r="21" spans="2:10" ht="12.75" customHeight="1">
      <c r="B21" s="124" t="s">
        <v>21</v>
      </c>
      <c r="C21" s="149">
        <v>24</v>
      </c>
      <c r="D21" s="149">
        <v>15</v>
      </c>
      <c r="E21" s="149">
        <v>2</v>
      </c>
      <c r="F21" s="149">
        <v>2</v>
      </c>
      <c r="G21" s="149">
        <v>0</v>
      </c>
      <c r="H21" s="150">
        <v>1</v>
      </c>
      <c r="I21" s="150">
        <v>0</v>
      </c>
      <c r="J21" s="150">
        <v>0</v>
      </c>
    </row>
    <row r="22" spans="2:10" ht="12.75" customHeight="1">
      <c r="B22" s="124" t="s">
        <v>22</v>
      </c>
      <c r="C22" s="149">
        <v>22</v>
      </c>
      <c r="D22" s="149">
        <v>2</v>
      </c>
      <c r="E22" s="149">
        <v>2</v>
      </c>
      <c r="F22" s="149">
        <v>0</v>
      </c>
      <c r="G22" s="149">
        <v>1</v>
      </c>
      <c r="H22" s="150">
        <v>0</v>
      </c>
      <c r="I22" s="150">
        <v>0</v>
      </c>
      <c r="J22" s="150">
        <v>0</v>
      </c>
    </row>
    <row r="23" spans="2:10" ht="12.75" customHeight="1">
      <c r="B23" s="124" t="s">
        <v>23</v>
      </c>
      <c r="C23" s="149">
        <v>10</v>
      </c>
      <c r="D23" s="149">
        <v>13</v>
      </c>
      <c r="E23" s="149">
        <v>4</v>
      </c>
      <c r="F23" s="149">
        <v>0</v>
      </c>
      <c r="G23" s="149">
        <v>0</v>
      </c>
      <c r="H23" s="150">
        <v>0</v>
      </c>
      <c r="I23" s="150">
        <v>0</v>
      </c>
      <c r="J23" s="150">
        <v>0</v>
      </c>
    </row>
    <row r="24" spans="2:10" ht="12.75" customHeight="1">
      <c r="B24" s="124" t="s">
        <v>24</v>
      </c>
      <c r="C24" s="149">
        <v>32</v>
      </c>
      <c r="D24" s="149">
        <v>2</v>
      </c>
      <c r="E24" s="149">
        <v>7</v>
      </c>
      <c r="F24" s="149">
        <v>1</v>
      </c>
      <c r="G24" s="149">
        <v>0</v>
      </c>
      <c r="H24" s="150">
        <v>1</v>
      </c>
      <c r="I24" s="150">
        <v>0</v>
      </c>
      <c r="J24" s="150">
        <v>0</v>
      </c>
    </row>
    <row r="25" spans="2:10" ht="12.75" customHeight="1">
      <c r="B25" s="124" t="s">
        <v>25</v>
      </c>
      <c r="C25" s="149">
        <v>29</v>
      </c>
      <c r="D25" s="149">
        <v>4</v>
      </c>
      <c r="E25" s="149">
        <v>6</v>
      </c>
      <c r="F25" s="149">
        <v>1</v>
      </c>
      <c r="G25" s="149">
        <v>0</v>
      </c>
      <c r="H25" s="150">
        <v>0</v>
      </c>
      <c r="I25" s="150">
        <v>0</v>
      </c>
      <c r="J25" s="150">
        <v>0</v>
      </c>
    </row>
    <row r="26" spans="2:10" ht="12.75" customHeight="1">
      <c r="B26" s="124" t="s">
        <v>26</v>
      </c>
      <c r="C26" s="149">
        <v>24</v>
      </c>
      <c r="D26" s="149">
        <v>6</v>
      </c>
      <c r="E26" s="149">
        <v>2</v>
      </c>
      <c r="F26" s="149">
        <v>1</v>
      </c>
      <c r="G26" s="149">
        <v>1</v>
      </c>
      <c r="H26" s="150">
        <v>0</v>
      </c>
      <c r="I26" s="150">
        <v>0</v>
      </c>
      <c r="J26" s="150">
        <v>0</v>
      </c>
    </row>
    <row r="27" spans="2:10" ht="12.75" customHeight="1">
      <c r="B27" s="124" t="s">
        <v>27</v>
      </c>
      <c r="C27" s="149">
        <v>23</v>
      </c>
      <c r="D27" s="149">
        <v>9</v>
      </c>
      <c r="E27" s="149">
        <v>2</v>
      </c>
      <c r="F27" s="149">
        <v>2</v>
      </c>
      <c r="G27" s="149">
        <v>0</v>
      </c>
      <c r="H27" s="150">
        <v>0</v>
      </c>
      <c r="I27" s="150">
        <v>0</v>
      </c>
      <c r="J27" s="150">
        <v>0</v>
      </c>
    </row>
    <row r="28" spans="2:10" ht="12.75" customHeight="1">
      <c r="B28" s="152" t="s">
        <v>28</v>
      </c>
      <c r="C28" s="149">
        <v>2</v>
      </c>
      <c r="D28" s="149">
        <v>0</v>
      </c>
      <c r="E28" s="149">
        <v>0</v>
      </c>
      <c r="F28" s="149">
        <v>0</v>
      </c>
      <c r="G28" s="149">
        <v>0</v>
      </c>
      <c r="H28" s="150">
        <v>0</v>
      </c>
      <c r="I28" s="150">
        <v>0</v>
      </c>
      <c r="J28" s="150">
        <v>1</v>
      </c>
    </row>
    <row r="29" spans="2:10" ht="12.75" customHeight="1">
      <c r="B29" s="124" t="s">
        <v>29</v>
      </c>
      <c r="C29" s="149">
        <v>40</v>
      </c>
      <c r="D29" s="149">
        <v>7</v>
      </c>
      <c r="E29" s="149">
        <v>5</v>
      </c>
      <c r="F29" s="149">
        <v>2</v>
      </c>
      <c r="G29" s="149">
        <v>1</v>
      </c>
      <c r="H29" s="150">
        <v>0</v>
      </c>
      <c r="I29" s="150">
        <v>0</v>
      </c>
      <c r="J29" s="150">
        <v>0</v>
      </c>
    </row>
    <row r="30" spans="2:10" ht="12.75" customHeight="1">
      <c r="B30" s="124" t="s">
        <v>30</v>
      </c>
      <c r="C30" s="149">
        <v>22</v>
      </c>
      <c r="D30" s="149">
        <v>2</v>
      </c>
      <c r="E30" s="149">
        <v>7</v>
      </c>
      <c r="F30" s="149">
        <v>1</v>
      </c>
      <c r="G30" s="149">
        <v>1</v>
      </c>
      <c r="H30" s="150">
        <v>0</v>
      </c>
      <c r="I30" s="150">
        <v>0</v>
      </c>
      <c r="J30" s="150">
        <v>0</v>
      </c>
    </row>
    <row r="31" spans="2:10" ht="12.75" customHeight="1">
      <c r="B31" s="124" t="s">
        <v>31</v>
      </c>
      <c r="C31" s="149">
        <v>11</v>
      </c>
      <c r="D31" s="149">
        <v>3</v>
      </c>
      <c r="E31" s="149">
        <v>2</v>
      </c>
      <c r="F31" s="149">
        <v>1</v>
      </c>
      <c r="G31" s="149">
        <v>0</v>
      </c>
      <c r="H31" s="150">
        <v>1</v>
      </c>
      <c r="I31" s="150">
        <v>0</v>
      </c>
      <c r="J31" s="150">
        <v>0</v>
      </c>
    </row>
    <row r="32" spans="2:10" ht="12.75" customHeight="1">
      <c r="B32" s="124" t="s">
        <v>32</v>
      </c>
      <c r="C32" s="150">
        <v>19</v>
      </c>
      <c r="D32" s="150">
        <v>1</v>
      </c>
      <c r="E32" s="150">
        <v>7</v>
      </c>
      <c r="F32" s="150">
        <v>1</v>
      </c>
      <c r="G32" s="150">
        <v>1</v>
      </c>
      <c r="H32" s="150">
        <v>0</v>
      </c>
      <c r="I32" s="150">
        <v>0</v>
      </c>
      <c r="J32" s="150">
        <v>0</v>
      </c>
    </row>
    <row r="33" spans="2:12" ht="12.75" customHeight="1">
      <c r="B33" s="124" t="s">
        <v>33</v>
      </c>
      <c r="C33" s="150">
        <v>31</v>
      </c>
      <c r="D33" s="150">
        <v>13</v>
      </c>
      <c r="E33" s="150">
        <v>6</v>
      </c>
      <c r="F33" s="150">
        <v>3</v>
      </c>
      <c r="G33" s="150">
        <v>0</v>
      </c>
      <c r="H33" s="150">
        <v>0</v>
      </c>
      <c r="I33" s="150">
        <v>0</v>
      </c>
      <c r="J33" s="150">
        <v>0</v>
      </c>
    </row>
    <row r="34" spans="2:12" ht="12.75" customHeight="1">
      <c r="B34" s="124" t="s">
        <v>34</v>
      </c>
      <c r="C34" s="150">
        <v>4</v>
      </c>
      <c r="D34" s="150">
        <v>5</v>
      </c>
      <c r="E34" s="150">
        <v>2</v>
      </c>
      <c r="F34" s="150">
        <v>0</v>
      </c>
      <c r="G34" s="150">
        <v>0</v>
      </c>
      <c r="H34" s="150">
        <v>0</v>
      </c>
      <c r="I34" s="150">
        <v>0</v>
      </c>
      <c r="J34" s="150">
        <v>0</v>
      </c>
    </row>
    <row r="35" spans="2:12" ht="12.75" customHeight="1">
      <c r="B35" s="124" t="s">
        <v>35</v>
      </c>
      <c r="C35" s="150">
        <v>24</v>
      </c>
      <c r="D35" s="150">
        <v>4</v>
      </c>
      <c r="E35" s="150">
        <v>3</v>
      </c>
      <c r="F35" s="150">
        <v>2</v>
      </c>
      <c r="G35" s="150">
        <v>0</v>
      </c>
      <c r="H35" s="150">
        <v>0</v>
      </c>
      <c r="I35" s="150">
        <v>0</v>
      </c>
      <c r="J35" s="150">
        <v>0</v>
      </c>
    </row>
    <row r="36" spans="2:12" ht="12.75" customHeight="1">
      <c r="B36" s="124" t="s">
        <v>36</v>
      </c>
      <c r="C36" s="150">
        <v>8</v>
      </c>
      <c r="D36" s="150">
        <v>1</v>
      </c>
      <c r="E36" s="150">
        <v>2</v>
      </c>
      <c r="F36" s="150">
        <v>0</v>
      </c>
      <c r="G36" s="150">
        <v>2</v>
      </c>
      <c r="H36" s="150">
        <v>0</v>
      </c>
      <c r="I36" s="150">
        <v>0</v>
      </c>
      <c r="J36" s="150">
        <v>0</v>
      </c>
    </row>
    <row r="37" spans="2:12" ht="12.75" customHeight="1">
      <c r="B37" s="124" t="s">
        <v>37</v>
      </c>
      <c r="C37" s="150">
        <v>23</v>
      </c>
      <c r="D37" s="150">
        <v>1</v>
      </c>
      <c r="E37" s="150">
        <v>3</v>
      </c>
      <c r="F37" s="150">
        <v>0</v>
      </c>
      <c r="G37" s="150">
        <v>0</v>
      </c>
      <c r="H37" s="150">
        <v>0</v>
      </c>
      <c r="I37" s="150">
        <v>0</v>
      </c>
      <c r="J37" s="150">
        <v>0</v>
      </c>
    </row>
    <row r="38" spans="2:12" ht="12.75" customHeight="1">
      <c r="B38" s="124" t="s">
        <v>38</v>
      </c>
      <c r="C38" s="150">
        <v>12</v>
      </c>
      <c r="D38" s="150">
        <v>5</v>
      </c>
      <c r="E38" s="150">
        <v>1</v>
      </c>
      <c r="F38" s="150">
        <v>0</v>
      </c>
      <c r="G38" s="150">
        <v>0</v>
      </c>
      <c r="H38" s="150">
        <v>0</v>
      </c>
      <c r="I38" s="150">
        <v>0</v>
      </c>
      <c r="J38" s="150">
        <v>0</v>
      </c>
    </row>
    <row r="39" spans="2:12" ht="12.75" customHeight="1">
      <c r="B39" s="124" t="s">
        <v>39</v>
      </c>
      <c r="C39" s="150">
        <v>8</v>
      </c>
      <c r="D39" s="150">
        <v>3</v>
      </c>
      <c r="E39" s="150">
        <v>1</v>
      </c>
      <c r="F39" s="150">
        <v>0</v>
      </c>
      <c r="G39" s="150">
        <v>2</v>
      </c>
      <c r="H39" s="150">
        <v>2</v>
      </c>
      <c r="I39" s="150">
        <v>0</v>
      </c>
      <c r="J39" s="150">
        <v>0</v>
      </c>
    </row>
    <row r="40" spans="2:12" ht="12.75" customHeight="1">
      <c r="B40" s="124" t="s">
        <v>40</v>
      </c>
      <c r="C40" s="150">
        <v>23</v>
      </c>
      <c r="D40" s="150">
        <v>7</v>
      </c>
      <c r="E40" s="150">
        <v>4</v>
      </c>
      <c r="F40" s="150">
        <v>3</v>
      </c>
      <c r="G40" s="150">
        <v>0</v>
      </c>
      <c r="H40" s="150">
        <v>0</v>
      </c>
      <c r="I40" s="150">
        <v>0</v>
      </c>
      <c r="J40" s="150">
        <v>0</v>
      </c>
    </row>
    <row r="41" spans="2:12" ht="12.75" customHeight="1">
      <c r="B41" s="124" t="s">
        <v>41</v>
      </c>
      <c r="C41" s="150">
        <v>18</v>
      </c>
      <c r="D41" s="150">
        <v>1</v>
      </c>
      <c r="E41" s="150">
        <v>2</v>
      </c>
      <c r="F41" s="150">
        <v>0</v>
      </c>
      <c r="G41" s="150">
        <v>0</v>
      </c>
      <c r="H41" s="150">
        <v>0</v>
      </c>
      <c r="I41" s="150">
        <v>0</v>
      </c>
      <c r="J41" s="150">
        <v>0</v>
      </c>
      <c r="K41" s="129"/>
    </row>
    <row r="42" spans="2:12" ht="12.75" customHeight="1">
      <c r="B42" s="124" t="s">
        <v>42</v>
      </c>
      <c r="C42" s="150">
        <v>23</v>
      </c>
      <c r="D42" s="150">
        <v>6</v>
      </c>
      <c r="E42" s="150">
        <v>1</v>
      </c>
      <c r="F42" s="150">
        <v>0</v>
      </c>
      <c r="G42" s="150">
        <v>0</v>
      </c>
      <c r="H42" s="150">
        <v>0</v>
      </c>
      <c r="I42" s="150">
        <v>0</v>
      </c>
      <c r="J42" s="150">
        <v>0</v>
      </c>
    </row>
    <row r="43" spans="2:12" ht="12.75" customHeight="1">
      <c r="B43" s="124" t="s">
        <v>43</v>
      </c>
      <c r="C43" s="150">
        <v>19</v>
      </c>
      <c r="D43" s="150">
        <v>1</v>
      </c>
      <c r="E43" s="150">
        <v>8</v>
      </c>
      <c r="F43" s="150">
        <v>0</v>
      </c>
      <c r="G43" s="150">
        <v>1</v>
      </c>
      <c r="H43" s="150">
        <v>0</v>
      </c>
      <c r="I43" s="150">
        <v>0</v>
      </c>
      <c r="J43" s="150">
        <v>0</v>
      </c>
    </row>
    <row r="44" spans="2:12" ht="12.75" customHeight="1">
      <c r="B44" s="124" t="s">
        <v>44</v>
      </c>
      <c r="C44" s="150">
        <v>19</v>
      </c>
      <c r="D44" s="150">
        <v>6</v>
      </c>
      <c r="E44" s="150">
        <v>7</v>
      </c>
      <c r="F44" s="150">
        <v>1</v>
      </c>
      <c r="G44" s="150">
        <v>0</v>
      </c>
      <c r="H44" s="150">
        <v>0</v>
      </c>
      <c r="I44" s="150">
        <v>0</v>
      </c>
      <c r="J44" s="150">
        <v>0</v>
      </c>
      <c r="L44" s="129"/>
    </row>
    <row r="45" spans="2:12" ht="12.75" customHeight="1">
      <c r="B45" s="124" t="s">
        <v>45</v>
      </c>
      <c r="C45" s="150">
        <v>14</v>
      </c>
      <c r="D45" s="150">
        <v>6</v>
      </c>
      <c r="E45" s="150">
        <v>3</v>
      </c>
      <c r="F45" s="150">
        <v>3</v>
      </c>
      <c r="G45" s="150">
        <v>1</v>
      </c>
      <c r="H45" s="150">
        <v>0</v>
      </c>
      <c r="I45" s="150">
        <v>0</v>
      </c>
      <c r="J45" s="150">
        <v>0</v>
      </c>
      <c r="L45" s="154"/>
    </row>
    <row r="46" spans="2:12" ht="12.75" customHeight="1">
      <c r="B46" s="152" t="s">
        <v>46</v>
      </c>
      <c r="C46" s="149">
        <v>0</v>
      </c>
      <c r="D46" s="149">
        <v>0</v>
      </c>
      <c r="E46" s="149">
        <v>0</v>
      </c>
      <c r="F46" s="149">
        <v>0</v>
      </c>
      <c r="G46" s="149">
        <v>0</v>
      </c>
      <c r="H46" s="150">
        <v>0</v>
      </c>
      <c r="I46" s="150">
        <v>0</v>
      </c>
      <c r="J46" s="150">
        <v>0</v>
      </c>
    </row>
    <row r="47" spans="2:12" s="129" customFormat="1" ht="25.5" customHeight="1">
      <c r="B47" s="129" t="s">
        <v>47</v>
      </c>
      <c r="C47" s="155">
        <v>345</v>
      </c>
      <c r="D47" s="155">
        <v>129</v>
      </c>
      <c r="E47" s="155">
        <v>96</v>
      </c>
      <c r="F47" s="155">
        <v>22</v>
      </c>
      <c r="G47" s="155">
        <v>4</v>
      </c>
      <c r="H47" s="155">
        <v>1</v>
      </c>
      <c r="I47" s="155">
        <v>0</v>
      </c>
      <c r="J47" s="155">
        <v>0</v>
      </c>
    </row>
    <row r="48" spans="2:12" ht="12.75" customHeight="1">
      <c r="B48" s="124" t="s">
        <v>48</v>
      </c>
      <c r="C48" s="149">
        <v>38</v>
      </c>
      <c r="D48" s="149">
        <v>12</v>
      </c>
      <c r="E48" s="149">
        <v>12</v>
      </c>
      <c r="F48" s="149">
        <v>0</v>
      </c>
      <c r="G48" s="149">
        <v>0</v>
      </c>
      <c r="H48" s="150">
        <v>0</v>
      </c>
      <c r="I48" s="150">
        <v>0</v>
      </c>
      <c r="J48" s="150">
        <v>0</v>
      </c>
    </row>
    <row r="49" spans="2:12" ht="12.75" customHeight="1">
      <c r="B49" s="124" t="s">
        <v>49</v>
      </c>
      <c r="C49" s="149">
        <v>30</v>
      </c>
      <c r="D49" s="149">
        <v>1</v>
      </c>
      <c r="E49" s="149">
        <v>5</v>
      </c>
      <c r="F49" s="149">
        <v>0</v>
      </c>
      <c r="G49" s="149">
        <v>0</v>
      </c>
      <c r="H49" s="150">
        <v>0</v>
      </c>
      <c r="I49" s="150">
        <v>0</v>
      </c>
      <c r="J49" s="150">
        <v>0</v>
      </c>
    </row>
    <row r="50" spans="2:12" ht="12.75" customHeight="1">
      <c r="B50" s="124" t="s">
        <v>50</v>
      </c>
      <c r="C50" s="149">
        <v>37</v>
      </c>
      <c r="D50" s="149">
        <v>10</v>
      </c>
      <c r="E50" s="149">
        <v>6</v>
      </c>
      <c r="F50" s="149">
        <v>5</v>
      </c>
      <c r="G50" s="149">
        <v>0</v>
      </c>
      <c r="H50" s="150">
        <v>0</v>
      </c>
      <c r="I50" s="150">
        <v>0</v>
      </c>
      <c r="J50" s="150">
        <v>0</v>
      </c>
    </row>
    <row r="51" spans="2:12" ht="12.75" customHeight="1">
      <c r="B51" s="124" t="s">
        <v>51</v>
      </c>
      <c r="C51" s="149">
        <v>21</v>
      </c>
      <c r="D51" s="149">
        <v>5</v>
      </c>
      <c r="E51" s="149">
        <v>5</v>
      </c>
      <c r="F51" s="149">
        <v>2</v>
      </c>
      <c r="G51" s="149">
        <v>0</v>
      </c>
      <c r="H51" s="150">
        <v>0</v>
      </c>
      <c r="I51" s="150">
        <v>0</v>
      </c>
      <c r="J51" s="150">
        <v>0</v>
      </c>
    </row>
    <row r="52" spans="2:12" ht="12.75" customHeight="1">
      <c r="B52" s="124" t="s">
        <v>52</v>
      </c>
      <c r="C52" s="149">
        <v>44</v>
      </c>
      <c r="D52" s="149">
        <v>15</v>
      </c>
      <c r="E52" s="149">
        <v>3</v>
      </c>
      <c r="F52" s="149">
        <v>2</v>
      </c>
      <c r="G52" s="149">
        <v>1</v>
      </c>
      <c r="H52" s="150">
        <v>0</v>
      </c>
      <c r="I52" s="150">
        <v>0</v>
      </c>
      <c r="J52" s="150">
        <v>0</v>
      </c>
    </row>
    <row r="53" spans="2:12" ht="12.75" customHeight="1">
      <c r="B53" s="124" t="s">
        <v>53</v>
      </c>
      <c r="C53" s="149">
        <v>35</v>
      </c>
      <c r="D53" s="149">
        <v>21</v>
      </c>
      <c r="E53" s="149">
        <v>7</v>
      </c>
      <c r="F53" s="149">
        <v>3</v>
      </c>
      <c r="G53" s="149">
        <v>0</v>
      </c>
      <c r="H53" s="150">
        <v>0</v>
      </c>
      <c r="I53" s="150">
        <v>0</v>
      </c>
      <c r="J53" s="150">
        <v>0</v>
      </c>
    </row>
    <row r="54" spans="2:12" ht="12.75" customHeight="1">
      <c r="B54" s="156" t="s">
        <v>54</v>
      </c>
      <c r="C54" s="157">
        <v>140</v>
      </c>
      <c r="D54" s="157">
        <v>65</v>
      </c>
      <c r="E54" s="157">
        <v>58</v>
      </c>
      <c r="F54" s="157">
        <v>10</v>
      </c>
      <c r="G54" s="157">
        <v>3</v>
      </c>
      <c r="H54" s="158">
        <v>1</v>
      </c>
      <c r="I54" s="158">
        <v>0</v>
      </c>
      <c r="J54" s="158">
        <v>0</v>
      </c>
    </row>
    <row r="55" spans="2:12" s="154" customFormat="1" ht="13.5" customHeight="1">
      <c r="C55" s="159"/>
      <c r="D55" s="160"/>
      <c r="E55" s="159"/>
      <c r="F55" s="159"/>
      <c r="G55" s="159"/>
      <c r="H55" s="159"/>
      <c r="I55" s="159"/>
      <c r="J55" s="159"/>
      <c r="K55" s="124"/>
      <c r="L55" s="124"/>
    </row>
    <row r="56" spans="2:12" ht="18.75" customHeight="1">
      <c r="B56" s="12" t="s">
        <v>55</v>
      </c>
    </row>
    <row r="57" spans="2:12" ht="15.75" customHeight="1">
      <c r="B57" s="12" t="s">
        <v>115</v>
      </c>
    </row>
    <row r="58" spans="2:12">
      <c r="B58" s="201" t="s">
        <v>111</v>
      </c>
      <c r="C58" s="201"/>
      <c r="D58" s="201"/>
      <c r="E58" s="201"/>
      <c r="F58" s="201"/>
      <c r="G58" s="201"/>
      <c r="H58" s="201"/>
      <c r="I58" s="201"/>
      <c r="J58" s="201"/>
    </row>
    <row r="59" spans="2:12" ht="12.75" customHeight="1">
      <c r="B59" s="201"/>
      <c r="C59" s="201"/>
      <c r="D59" s="201"/>
      <c r="E59" s="201"/>
      <c r="F59" s="201"/>
      <c r="G59" s="201"/>
      <c r="H59" s="201"/>
      <c r="I59" s="201"/>
      <c r="J59" s="201"/>
    </row>
    <row r="60" spans="2:12" ht="18.75" customHeight="1">
      <c r="B60" s="201"/>
      <c r="C60" s="201"/>
      <c r="D60" s="201"/>
      <c r="E60" s="201"/>
      <c r="F60" s="201"/>
      <c r="G60" s="201"/>
      <c r="H60" s="201"/>
      <c r="I60" s="201"/>
      <c r="J60" s="201"/>
    </row>
    <row r="61" spans="2:12" ht="18.75" customHeight="1">
      <c r="B61" s="201"/>
      <c r="C61" s="201"/>
      <c r="D61" s="201"/>
      <c r="E61" s="201"/>
      <c r="F61" s="201"/>
      <c r="G61" s="201"/>
      <c r="H61" s="201"/>
      <c r="I61" s="201"/>
      <c r="J61" s="201"/>
    </row>
    <row r="62" spans="2:12" ht="18.75" customHeight="1">
      <c r="B62" s="201"/>
      <c r="C62" s="201"/>
      <c r="D62" s="201"/>
      <c r="E62" s="201"/>
      <c r="F62" s="201"/>
      <c r="G62" s="201"/>
      <c r="H62" s="201"/>
      <c r="I62" s="201"/>
      <c r="J62" s="201"/>
    </row>
    <row r="63" spans="2:12" ht="17.25" customHeight="1">
      <c r="B63" s="201"/>
      <c r="C63" s="201"/>
      <c r="D63" s="201"/>
      <c r="E63" s="201"/>
      <c r="F63" s="201"/>
      <c r="G63" s="201"/>
      <c r="H63" s="201"/>
      <c r="I63" s="201"/>
      <c r="J63" s="201"/>
    </row>
    <row r="64" spans="2:12" ht="9.75" customHeight="1">
      <c r="B64" s="201"/>
      <c r="C64" s="201"/>
      <c r="D64" s="201"/>
      <c r="E64" s="57"/>
      <c r="F64" s="57"/>
      <c r="G64" s="57"/>
      <c r="H64" s="57"/>
      <c r="I64" s="57"/>
      <c r="J64" s="57"/>
    </row>
    <row r="65" spans="2:2" ht="18.75" customHeight="1">
      <c r="B65" s="140" t="s">
        <v>116</v>
      </c>
    </row>
    <row r="66" spans="2:2">
      <c r="B66" s="142"/>
    </row>
    <row r="68" spans="2:2">
      <c r="B68" s="143"/>
    </row>
  </sheetData>
  <mergeCells count="7">
    <mergeCell ref="B64:D64"/>
    <mergeCell ref="B1:J1"/>
    <mergeCell ref="B2:B4"/>
    <mergeCell ref="C2:D3"/>
    <mergeCell ref="E2:H2"/>
    <mergeCell ref="I2:J3"/>
    <mergeCell ref="B58:J63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2"/>
  </sheetPr>
  <dimension ref="A1:F65"/>
  <sheetViews>
    <sheetView showGridLines="0" zoomScale="85" workbookViewId="0">
      <pane xSplit="2" ySplit="3" topLeftCell="C4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RowHeight="12.75"/>
  <cols>
    <col min="1" max="1" width="3.140625" style="1" hidden="1" customWidth="1"/>
    <col min="2" max="2" width="31.7109375" style="124" customWidth="1"/>
    <col min="3" max="4" width="15.28515625" style="124" customWidth="1"/>
    <col min="5" max="5" width="16.5703125" style="124" customWidth="1"/>
    <col min="6" max="6" width="15" style="124" customWidth="1"/>
    <col min="7" max="256" width="9.140625" style="124"/>
    <col min="257" max="257" width="0" style="124" hidden="1" customWidth="1"/>
    <col min="258" max="258" width="31.7109375" style="124" customWidth="1"/>
    <col min="259" max="260" width="15.28515625" style="124" customWidth="1"/>
    <col min="261" max="261" width="16.5703125" style="124" customWidth="1"/>
    <col min="262" max="262" width="15" style="124" customWidth="1"/>
    <col min="263" max="512" width="9.140625" style="124"/>
    <col min="513" max="513" width="0" style="124" hidden="1" customWidth="1"/>
    <col min="514" max="514" width="31.7109375" style="124" customWidth="1"/>
    <col min="515" max="516" width="15.28515625" style="124" customWidth="1"/>
    <col min="517" max="517" width="16.5703125" style="124" customWidth="1"/>
    <col min="518" max="518" width="15" style="124" customWidth="1"/>
    <col min="519" max="768" width="9.140625" style="124"/>
    <col min="769" max="769" width="0" style="124" hidden="1" customWidth="1"/>
    <col min="770" max="770" width="31.7109375" style="124" customWidth="1"/>
    <col min="771" max="772" width="15.28515625" style="124" customWidth="1"/>
    <col min="773" max="773" width="16.5703125" style="124" customWidth="1"/>
    <col min="774" max="774" width="15" style="124" customWidth="1"/>
    <col min="775" max="1024" width="9.140625" style="124"/>
    <col min="1025" max="1025" width="0" style="124" hidden="1" customWidth="1"/>
    <col min="1026" max="1026" width="31.7109375" style="124" customWidth="1"/>
    <col min="1027" max="1028" width="15.28515625" style="124" customWidth="1"/>
    <col min="1029" max="1029" width="16.5703125" style="124" customWidth="1"/>
    <col min="1030" max="1030" width="15" style="124" customWidth="1"/>
    <col min="1031" max="1280" width="9.140625" style="124"/>
    <col min="1281" max="1281" width="0" style="124" hidden="1" customWidth="1"/>
    <col min="1282" max="1282" width="31.7109375" style="124" customWidth="1"/>
    <col min="1283" max="1284" width="15.28515625" style="124" customWidth="1"/>
    <col min="1285" max="1285" width="16.5703125" style="124" customWidth="1"/>
    <col min="1286" max="1286" width="15" style="124" customWidth="1"/>
    <col min="1287" max="1536" width="9.140625" style="124"/>
    <col min="1537" max="1537" width="0" style="124" hidden="1" customWidth="1"/>
    <col min="1538" max="1538" width="31.7109375" style="124" customWidth="1"/>
    <col min="1539" max="1540" width="15.28515625" style="124" customWidth="1"/>
    <col min="1541" max="1541" width="16.5703125" style="124" customWidth="1"/>
    <col min="1542" max="1542" width="15" style="124" customWidth="1"/>
    <col min="1543" max="1792" width="9.140625" style="124"/>
    <col min="1793" max="1793" width="0" style="124" hidden="1" customWidth="1"/>
    <col min="1794" max="1794" width="31.7109375" style="124" customWidth="1"/>
    <col min="1795" max="1796" width="15.28515625" style="124" customWidth="1"/>
    <col min="1797" max="1797" width="16.5703125" style="124" customWidth="1"/>
    <col min="1798" max="1798" width="15" style="124" customWidth="1"/>
    <col min="1799" max="2048" width="9.140625" style="124"/>
    <col min="2049" max="2049" width="0" style="124" hidden="1" customWidth="1"/>
    <col min="2050" max="2050" width="31.7109375" style="124" customWidth="1"/>
    <col min="2051" max="2052" width="15.28515625" style="124" customWidth="1"/>
    <col min="2053" max="2053" width="16.5703125" style="124" customWidth="1"/>
    <col min="2054" max="2054" width="15" style="124" customWidth="1"/>
    <col min="2055" max="2304" width="9.140625" style="124"/>
    <col min="2305" max="2305" width="0" style="124" hidden="1" customWidth="1"/>
    <col min="2306" max="2306" width="31.7109375" style="124" customWidth="1"/>
    <col min="2307" max="2308" width="15.28515625" style="124" customWidth="1"/>
    <col min="2309" max="2309" width="16.5703125" style="124" customWidth="1"/>
    <col min="2310" max="2310" width="15" style="124" customWidth="1"/>
    <col min="2311" max="2560" width="9.140625" style="124"/>
    <col min="2561" max="2561" width="0" style="124" hidden="1" customWidth="1"/>
    <col min="2562" max="2562" width="31.7109375" style="124" customWidth="1"/>
    <col min="2563" max="2564" width="15.28515625" style="124" customWidth="1"/>
    <col min="2565" max="2565" width="16.5703125" style="124" customWidth="1"/>
    <col min="2566" max="2566" width="15" style="124" customWidth="1"/>
    <col min="2567" max="2816" width="9.140625" style="124"/>
    <col min="2817" max="2817" width="0" style="124" hidden="1" customWidth="1"/>
    <col min="2818" max="2818" width="31.7109375" style="124" customWidth="1"/>
    <col min="2819" max="2820" width="15.28515625" style="124" customWidth="1"/>
    <col min="2821" max="2821" width="16.5703125" style="124" customWidth="1"/>
    <col min="2822" max="2822" width="15" style="124" customWidth="1"/>
    <col min="2823" max="3072" width="9.140625" style="124"/>
    <col min="3073" max="3073" width="0" style="124" hidden="1" customWidth="1"/>
    <col min="3074" max="3074" width="31.7109375" style="124" customWidth="1"/>
    <col min="3075" max="3076" width="15.28515625" style="124" customWidth="1"/>
    <col min="3077" max="3077" width="16.5703125" style="124" customWidth="1"/>
    <col min="3078" max="3078" width="15" style="124" customWidth="1"/>
    <col min="3079" max="3328" width="9.140625" style="124"/>
    <col min="3329" max="3329" width="0" style="124" hidden="1" customWidth="1"/>
    <col min="3330" max="3330" width="31.7109375" style="124" customWidth="1"/>
    <col min="3331" max="3332" width="15.28515625" style="124" customWidth="1"/>
    <col min="3333" max="3333" width="16.5703125" style="124" customWidth="1"/>
    <col min="3334" max="3334" width="15" style="124" customWidth="1"/>
    <col min="3335" max="3584" width="9.140625" style="124"/>
    <col min="3585" max="3585" width="0" style="124" hidden="1" customWidth="1"/>
    <col min="3586" max="3586" width="31.7109375" style="124" customWidth="1"/>
    <col min="3587" max="3588" width="15.28515625" style="124" customWidth="1"/>
    <col min="3589" max="3589" width="16.5703125" style="124" customWidth="1"/>
    <col min="3590" max="3590" width="15" style="124" customWidth="1"/>
    <col min="3591" max="3840" width="9.140625" style="124"/>
    <col min="3841" max="3841" width="0" style="124" hidden="1" customWidth="1"/>
    <col min="3842" max="3842" width="31.7109375" style="124" customWidth="1"/>
    <col min="3843" max="3844" width="15.28515625" style="124" customWidth="1"/>
    <col min="3845" max="3845" width="16.5703125" style="124" customWidth="1"/>
    <col min="3846" max="3846" width="15" style="124" customWidth="1"/>
    <col min="3847" max="4096" width="9.140625" style="124"/>
    <col min="4097" max="4097" width="0" style="124" hidden="1" customWidth="1"/>
    <col min="4098" max="4098" width="31.7109375" style="124" customWidth="1"/>
    <col min="4099" max="4100" width="15.28515625" style="124" customWidth="1"/>
    <col min="4101" max="4101" width="16.5703125" style="124" customWidth="1"/>
    <col min="4102" max="4102" width="15" style="124" customWidth="1"/>
    <col min="4103" max="4352" width="9.140625" style="124"/>
    <col min="4353" max="4353" width="0" style="124" hidden="1" customWidth="1"/>
    <col min="4354" max="4354" width="31.7109375" style="124" customWidth="1"/>
    <col min="4355" max="4356" width="15.28515625" style="124" customWidth="1"/>
    <col min="4357" max="4357" width="16.5703125" style="124" customWidth="1"/>
    <col min="4358" max="4358" width="15" style="124" customWidth="1"/>
    <col min="4359" max="4608" width="9.140625" style="124"/>
    <col min="4609" max="4609" width="0" style="124" hidden="1" customWidth="1"/>
    <col min="4610" max="4610" width="31.7109375" style="124" customWidth="1"/>
    <col min="4611" max="4612" width="15.28515625" style="124" customWidth="1"/>
    <col min="4613" max="4613" width="16.5703125" style="124" customWidth="1"/>
    <col min="4614" max="4614" width="15" style="124" customWidth="1"/>
    <col min="4615" max="4864" width="9.140625" style="124"/>
    <col min="4865" max="4865" width="0" style="124" hidden="1" customWidth="1"/>
    <col min="4866" max="4866" width="31.7109375" style="124" customWidth="1"/>
    <col min="4867" max="4868" width="15.28515625" style="124" customWidth="1"/>
    <col min="4869" max="4869" width="16.5703125" style="124" customWidth="1"/>
    <col min="4870" max="4870" width="15" style="124" customWidth="1"/>
    <col min="4871" max="5120" width="9.140625" style="124"/>
    <col min="5121" max="5121" width="0" style="124" hidden="1" customWidth="1"/>
    <col min="5122" max="5122" width="31.7109375" style="124" customWidth="1"/>
    <col min="5123" max="5124" width="15.28515625" style="124" customWidth="1"/>
    <col min="5125" max="5125" width="16.5703125" style="124" customWidth="1"/>
    <col min="5126" max="5126" width="15" style="124" customWidth="1"/>
    <col min="5127" max="5376" width="9.140625" style="124"/>
    <col min="5377" max="5377" width="0" style="124" hidden="1" customWidth="1"/>
    <col min="5378" max="5378" width="31.7109375" style="124" customWidth="1"/>
    <col min="5379" max="5380" width="15.28515625" style="124" customWidth="1"/>
    <col min="5381" max="5381" width="16.5703125" style="124" customWidth="1"/>
    <col min="5382" max="5382" width="15" style="124" customWidth="1"/>
    <col min="5383" max="5632" width="9.140625" style="124"/>
    <col min="5633" max="5633" width="0" style="124" hidden="1" customWidth="1"/>
    <col min="5634" max="5634" width="31.7109375" style="124" customWidth="1"/>
    <col min="5635" max="5636" width="15.28515625" style="124" customWidth="1"/>
    <col min="5637" max="5637" width="16.5703125" style="124" customWidth="1"/>
    <col min="5638" max="5638" width="15" style="124" customWidth="1"/>
    <col min="5639" max="5888" width="9.140625" style="124"/>
    <col min="5889" max="5889" width="0" style="124" hidden="1" customWidth="1"/>
    <col min="5890" max="5890" width="31.7109375" style="124" customWidth="1"/>
    <col min="5891" max="5892" width="15.28515625" style="124" customWidth="1"/>
    <col min="5893" max="5893" width="16.5703125" style="124" customWidth="1"/>
    <col min="5894" max="5894" width="15" style="124" customWidth="1"/>
    <col min="5895" max="6144" width="9.140625" style="124"/>
    <col min="6145" max="6145" width="0" style="124" hidden="1" customWidth="1"/>
    <col min="6146" max="6146" width="31.7109375" style="124" customWidth="1"/>
    <col min="6147" max="6148" width="15.28515625" style="124" customWidth="1"/>
    <col min="6149" max="6149" width="16.5703125" style="124" customWidth="1"/>
    <col min="6150" max="6150" width="15" style="124" customWidth="1"/>
    <col min="6151" max="6400" width="9.140625" style="124"/>
    <col min="6401" max="6401" width="0" style="124" hidden="1" customWidth="1"/>
    <col min="6402" max="6402" width="31.7109375" style="124" customWidth="1"/>
    <col min="6403" max="6404" width="15.28515625" style="124" customWidth="1"/>
    <col min="6405" max="6405" width="16.5703125" style="124" customWidth="1"/>
    <col min="6406" max="6406" width="15" style="124" customWidth="1"/>
    <col min="6407" max="6656" width="9.140625" style="124"/>
    <col min="6657" max="6657" width="0" style="124" hidden="1" customWidth="1"/>
    <col min="6658" max="6658" width="31.7109375" style="124" customWidth="1"/>
    <col min="6659" max="6660" width="15.28515625" style="124" customWidth="1"/>
    <col min="6661" max="6661" width="16.5703125" style="124" customWidth="1"/>
    <col min="6662" max="6662" width="15" style="124" customWidth="1"/>
    <col min="6663" max="6912" width="9.140625" style="124"/>
    <col min="6913" max="6913" width="0" style="124" hidden="1" customWidth="1"/>
    <col min="6914" max="6914" width="31.7109375" style="124" customWidth="1"/>
    <col min="6915" max="6916" width="15.28515625" style="124" customWidth="1"/>
    <col min="6917" max="6917" width="16.5703125" style="124" customWidth="1"/>
    <col min="6918" max="6918" width="15" style="124" customWidth="1"/>
    <col min="6919" max="7168" width="9.140625" style="124"/>
    <col min="7169" max="7169" width="0" style="124" hidden="1" customWidth="1"/>
    <col min="7170" max="7170" width="31.7109375" style="124" customWidth="1"/>
    <col min="7171" max="7172" width="15.28515625" style="124" customWidth="1"/>
    <col min="7173" max="7173" width="16.5703125" style="124" customWidth="1"/>
    <col min="7174" max="7174" width="15" style="124" customWidth="1"/>
    <col min="7175" max="7424" width="9.140625" style="124"/>
    <col min="7425" max="7425" width="0" style="124" hidden="1" customWidth="1"/>
    <col min="7426" max="7426" width="31.7109375" style="124" customWidth="1"/>
    <col min="7427" max="7428" width="15.28515625" style="124" customWidth="1"/>
    <col min="7429" max="7429" width="16.5703125" style="124" customWidth="1"/>
    <col min="7430" max="7430" width="15" style="124" customWidth="1"/>
    <col min="7431" max="7680" width="9.140625" style="124"/>
    <col min="7681" max="7681" width="0" style="124" hidden="1" customWidth="1"/>
    <col min="7682" max="7682" width="31.7109375" style="124" customWidth="1"/>
    <col min="7683" max="7684" width="15.28515625" style="124" customWidth="1"/>
    <col min="7685" max="7685" width="16.5703125" style="124" customWidth="1"/>
    <col min="7686" max="7686" width="15" style="124" customWidth="1"/>
    <col min="7687" max="7936" width="9.140625" style="124"/>
    <col min="7937" max="7937" width="0" style="124" hidden="1" customWidth="1"/>
    <col min="7938" max="7938" width="31.7109375" style="124" customWidth="1"/>
    <col min="7939" max="7940" width="15.28515625" style="124" customWidth="1"/>
    <col min="7941" max="7941" width="16.5703125" style="124" customWidth="1"/>
    <col min="7942" max="7942" width="15" style="124" customWidth="1"/>
    <col min="7943" max="8192" width="9.140625" style="124"/>
    <col min="8193" max="8193" width="0" style="124" hidden="1" customWidth="1"/>
    <col min="8194" max="8194" width="31.7109375" style="124" customWidth="1"/>
    <col min="8195" max="8196" width="15.28515625" style="124" customWidth="1"/>
    <col min="8197" max="8197" width="16.5703125" style="124" customWidth="1"/>
    <col min="8198" max="8198" width="15" style="124" customWidth="1"/>
    <col min="8199" max="8448" width="9.140625" style="124"/>
    <col min="8449" max="8449" width="0" style="124" hidden="1" customWidth="1"/>
    <col min="8450" max="8450" width="31.7109375" style="124" customWidth="1"/>
    <col min="8451" max="8452" width="15.28515625" style="124" customWidth="1"/>
    <col min="8453" max="8453" width="16.5703125" style="124" customWidth="1"/>
    <col min="8454" max="8454" width="15" style="124" customWidth="1"/>
    <col min="8455" max="8704" width="9.140625" style="124"/>
    <col min="8705" max="8705" width="0" style="124" hidden="1" customWidth="1"/>
    <col min="8706" max="8706" width="31.7109375" style="124" customWidth="1"/>
    <col min="8707" max="8708" width="15.28515625" style="124" customWidth="1"/>
    <col min="8709" max="8709" width="16.5703125" style="124" customWidth="1"/>
    <col min="8710" max="8710" width="15" style="124" customWidth="1"/>
    <col min="8711" max="8960" width="9.140625" style="124"/>
    <col min="8961" max="8961" width="0" style="124" hidden="1" customWidth="1"/>
    <col min="8962" max="8962" width="31.7109375" style="124" customWidth="1"/>
    <col min="8963" max="8964" width="15.28515625" style="124" customWidth="1"/>
    <col min="8965" max="8965" width="16.5703125" style="124" customWidth="1"/>
    <col min="8966" max="8966" width="15" style="124" customWidth="1"/>
    <col min="8967" max="9216" width="9.140625" style="124"/>
    <col min="9217" max="9217" width="0" style="124" hidden="1" customWidth="1"/>
    <col min="9218" max="9218" width="31.7109375" style="124" customWidth="1"/>
    <col min="9219" max="9220" width="15.28515625" style="124" customWidth="1"/>
    <col min="9221" max="9221" width="16.5703125" style="124" customWidth="1"/>
    <col min="9222" max="9222" width="15" style="124" customWidth="1"/>
    <col min="9223" max="9472" width="9.140625" style="124"/>
    <col min="9473" max="9473" width="0" style="124" hidden="1" customWidth="1"/>
    <col min="9474" max="9474" width="31.7109375" style="124" customWidth="1"/>
    <col min="9475" max="9476" width="15.28515625" style="124" customWidth="1"/>
    <col min="9477" max="9477" width="16.5703125" style="124" customWidth="1"/>
    <col min="9478" max="9478" width="15" style="124" customWidth="1"/>
    <col min="9479" max="9728" width="9.140625" style="124"/>
    <col min="9729" max="9729" width="0" style="124" hidden="1" customWidth="1"/>
    <col min="9730" max="9730" width="31.7109375" style="124" customWidth="1"/>
    <col min="9731" max="9732" width="15.28515625" style="124" customWidth="1"/>
    <col min="9733" max="9733" width="16.5703125" style="124" customWidth="1"/>
    <col min="9734" max="9734" width="15" style="124" customWidth="1"/>
    <col min="9735" max="9984" width="9.140625" style="124"/>
    <col min="9985" max="9985" width="0" style="124" hidden="1" customWidth="1"/>
    <col min="9986" max="9986" width="31.7109375" style="124" customWidth="1"/>
    <col min="9987" max="9988" width="15.28515625" style="124" customWidth="1"/>
    <col min="9989" max="9989" width="16.5703125" style="124" customWidth="1"/>
    <col min="9990" max="9990" width="15" style="124" customWidth="1"/>
    <col min="9991" max="10240" width="9.140625" style="124"/>
    <col min="10241" max="10241" width="0" style="124" hidden="1" customWidth="1"/>
    <col min="10242" max="10242" width="31.7109375" style="124" customWidth="1"/>
    <col min="10243" max="10244" width="15.28515625" style="124" customWidth="1"/>
    <col min="10245" max="10245" width="16.5703125" style="124" customWidth="1"/>
    <col min="10246" max="10246" width="15" style="124" customWidth="1"/>
    <col min="10247" max="10496" width="9.140625" style="124"/>
    <col min="10497" max="10497" width="0" style="124" hidden="1" customWidth="1"/>
    <col min="10498" max="10498" width="31.7109375" style="124" customWidth="1"/>
    <col min="10499" max="10500" width="15.28515625" style="124" customWidth="1"/>
    <col min="10501" max="10501" width="16.5703125" style="124" customWidth="1"/>
    <col min="10502" max="10502" width="15" style="124" customWidth="1"/>
    <col min="10503" max="10752" width="9.140625" style="124"/>
    <col min="10753" max="10753" width="0" style="124" hidden="1" customWidth="1"/>
    <col min="10754" max="10754" width="31.7109375" style="124" customWidth="1"/>
    <col min="10755" max="10756" width="15.28515625" style="124" customWidth="1"/>
    <col min="10757" max="10757" width="16.5703125" style="124" customWidth="1"/>
    <col min="10758" max="10758" width="15" style="124" customWidth="1"/>
    <col min="10759" max="11008" width="9.140625" style="124"/>
    <col min="11009" max="11009" width="0" style="124" hidden="1" customWidth="1"/>
    <col min="11010" max="11010" width="31.7109375" style="124" customWidth="1"/>
    <col min="11011" max="11012" width="15.28515625" style="124" customWidth="1"/>
    <col min="11013" max="11013" width="16.5703125" style="124" customWidth="1"/>
    <col min="11014" max="11014" width="15" style="124" customWidth="1"/>
    <col min="11015" max="11264" width="9.140625" style="124"/>
    <col min="11265" max="11265" width="0" style="124" hidden="1" customWidth="1"/>
    <col min="11266" max="11266" width="31.7109375" style="124" customWidth="1"/>
    <col min="11267" max="11268" width="15.28515625" style="124" customWidth="1"/>
    <col min="11269" max="11269" width="16.5703125" style="124" customWidth="1"/>
    <col min="11270" max="11270" width="15" style="124" customWidth="1"/>
    <col min="11271" max="11520" width="9.140625" style="124"/>
    <col min="11521" max="11521" width="0" style="124" hidden="1" customWidth="1"/>
    <col min="11522" max="11522" width="31.7109375" style="124" customWidth="1"/>
    <col min="11523" max="11524" width="15.28515625" style="124" customWidth="1"/>
    <col min="11525" max="11525" width="16.5703125" style="124" customWidth="1"/>
    <col min="11526" max="11526" width="15" style="124" customWidth="1"/>
    <col min="11527" max="11776" width="9.140625" style="124"/>
    <col min="11777" max="11777" width="0" style="124" hidden="1" customWidth="1"/>
    <col min="11778" max="11778" width="31.7109375" style="124" customWidth="1"/>
    <col min="11779" max="11780" width="15.28515625" style="124" customWidth="1"/>
    <col min="11781" max="11781" width="16.5703125" style="124" customWidth="1"/>
    <col min="11782" max="11782" width="15" style="124" customWidth="1"/>
    <col min="11783" max="12032" width="9.140625" style="124"/>
    <col min="12033" max="12033" width="0" style="124" hidden="1" customWidth="1"/>
    <col min="12034" max="12034" width="31.7109375" style="124" customWidth="1"/>
    <col min="12035" max="12036" width="15.28515625" style="124" customWidth="1"/>
    <col min="12037" max="12037" width="16.5703125" style="124" customWidth="1"/>
    <col min="12038" max="12038" width="15" style="124" customWidth="1"/>
    <col min="12039" max="12288" width="9.140625" style="124"/>
    <col min="12289" max="12289" width="0" style="124" hidden="1" customWidth="1"/>
    <col min="12290" max="12290" width="31.7109375" style="124" customWidth="1"/>
    <col min="12291" max="12292" width="15.28515625" style="124" customWidth="1"/>
    <col min="12293" max="12293" width="16.5703125" style="124" customWidth="1"/>
    <col min="12294" max="12294" width="15" style="124" customWidth="1"/>
    <col min="12295" max="12544" width="9.140625" style="124"/>
    <col min="12545" max="12545" width="0" style="124" hidden="1" customWidth="1"/>
    <col min="12546" max="12546" width="31.7109375" style="124" customWidth="1"/>
    <col min="12547" max="12548" width="15.28515625" style="124" customWidth="1"/>
    <col min="12549" max="12549" width="16.5703125" style="124" customWidth="1"/>
    <col min="12550" max="12550" width="15" style="124" customWidth="1"/>
    <col min="12551" max="12800" width="9.140625" style="124"/>
    <col min="12801" max="12801" width="0" style="124" hidden="1" customWidth="1"/>
    <col min="12802" max="12802" width="31.7109375" style="124" customWidth="1"/>
    <col min="12803" max="12804" width="15.28515625" style="124" customWidth="1"/>
    <col min="12805" max="12805" width="16.5703125" style="124" customWidth="1"/>
    <col min="12806" max="12806" width="15" style="124" customWidth="1"/>
    <col min="12807" max="13056" width="9.140625" style="124"/>
    <col min="13057" max="13057" width="0" style="124" hidden="1" customWidth="1"/>
    <col min="13058" max="13058" width="31.7109375" style="124" customWidth="1"/>
    <col min="13059" max="13060" width="15.28515625" style="124" customWidth="1"/>
    <col min="13061" max="13061" width="16.5703125" style="124" customWidth="1"/>
    <col min="13062" max="13062" width="15" style="124" customWidth="1"/>
    <col min="13063" max="13312" width="9.140625" style="124"/>
    <col min="13313" max="13313" width="0" style="124" hidden="1" customWidth="1"/>
    <col min="13314" max="13314" width="31.7109375" style="124" customWidth="1"/>
    <col min="13315" max="13316" width="15.28515625" style="124" customWidth="1"/>
    <col min="13317" max="13317" width="16.5703125" style="124" customWidth="1"/>
    <col min="13318" max="13318" width="15" style="124" customWidth="1"/>
    <col min="13319" max="13568" width="9.140625" style="124"/>
    <col min="13569" max="13569" width="0" style="124" hidden="1" customWidth="1"/>
    <col min="13570" max="13570" width="31.7109375" style="124" customWidth="1"/>
    <col min="13571" max="13572" width="15.28515625" style="124" customWidth="1"/>
    <col min="13573" max="13573" width="16.5703125" style="124" customWidth="1"/>
    <col min="13574" max="13574" width="15" style="124" customWidth="1"/>
    <col min="13575" max="13824" width="9.140625" style="124"/>
    <col min="13825" max="13825" width="0" style="124" hidden="1" customWidth="1"/>
    <col min="13826" max="13826" width="31.7109375" style="124" customWidth="1"/>
    <col min="13827" max="13828" width="15.28515625" style="124" customWidth="1"/>
    <col min="13829" max="13829" width="16.5703125" style="124" customWidth="1"/>
    <col min="13830" max="13830" width="15" style="124" customWidth="1"/>
    <col min="13831" max="14080" width="9.140625" style="124"/>
    <col min="14081" max="14081" width="0" style="124" hidden="1" customWidth="1"/>
    <col min="14082" max="14082" width="31.7109375" style="124" customWidth="1"/>
    <col min="14083" max="14084" width="15.28515625" style="124" customWidth="1"/>
    <col min="14085" max="14085" width="16.5703125" style="124" customWidth="1"/>
    <col min="14086" max="14086" width="15" style="124" customWidth="1"/>
    <col min="14087" max="14336" width="9.140625" style="124"/>
    <col min="14337" max="14337" width="0" style="124" hidden="1" customWidth="1"/>
    <col min="14338" max="14338" width="31.7109375" style="124" customWidth="1"/>
    <col min="14339" max="14340" width="15.28515625" style="124" customWidth="1"/>
    <col min="14341" max="14341" width="16.5703125" style="124" customWidth="1"/>
    <col min="14342" max="14342" width="15" style="124" customWidth="1"/>
    <col min="14343" max="14592" width="9.140625" style="124"/>
    <col min="14593" max="14593" width="0" style="124" hidden="1" customWidth="1"/>
    <col min="14594" max="14594" width="31.7109375" style="124" customWidth="1"/>
    <col min="14595" max="14596" width="15.28515625" style="124" customWidth="1"/>
    <col min="14597" max="14597" width="16.5703125" style="124" customWidth="1"/>
    <col min="14598" max="14598" width="15" style="124" customWidth="1"/>
    <col min="14599" max="14848" width="9.140625" style="124"/>
    <col min="14849" max="14849" width="0" style="124" hidden="1" customWidth="1"/>
    <col min="14850" max="14850" width="31.7109375" style="124" customWidth="1"/>
    <col min="14851" max="14852" width="15.28515625" style="124" customWidth="1"/>
    <col min="14853" max="14853" width="16.5703125" style="124" customWidth="1"/>
    <col min="14854" max="14854" width="15" style="124" customWidth="1"/>
    <col min="14855" max="15104" width="9.140625" style="124"/>
    <col min="15105" max="15105" width="0" style="124" hidden="1" customWidth="1"/>
    <col min="15106" max="15106" width="31.7109375" style="124" customWidth="1"/>
    <col min="15107" max="15108" width="15.28515625" style="124" customWidth="1"/>
    <col min="15109" max="15109" width="16.5703125" style="124" customWidth="1"/>
    <col min="15110" max="15110" width="15" style="124" customWidth="1"/>
    <col min="15111" max="15360" width="9.140625" style="124"/>
    <col min="15361" max="15361" width="0" style="124" hidden="1" customWidth="1"/>
    <col min="15362" max="15362" width="31.7109375" style="124" customWidth="1"/>
    <col min="15363" max="15364" width="15.28515625" style="124" customWidth="1"/>
    <col min="15365" max="15365" width="16.5703125" style="124" customWidth="1"/>
    <col min="15366" max="15366" width="15" style="124" customWidth="1"/>
    <col min="15367" max="15616" width="9.140625" style="124"/>
    <col min="15617" max="15617" width="0" style="124" hidden="1" customWidth="1"/>
    <col min="15618" max="15618" width="31.7109375" style="124" customWidth="1"/>
    <col min="15619" max="15620" width="15.28515625" style="124" customWidth="1"/>
    <col min="15621" max="15621" width="16.5703125" style="124" customWidth="1"/>
    <col min="15622" max="15622" width="15" style="124" customWidth="1"/>
    <col min="15623" max="15872" width="9.140625" style="124"/>
    <col min="15873" max="15873" width="0" style="124" hidden="1" customWidth="1"/>
    <col min="15874" max="15874" width="31.7109375" style="124" customWidth="1"/>
    <col min="15875" max="15876" width="15.28515625" style="124" customWidth="1"/>
    <col min="15877" max="15877" width="16.5703125" style="124" customWidth="1"/>
    <col min="15878" max="15878" width="15" style="124" customWidth="1"/>
    <col min="15879" max="16128" width="9.140625" style="124"/>
    <col min="16129" max="16129" width="0" style="124" hidden="1" customWidth="1"/>
    <col min="16130" max="16130" width="31.7109375" style="124" customWidth="1"/>
    <col min="16131" max="16132" width="15.28515625" style="124" customWidth="1"/>
    <col min="16133" max="16133" width="16.5703125" style="124" customWidth="1"/>
    <col min="16134" max="16134" width="15" style="124" customWidth="1"/>
    <col min="16135" max="16384" width="9.140625" style="124"/>
  </cols>
  <sheetData>
    <row r="1" spans="1:6" ht="50.25" customHeight="1">
      <c r="B1" s="222" t="s">
        <v>94</v>
      </c>
      <c r="C1" s="223"/>
      <c r="D1" s="223"/>
      <c r="E1" s="223"/>
      <c r="F1" s="224"/>
    </row>
    <row r="2" spans="1:6" ht="15.75" customHeight="1">
      <c r="C2" s="198" t="s">
        <v>1</v>
      </c>
      <c r="D2" s="200" t="s">
        <v>2</v>
      </c>
      <c r="E2" s="200"/>
      <c r="F2" s="198" t="s">
        <v>5</v>
      </c>
    </row>
    <row r="3" spans="1:6" ht="39" customHeight="1">
      <c r="A3" s="4"/>
      <c r="C3" s="199"/>
      <c r="D3" s="145" t="s">
        <v>3</v>
      </c>
      <c r="E3" s="145" t="s">
        <v>4</v>
      </c>
      <c r="F3" s="199"/>
    </row>
    <row r="4" spans="1:6" ht="28.5" customHeight="1">
      <c r="A4" s="4"/>
      <c r="B4" s="129" t="s">
        <v>6</v>
      </c>
      <c r="C4" s="161">
        <v>770</v>
      </c>
      <c r="D4" s="161">
        <v>140</v>
      </c>
      <c r="E4" s="161">
        <v>11</v>
      </c>
      <c r="F4" s="161">
        <v>0</v>
      </c>
    </row>
    <row r="5" spans="1:6" s="154" customFormat="1" ht="26.25" customHeight="1">
      <c r="A5" s="12"/>
      <c r="B5" s="129" t="s">
        <v>7</v>
      </c>
      <c r="C5" s="148">
        <v>474</v>
      </c>
      <c r="D5" s="148">
        <v>61</v>
      </c>
      <c r="E5" s="148">
        <v>6</v>
      </c>
      <c r="F5" s="148">
        <v>0</v>
      </c>
    </row>
    <row r="6" spans="1:6">
      <c r="A6" s="12">
        <v>51</v>
      </c>
      <c r="B6" s="124" t="s">
        <v>8</v>
      </c>
      <c r="C6" s="149">
        <v>20</v>
      </c>
      <c r="D6" s="149">
        <v>2</v>
      </c>
      <c r="E6" s="149">
        <v>0</v>
      </c>
      <c r="F6" s="149">
        <v>0</v>
      </c>
    </row>
    <row r="7" spans="1:6">
      <c r="A7" s="12">
        <v>52</v>
      </c>
      <c r="B7" s="124" t="s">
        <v>9</v>
      </c>
      <c r="C7" s="149">
        <v>15</v>
      </c>
      <c r="D7" s="149">
        <v>2</v>
      </c>
      <c r="E7" s="149">
        <v>0</v>
      </c>
      <c r="F7" s="149">
        <v>0</v>
      </c>
    </row>
    <row r="8" spans="1:6">
      <c r="A8" s="12">
        <v>86</v>
      </c>
      <c r="B8" s="124" t="s">
        <v>10</v>
      </c>
      <c r="C8" s="149">
        <v>10</v>
      </c>
      <c r="D8" s="149">
        <v>3</v>
      </c>
      <c r="E8" s="149">
        <v>0</v>
      </c>
      <c r="F8" s="149">
        <v>0</v>
      </c>
    </row>
    <row r="9" spans="1:6">
      <c r="A9" s="12">
        <v>53</v>
      </c>
      <c r="B9" s="124" t="s">
        <v>11</v>
      </c>
      <c r="C9" s="149">
        <v>10</v>
      </c>
      <c r="D9" s="149">
        <v>0</v>
      </c>
      <c r="E9" s="149">
        <v>0</v>
      </c>
      <c r="F9" s="149">
        <v>0</v>
      </c>
    </row>
    <row r="10" spans="1:6">
      <c r="A10" s="12">
        <v>54</v>
      </c>
      <c r="B10" s="124" t="s">
        <v>12</v>
      </c>
      <c r="C10" s="149">
        <v>40</v>
      </c>
      <c r="D10" s="149">
        <v>1</v>
      </c>
      <c r="E10" s="149">
        <v>0</v>
      </c>
      <c r="F10" s="149">
        <v>0</v>
      </c>
    </row>
    <row r="11" spans="1:6">
      <c r="A11" s="12">
        <v>55</v>
      </c>
      <c r="B11" s="124" t="s">
        <v>13</v>
      </c>
      <c r="C11" s="149">
        <v>8</v>
      </c>
      <c r="D11" s="149">
        <v>1</v>
      </c>
      <c r="E11" s="149">
        <v>0</v>
      </c>
      <c r="F11" s="149">
        <v>0</v>
      </c>
    </row>
    <row r="12" spans="1:6">
      <c r="A12" s="12">
        <v>56</v>
      </c>
      <c r="B12" s="124" t="s">
        <v>14</v>
      </c>
      <c r="C12" s="149">
        <v>11</v>
      </c>
      <c r="D12" s="149">
        <v>0</v>
      </c>
      <c r="E12" s="149">
        <v>0</v>
      </c>
      <c r="F12" s="149">
        <v>0</v>
      </c>
    </row>
    <row r="13" spans="1:6">
      <c r="A13" s="12">
        <v>57</v>
      </c>
      <c r="B13" s="124" t="s">
        <v>15</v>
      </c>
      <c r="C13" s="149">
        <v>3</v>
      </c>
      <c r="D13" s="149">
        <v>0</v>
      </c>
      <c r="E13" s="149">
        <v>0</v>
      </c>
      <c r="F13" s="149">
        <v>0</v>
      </c>
    </row>
    <row r="14" spans="1:6">
      <c r="A14" s="12">
        <v>59</v>
      </c>
      <c r="B14" s="124" t="s">
        <v>16</v>
      </c>
      <c r="C14" s="149">
        <v>7</v>
      </c>
      <c r="D14" s="149">
        <v>1</v>
      </c>
      <c r="E14" s="149">
        <v>0</v>
      </c>
      <c r="F14" s="149">
        <v>0</v>
      </c>
    </row>
    <row r="15" spans="1:6">
      <c r="A15" s="12">
        <v>60</v>
      </c>
      <c r="B15" s="124" t="s">
        <v>17</v>
      </c>
      <c r="C15" s="149">
        <v>1</v>
      </c>
      <c r="D15" s="149">
        <v>0</v>
      </c>
      <c r="E15" s="149">
        <v>0</v>
      </c>
      <c r="F15" s="149">
        <v>0</v>
      </c>
    </row>
    <row r="16" spans="1:6">
      <c r="A16" s="12">
        <v>61</v>
      </c>
      <c r="B16" s="151" t="s">
        <v>18</v>
      </c>
      <c r="C16" s="149">
        <v>13</v>
      </c>
      <c r="D16" s="149">
        <v>0</v>
      </c>
      <c r="E16" s="149">
        <v>0</v>
      </c>
      <c r="F16" s="149">
        <v>0</v>
      </c>
    </row>
    <row r="17" spans="1:6" s="184" customFormat="1">
      <c r="A17" s="12"/>
      <c r="B17" s="132" t="s">
        <v>125</v>
      </c>
      <c r="C17" s="165" t="s">
        <v>126</v>
      </c>
      <c r="D17" s="165" t="s">
        <v>126</v>
      </c>
      <c r="E17" s="165" t="s">
        <v>126</v>
      </c>
      <c r="F17" s="165" t="s">
        <v>126</v>
      </c>
    </row>
    <row r="18" spans="1:6">
      <c r="A18" s="12">
        <v>62</v>
      </c>
      <c r="B18" s="124" t="s">
        <v>19</v>
      </c>
      <c r="C18" s="149">
        <v>5</v>
      </c>
      <c r="D18" s="149">
        <v>0</v>
      </c>
      <c r="E18" s="149">
        <v>0</v>
      </c>
      <c r="F18" s="149">
        <v>0</v>
      </c>
    </row>
    <row r="19" spans="1:6">
      <c r="A19" s="12">
        <v>58</v>
      </c>
      <c r="B19" s="124" t="s">
        <v>20</v>
      </c>
      <c r="C19" s="149">
        <v>5</v>
      </c>
      <c r="D19" s="149">
        <v>2</v>
      </c>
      <c r="E19" s="149">
        <v>0</v>
      </c>
      <c r="F19" s="149">
        <v>0</v>
      </c>
    </row>
    <row r="20" spans="1:6">
      <c r="A20" s="12">
        <v>63</v>
      </c>
      <c r="B20" s="124" t="s">
        <v>21</v>
      </c>
      <c r="C20" s="149">
        <v>19</v>
      </c>
      <c r="D20" s="149">
        <v>1</v>
      </c>
      <c r="E20" s="149">
        <v>0</v>
      </c>
      <c r="F20" s="149">
        <v>0</v>
      </c>
    </row>
    <row r="21" spans="1:6">
      <c r="A21" s="12">
        <v>64</v>
      </c>
      <c r="B21" s="124" t="s">
        <v>22</v>
      </c>
      <c r="C21" s="149">
        <v>45</v>
      </c>
      <c r="D21" s="149">
        <v>16</v>
      </c>
      <c r="E21" s="149">
        <v>2</v>
      </c>
      <c r="F21" s="149">
        <v>0</v>
      </c>
    </row>
    <row r="22" spans="1:6">
      <c r="A22" s="12">
        <v>65</v>
      </c>
      <c r="B22" s="124" t="s">
        <v>23</v>
      </c>
      <c r="C22" s="149">
        <v>10</v>
      </c>
      <c r="D22" s="149">
        <v>0</v>
      </c>
      <c r="E22" s="149">
        <v>0</v>
      </c>
      <c r="F22" s="149">
        <v>0</v>
      </c>
    </row>
    <row r="23" spans="1:6">
      <c r="A23" s="12">
        <v>67</v>
      </c>
      <c r="B23" s="124" t="s">
        <v>24</v>
      </c>
      <c r="C23" s="149">
        <v>10</v>
      </c>
      <c r="D23" s="149">
        <v>3</v>
      </c>
      <c r="E23" s="149">
        <v>2</v>
      </c>
      <c r="F23" s="149">
        <v>0</v>
      </c>
    </row>
    <row r="24" spans="1:6">
      <c r="A24" s="12">
        <v>68</v>
      </c>
      <c r="B24" s="124" t="s">
        <v>25</v>
      </c>
      <c r="C24" s="149">
        <v>18</v>
      </c>
      <c r="D24" s="149">
        <v>2</v>
      </c>
      <c r="E24" s="149">
        <v>0</v>
      </c>
      <c r="F24" s="149">
        <v>0</v>
      </c>
    </row>
    <row r="25" spans="1:6">
      <c r="A25" s="12">
        <v>69</v>
      </c>
      <c r="B25" s="124" t="s">
        <v>26</v>
      </c>
      <c r="C25" s="149">
        <v>13</v>
      </c>
      <c r="D25" s="149">
        <v>1</v>
      </c>
      <c r="E25" s="149">
        <v>0</v>
      </c>
      <c r="F25" s="149">
        <v>0</v>
      </c>
    </row>
    <row r="26" spans="1:6">
      <c r="A26" s="12">
        <v>70</v>
      </c>
      <c r="B26" s="124" t="s">
        <v>27</v>
      </c>
      <c r="C26" s="149">
        <v>20</v>
      </c>
      <c r="D26" s="149">
        <v>1</v>
      </c>
      <c r="E26" s="149">
        <v>0</v>
      </c>
      <c r="F26" s="149">
        <v>0</v>
      </c>
    </row>
    <row r="27" spans="1:6">
      <c r="A27" s="12">
        <v>71</v>
      </c>
      <c r="B27" s="152" t="s">
        <v>28</v>
      </c>
      <c r="C27" s="149">
        <v>2</v>
      </c>
      <c r="D27" s="149">
        <v>0</v>
      </c>
      <c r="E27" s="149">
        <v>0</v>
      </c>
      <c r="F27" s="149">
        <v>0</v>
      </c>
    </row>
    <row r="28" spans="1:6">
      <c r="A28" s="12">
        <v>73</v>
      </c>
      <c r="B28" s="124" t="s">
        <v>29</v>
      </c>
      <c r="C28" s="153">
        <v>18</v>
      </c>
      <c r="D28" s="153">
        <v>1</v>
      </c>
      <c r="E28" s="153">
        <v>0</v>
      </c>
      <c r="F28" s="153">
        <v>0</v>
      </c>
    </row>
    <row r="29" spans="1:6">
      <c r="A29" s="12">
        <v>74</v>
      </c>
      <c r="B29" s="124" t="s">
        <v>30</v>
      </c>
      <c r="C29" s="149">
        <v>8</v>
      </c>
      <c r="D29" s="149">
        <v>2</v>
      </c>
      <c r="E29" s="149">
        <v>0</v>
      </c>
      <c r="F29" s="149">
        <v>0</v>
      </c>
    </row>
    <row r="30" spans="1:6">
      <c r="A30" s="12">
        <v>75</v>
      </c>
      <c r="B30" s="124" t="s">
        <v>31</v>
      </c>
      <c r="C30" s="149">
        <v>11</v>
      </c>
      <c r="D30" s="149">
        <v>4</v>
      </c>
      <c r="E30" s="149">
        <v>0</v>
      </c>
      <c r="F30" s="149">
        <v>0</v>
      </c>
    </row>
    <row r="31" spans="1:6">
      <c r="A31" s="12">
        <v>76</v>
      </c>
      <c r="B31" s="124" t="s">
        <v>32</v>
      </c>
      <c r="C31" s="149">
        <v>7</v>
      </c>
      <c r="D31" s="149">
        <v>0</v>
      </c>
      <c r="E31" s="149">
        <v>0</v>
      </c>
      <c r="F31" s="149">
        <v>0</v>
      </c>
    </row>
    <row r="32" spans="1:6">
      <c r="A32" s="12">
        <v>79</v>
      </c>
      <c r="B32" s="124" t="s">
        <v>33</v>
      </c>
      <c r="C32" s="149">
        <v>16</v>
      </c>
      <c r="D32" s="149">
        <v>2</v>
      </c>
      <c r="E32" s="149">
        <v>0</v>
      </c>
      <c r="F32" s="149">
        <v>0</v>
      </c>
    </row>
    <row r="33" spans="1:6">
      <c r="A33" s="12">
        <v>80</v>
      </c>
      <c r="B33" s="124" t="s">
        <v>34</v>
      </c>
      <c r="C33" s="149">
        <v>11</v>
      </c>
      <c r="D33" s="149">
        <v>1</v>
      </c>
      <c r="E33" s="149">
        <v>0</v>
      </c>
      <c r="F33" s="149">
        <v>0</v>
      </c>
    </row>
    <row r="34" spans="1:6">
      <c r="A34" s="12">
        <v>81</v>
      </c>
      <c r="B34" s="124" t="s">
        <v>35</v>
      </c>
      <c r="C34" s="149">
        <v>12</v>
      </c>
      <c r="D34" s="149">
        <v>2</v>
      </c>
      <c r="E34" s="149">
        <v>0</v>
      </c>
      <c r="F34" s="149">
        <v>0</v>
      </c>
    </row>
    <row r="35" spans="1:6">
      <c r="A35" s="12">
        <v>83</v>
      </c>
      <c r="B35" s="124" t="s">
        <v>36</v>
      </c>
      <c r="C35" s="149">
        <v>11</v>
      </c>
      <c r="D35" s="149">
        <v>2</v>
      </c>
      <c r="E35" s="149">
        <v>0</v>
      </c>
      <c r="F35" s="149">
        <v>0</v>
      </c>
    </row>
    <row r="36" spans="1:6">
      <c r="A36" s="12">
        <v>84</v>
      </c>
      <c r="B36" s="124" t="s">
        <v>37</v>
      </c>
      <c r="C36" s="149">
        <v>11</v>
      </c>
      <c r="D36" s="149">
        <v>1</v>
      </c>
      <c r="E36" s="149">
        <v>0</v>
      </c>
      <c r="F36" s="149">
        <v>0</v>
      </c>
    </row>
    <row r="37" spans="1:6">
      <c r="A37" s="12">
        <v>85</v>
      </c>
      <c r="B37" s="124" t="s">
        <v>38</v>
      </c>
      <c r="C37" s="149">
        <v>8</v>
      </c>
      <c r="D37" s="149">
        <v>1</v>
      </c>
      <c r="E37" s="149">
        <v>1</v>
      </c>
      <c r="F37" s="149">
        <v>0</v>
      </c>
    </row>
    <row r="38" spans="1:6">
      <c r="A38" s="12">
        <v>87</v>
      </c>
      <c r="B38" s="124" t="s">
        <v>39</v>
      </c>
      <c r="C38" s="149">
        <v>9</v>
      </c>
      <c r="D38" s="149">
        <v>0</v>
      </c>
      <c r="E38" s="149">
        <v>0</v>
      </c>
      <c r="F38" s="149">
        <v>0</v>
      </c>
    </row>
    <row r="39" spans="1:6">
      <c r="A39" s="12">
        <v>90</v>
      </c>
      <c r="B39" s="124" t="s">
        <v>40</v>
      </c>
      <c r="C39" s="149">
        <v>9</v>
      </c>
      <c r="D39" s="149">
        <v>1</v>
      </c>
      <c r="E39" s="149">
        <v>0</v>
      </c>
      <c r="F39" s="149">
        <v>0</v>
      </c>
    </row>
    <row r="40" spans="1:6">
      <c r="A40" s="12">
        <v>91</v>
      </c>
      <c r="B40" s="124" t="s">
        <v>41</v>
      </c>
      <c r="C40" s="149">
        <v>7</v>
      </c>
      <c r="D40" s="149">
        <v>0</v>
      </c>
      <c r="E40" s="149">
        <v>0</v>
      </c>
      <c r="F40" s="149">
        <v>0</v>
      </c>
    </row>
    <row r="41" spans="1:6">
      <c r="A41" s="12">
        <v>92</v>
      </c>
      <c r="B41" s="124" t="s">
        <v>42</v>
      </c>
      <c r="C41" s="149">
        <v>19</v>
      </c>
      <c r="D41" s="149">
        <v>1</v>
      </c>
      <c r="E41" s="149">
        <v>0</v>
      </c>
      <c r="F41" s="149">
        <v>0</v>
      </c>
    </row>
    <row r="42" spans="1:6">
      <c r="A42" s="12">
        <v>94</v>
      </c>
      <c r="B42" s="124" t="s">
        <v>43</v>
      </c>
      <c r="C42" s="149">
        <v>5</v>
      </c>
      <c r="D42" s="149">
        <v>1</v>
      </c>
      <c r="E42" s="149">
        <v>0</v>
      </c>
      <c r="F42" s="149">
        <v>0</v>
      </c>
    </row>
    <row r="43" spans="1:6">
      <c r="A43" s="12">
        <v>96</v>
      </c>
      <c r="B43" s="124" t="s">
        <v>44</v>
      </c>
      <c r="C43" s="149">
        <v>17</v>
      </c>
      <c r="D43" s="149">
        <v>5</v>
      </c>
      <c r="E43" s="149">
        <v>1</v>
      </c>
      <c r="F43" s="149">
        <v>0</v>
      </c>
    </row>
    <row r="44" spans="1:6">
      <c r="A44" s="12">
        <v>98</v>
      </c>
      <c r="B44" s="124" t="s">
        <v>45</v>
      </c>
      <c r="C44" s="149">
        <v>10</v>
      </c>
      <c r="D44" s="149">
        <v>1</v>
      </c>
      <c r="E44" s="149">
        <v>0</v>
      </c>
      <c r="F44" s="149">
        <v>0</v>
      </c>
    </row>
    <row r="45" spans="1:6">
      <c r="A45" s="12">
        <v>72</v>
      </c>
      <c r="B45" s="152" t="s">
        <v>46</v>
      </c>
      <c r="C45" s="149">
        <v>0</v>
      </c>
      <c r="D45" s="149">
        <v>0</v>
      </c>
      <c r="E45" s="149">
        <v>0</v>
      </c>
      <c r="F45" s="149">
        <v>0</v>
      </c>
    </row>
    <row r="46" spans="1:6" s="154" customFormat="1" ht="26.25" customHeight="1">
      <c r="A46" s="1"/>
      <c r="B46" s="129" t="s">
        <v>47</v>
      </c>
      <c r="C46" s="148">
        <v>296</v>
      </c>
      <c r="D46" s="148">
        <v>79</v>
      </c>
      <c r="E46" s="148">
        <v>5</v>
      </c>
      <c r="F46" s="148">
        <v>0</v>
      </c>
    </row>
    <row r="47" spans="1:6">
      <c r="A47" s="12">
        <v>66</v>
      </c>
      <c r="B47" s="124" t="s">
        <v>48</v>
      </c>
      <c r="C47" s="149">
        <v>19</v>
      </c>
      <c r="D47" s="149">
        <v>8</v>
      </c>
      <c r="E47" s="149">
        <v>4</v>
      </c>
      <c r="F47" s="149">
        <v>0</v>
      </c>
    </row>
    <row r="48" spans="1:6">
      <c r="A48" s="12">
        <v>78</v>
      </c>
      <c r="B48" s="124" t="s">
        <v>49</v>
      </c>
      <c r="C48" s="150">
        <v>16</v>
      </c>
      <c r="D48" s="150">
        <v>5</v>
      </c>
      <c r="E48" s="150">
        <v>0</v>
      </c>
      <c r="F48" s="150">
        <v>0</v>
      </c>
    </row>
    <row r="49" spans="1:6">
      <c r="A49" s="12">
        <v>89</v>
      </c>
      <c r="B49" s="124" t="s">
        <v>50</v>
      </c>
      <c r="C49" s="150">
        <v>25</v>
      </c>
      <c r="D49" s="150">
        <v>1</v>
      </c>
      <c r="E49" s="150">
        <v>0</v>
      </c>
      <c r="F49" s="150">
        <v>0</v>
      </c>
    </row>
    <row r="50" spans="1:6">
      <c r="A50" s="12">
        <v>93</v>
      </c>
      <c r="B50" s="124" t="s">
        <v>51</v>
      </c>
      <c r="C50" s="150">
        <v>15</v>
      </c>
      <c r="D50" s="150">
        <v>4</v>
      </c>
      <c r="E50" s="150">
        <v>1</v>
      </c>
      <c r="F50" s="150">
        <v>0</v>
      </c>
    </row>
    <row r="51" spans="1:6">
      <c r="A51" s="12">
        <v>95</v>
      </c>
      <c r="B51" s="124" t="s">
        <v>52</v>
      </c>
      <c r="C51" s="150">
        <v>24</v>
      </c>
      <c r="D51" s="150">
        <v>2</v>
      </c>
      <c r="E51" s="150">
        <v>0</v>
      </c>
      <c r="F51" s="150">
        <v>0</v>
      </c>
    </row>
    <row r="52" spans="1:6">
      <c r="A52" s="12">
        <v>97</v>
      </c>
      <c r="B52" s="124" t="s">
        <v>53</v>
      </c>
      <c r="C52" s="150">
        <v>33</v>
      </c>
      <c r="D52" s="150">
        <v>7</v>
      </c>
      <c r="E52" s="150">
        <v>0</v>
      </c>
      <c r="F52" s="150">
        <v>0</v>
      </c>
    </row>
    <row r="53" spans="1:6">
      <c r="A53" s="12">
        <v>77</v>
      </c>
      <c r="B53" s="156" t="s">
        <v>54</v>
      </c>
      <c r="C53" s="158">
        <v>164</v>
      </c>
      <c r="D53" s="158">
        <v>52</v>
      </c>
      <c r="E53" s="158">
        <v>0</v>
      </c>
      <c r="F53" s="158">
        <v>0</v>
      </c>
    </row>
    <row r="54" spans="1:6">
      <c r="C54" s="141"/>
      <c r="D54" s="141"/>
      <c r="E54" s="141"/>
      <c r="F54" s="141"/>
    </row>
    <row r="55" spans="1:6">
      <c r="B55" s="12" t="s">
        <v>55</v>
      </c>
    </row>
    <row r="56" spans="1:6" ht="23.25" customHeight="1">
      <c r="B56" s="201" t="s">
        <v>65</v>
      </c>
      <c r="C56" s="202"/>
      <c r="D56" s="202"/>
      <c r="E56" s="202"/>
      <c r="F56" s="202"/>
    </row>
    <row r="57" spans="1:6" ht="15" customHeight="1">
      <c r="B57" s="202"/>
      <c r="C57" s="202"/>
      <c r="D57" s="202"/>
      <c r="E57" s="202"/>
      <c r="F57" s="202"/>
    </row>
    <row r="58" spans="1:6" ht="13.5" customHeight="1">
      <c r="B58" s="202"/>
      <c r="C58" s="202"/>
      <c r="D58" s="202"/>
      <c r="E58" s="202"/>
      <c r="F58" s="202"/>
    </row>
    <row r="59" spans="1:6" ht="12.75" customHeight="1">
      <c r="B59" s="202"/>
      <c r="C59" s="202"/>
      <c r="D59" s="202"/>
      <c r="E59" s="202"/>
      <c r="F59" s="202"/>
    </row>
    <row r="60" spans="1:6" ht="15.75" customHeight="1">
      <c r="B60" s="202"/>
      <c r="C60" s="202"/>
      <c r="D60" s="202"/>
      <c r="E60" s="202"/>
      <c r="F60" s="202"/>
    </row>
    <row r="61" spans="1:6" ht="39" customHeight="1">
      <c r="B61" s="202"/>
      <c r="C61" s="202"/>
      <c r="D61" s="202"/>
      <c r="E61" s="202"/>
      <c r="F61" s="202"/>
    </row>
    <row r="62" spans="1:6" ht="15" customHeight="1">
      <c r="B62" s="57"/>
      <c r="C62" s="57"/>
      <c r="D62" s="57"/>
      <c r="E62" s="57"/>
      <c r="F62" s="57"/>
    </row>
    <row r="63" spans="1:6">
      <c r="B63" s="140" t="s">
        <v>57</v>
      </c>
    </row>
    <row r="65" spans="2:2">
      <c r="B65" s="143"/>
    </row>
  </sheetData>
  <mergeCells count="5">
    <mergeCell ref="B1:F1"/>
    <mergeCell ref="C2:C3"/>
    <mergeCell ref="D2:E2"/>
    <mergeCell ref="F2:F3"/>
    <mergeCell ref="B56:F6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K68"/>
  <sheetViews>
    <sheetView showGridLines="0" zoomScale="85" workbookViewId="0">
      <pane xSplit="2" ySplit="3" topLeftCell="C4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RowHeight="12.75"/>
  <cols>
    <col min="1" max="1" width="5.7109375" style="1" hidden="1" customWidth="1"/>
    <col min="2" max="2" width="28.7109375" style="2" customWidth="1"/>
    <col min="3" max="4" width="20" style="2" customWidth="1"/>
    <col min="5" max="5" width="15.140625" style="2" customWidth="1"/>
    <col min="6" max="6" width="17.7109375" style="2" customWidth="1"/>
    <col min="7" max="256" width="9.140625" style="2"/>
    <col min="257" max="257" width="0" style="2" hidden="1" customWidth="1"/>
    <col min="258" max="258" width="28.7109375" style="2" customWidth="1"/>
    <col min="259" max="260" width="20" style="2" customWidth="1"/>
    <col min="261" max="261" width="15.140625" style="2" customWidth="1"/>
    <col min="262" max="262" width="17.7109375" style="2" customWidth="1"/>
    <col min="263" max="512" width="9.140625" style="2"/>
    <col min="513" max="513" width="0" style="2" hidden="1" customWidth="1"/>
    <col min="514" max="514" width="28.7109375" style="2" customWidth="1"/>
    <col min="515" max="516" width="20" style="2" customWidth="1"/>
    <col min="517" max="517" width="15.140625" style="2" customWidth="1"/>
    <col min="518" max="518" width="17.7109375" style="2" customWidth="1"/>
    <col min="519" max="768" width="9.140625" style="2"/>
    <col min="769" max="769" width="0" style="2" hidden="1" customWidth="1"/>
    <col min="770" max="770" width="28.7109375" style="2" customWidth="1"/>
    <col min="771" max="772" width="20" style="2" customWidth="1"/>
    <col min="773" max="773" width="15.140625" style="2" customWidth="1"/>
    <col min="774" max="774" width="17.7109375" style="2" customWidth="1"/>
    <col min="775" max="1024" width="9.140625" style="2"/>
    <col min="1025" max="1025" width="0" style="2" hidden="1" customWidth="1"/>
    <col min="1026" max="1026" width="28.7109375" style="2" customWidth="1"/>
    <col min="1027" max="1028" width="20" style="2" customWidth="1"/>
    <col min="1029" max="1029" width="15.140625" style="2" customWidth="1"/>
    <col min="1030" max="1030" width="17.7109375" style="2" customWidth="1"/>
    <col min="1031" max="1280" width="9.140625" style="2"/>
    <col min="1281" max="1281" width="0" style="2" hidden="1" customWidth="1"/>
    <col min="1282" max="1282" width="28.7109375" style="2" customWidth="1"/>
    <col min="1283" max="1284" width="20" style="2" customWidth="1"/>
    <col min="1285" max="1285" width="15.140625" style="2" customWidth="1"/>
    <col min="1286" max="1286" width="17.7109375" style="2" customWidth="1"/>
    <col min="1287" max="1536" width="9.140625" style="2"/>
    <col min="1537" max="1537" width="0" style="2" hidden="1" customWidth="1"/>
    <col min="1538" max="1538" width="28.7109375" style="2" customWidth="1"/>
    <col min="1539" max="1540" width="20" style="2" customWidth="1"/>
    <col min="1541" max="1541" width="15.140625" style="2" customWidth="1"/>
    <col min="1542" max="1542" width="17.7109375" style="2" customWidth="1"/>
    <col min="1543" max="1792" width="9.140625" style="2"/>
    <col min="1793" max="1793" width="0" style="2" hidden="1" customWidth="1"/>
    <col min="1794" max="1794" width="28.7109375" style="2" customWidth="1"/>
    <col min="1795" max="1796" width="20" style="2" customWidth="1"/>
    <col min="1797" max="1797" width="15.140625" style="2" customWidth="1"/>
    <col min="1798" max="1798" width="17.7109375" style="2" customWidth="1"/>
    <col min="1799" max="2048" width="9.140625" style="2"/>
    <col min="2049" max="2049" width="0" style="2" hidden="1" customWidth="1"/>
    <col min="2050" max="2050" width="28.7109375" style="2" customWidth="1"/>
    <col min="2051" max="2052" width="20" style="2" customWidth="1"/>
    <col min="2053" max="2053" width="15.140625" style="2" customWidth="1"/>
    <col min="2054" max="2054" width="17.7109375" style="2" customWidth="1"/>
    <col min="2055" max="2304" width="9.140625" style="2"/>
    <col min="2305" max="2305" width="0" style="2" hidden="1" customWidth="1"/>
    <col min="2306" max="2306" width="28.7109375" style="2" customWidth="1"/>
    <col min="2307" max="2308" width="20" style="2" customWidth="1"/>
    <col min="2309" max="2309" width="15.140625" style="2" customWidth="1"/>
    <col min="2310" max="2310" width="17.7109375" style="2" customWidth="1"/>
    <col min="2311" max="2560" width="9.140625" style="2"/>
    <col min="2561" max="2561" width="0" style="2" hidden="1" customWidth="1"/>
    <col min="2562" max="2562" width="28.7109375" style="2" customWidth="1"/>
    <col min="2563" max="2564" width="20" style="2" customWidth="1"/>
    <col min="2565" max="2565" width="15.140625" style="2" customWidth="1"/>
    <col min="2566" max="2566" width="17.7109375" style="2" customWidth="1"/>
    <col min="2567" max="2816" width="9.140625" style="2"/>
    <col min="2817" max="2817" width="0" style="2" hidden="1" customWidth="1"/>
    <col min="2818" max="2818" width="28.7109375" style="2" customWidth="1"/>
    <col min="2819" max="2820" width="20" style="2" customWidth="1"/>
    <col min="2821" max="2821" width="15.140625" style="2" customWidth="1"/>
    <col min="2822" max="2822" width="17.7109375" style="2" customWidth="1"/>
    <col min="2823" max="3072" width="9.140625" style="2"/>
    <col min="3073" max="3073" width="0" style="2" hidden="1" customWidth="1"/>
    <col min="3074" max="3074" width="28.7109375" style="2" customWidth="1"/>
    <col min="3075" max="3076" width="20" style="2" customWidth="1"/>
    <col min="3077" max="3077" width="15.140625" style="2" customWidth="1"/>
    <col min="3078" max="3078" width="17.7109375" style="2" customWidth="1"/>
    <col min="3079" max="3328" width="9.140625" style="2"/>
    <col min="3329" max="3329" width="0" style="2" hidden="1" customWidth="1"/>
    <col min="3330" max="3330" width="28.7109375" style="2" customWidth="1"/>
    <col min="3331" max="3332" width="20" style="2" customWidth="1"/>
    <col min="3333" max="3333" width="15.140625" style="2" customWidth="1"/>
    <col min="3334" max="3334" width="17.7109375" style="2" customWidth="1"/>
    <col min="3335" max="3584" width="9.140625" style="2"/>
    <col min="3585" max="3585" width="0" style="2" hidden="1" customWidth="1"/>
    <col min="3586" max="3586" width="28.7109375" style="2" customWidth="1"/>
    <col min="3587" max="3588" width="20" style="2" customWidth="1"/>
    <col min="3589" max="3589" width="15.140625" style="2" customWidth="1"/>
    <col min="3590" max="3590" width="17.7109375" style="2" customWidth="1"/>
    <col min="3591" max="3840" width="9.140625" style="2"/>
    <col min="3841" max="3841" width="0" style="2" hidden="1" customWidth="1"/>
    <col min="3842" max="3842" width="28.7109375" style="2" customWidth="1"/>
    <col min="3843" max="3844" width="20" style="2" customWidth="1"/>
    <col min="3845" max="3845" width="15.140625" style="2" customWidth="1"/>
    <col min="3846" max="3846" width="17.7109375" style="2" customWidth="1"/>
    <col min="3847" max="4096" width="9.140625" style="2"/>
    <col min="4097" max="4097" width="0" style="2" hidden="1" customWidth="1"/>
    <col min="4098" max="4098" width="28.7109375" style="2" customWidth="1"/>
    <col min="4099" max="4100" width="20" style="2" customWidth="1"/>
    <col min="4101" max="4101" width="15.140625" style="2" customWidth="1"/>
    <col min="4102" max="4102" width="17.7109375" style="2" customWidth="1"/>
    <col min="4103" max="4352" width="9.140625" style="2"/>
    <col min="4353" max="4353" width="0" style="2" hidden="1" customWidth="1"/>
    <col min="4354" max="4354" width="28.7109375" style="2" customWidth="1"/>
    <col min="4355" max="4356" width="20" style="2" customWidth="1"/>
    <col min="4357" max="4357" width="15.140625" style="2" customWidth="1"/>
    <col min="4358" max="4358" width="17.7109375" style="2" customWidth="1"/>
    <col min="4359" max="4608" width="9.140625" style="2"/>
    <col min="4609" max="4609" width="0" style="2" hidden="1" customWidth="1"/>
    <col min="4610" max="4610" width="28.7109375" style="2" customWidth="1"/>
    <col min="4611" max="4612" width="20" style="2" customWidth="1"/>
    <col min="4613" max="4613" width="15.140625" style="2" customWidth="1"/>
    <col min="4614" max="4614" width="17.7109375" style="2" customWidth="1"/>
    <col min="4615" max="4864" width="9.140625" style="2"/>
    <col min="4865" max="4865" width="0" style="2" hidden="1" customWidth="1"/>
    <col min="4866" max="4866" width="28.7109375" style="2" customWidth="1"/>
    <col min="4867" max="4868" width="20" style="2" customWidth="1"/>
    <col min="4869" max="4869" width="15.140625" style="2" customWidth="1"/>
    <col min="4870" max="4870" width="17.7109375" style="2" customWidth="1"/>
    <col min="4871" max="5120" width="9.140625" style="2"/>
    <col min="5121" max="5121" width="0" style="2" hidden="1" customWidth="1"/>
    <col min="5122" max="5122" width="28.7109375" style="2" customWidth="1"/>
    <col min="5123" max="5124" width="20" style="2" customWidth="1"/>
    <col min="5125" max="5125" width="15.140625" style="2" customWidth="1"/>
    <col min="5126" max="5126" width="17.7109375" style="2" customWidth="1"/>
    <col min="5127" max="5376" width="9.140625" style="2"/>
    <col min="5377" max="5377" width="0" style="2" hidden="1" customWidth="1"/>
    <col min="5378" max="5378" width="28.7109375" style="2" customWidth="1"/>
    <col min="5379" max="5380" width="20" style="2" customWidth="1"/>
    <col min="5381" max="5381" width="15.140625" style="2" customWidth="1"/>
    <col min="5382" max="5382" width="17.7109375" style="2" customWidth="1"/>
    <col min="5383" max="5632" width="9.140625" style="2"/>
    <col min="5633" max="5633" width="0" style="2" hidden="1" customWidth="1"/>
    <col min="5634" max="5634" width="28.7109375" style="2" customWidth="1"/>
    <col min="5635" max="5636" width="20" style="2" customWidth="1"/>
    <col min="5637" max="5637" width="15.140625" style="2" customWidth="1"/>
    <col min="5638" max="5638" width="17.7109375" style="2" customWidth="1"/>
    <col min="5639" max="5888" width="9.140625" style="2"/>
    <col min="5889" max="5889" width="0" style="2" hidden="1" customWidth="1"/>
    <col min="5890" max="5890" width="28.7109375" style="2" customWidth="1"/>
    <col min="5891" max="5892" width="20" style="2" customWidth="1"/>
    <col min="5893" max="5893" width="15.140625" style="2" customWidth="1"/>
    <col min="5894" max="5894" width="17.7109375" style="2" customWidth="1"/>
    <col min="5895" max="6144" width="9.140625" style="2"/>
    <col min="6145" max="6145" width="0" style="2" hidden="1" customWidth="1"/>
    <col min="6146" max="6146" width="28.7109375" style="2" customWidth="1"/>
    <col min="6147" max="6148" width="20" style="2" customWidth="1"/>
    <col min="6149" max="6149" width="15.140625" style="2" customWidth="1"/>
    <col min="6150" max="6150" width="17.7109375" style="2" customWidth="1"/>
    <col min="6151" max="6400" width="9.140625" style="2"/>
    <col min="6401" max="6401" width="0" style="2" hidden="1" customWidth="1"/>
    <col min="6402" max="6402" width="28.7109375" style="2" customWidth="1"/>
    <col min="6403" max="6404" width="20" style="2" customWidth="1"/>
    <col min="6405" max="6405" width="15.140625" style="2" customWidth="1"/>
    <col min="6406" max="6406" width="17.7109375" style="2" customWidth="1"/>
    <col min="6407" max="6656" width="9.140625" style="2"/>
    <col min="6657" max="6657" width="0" style="2" hidden="1" customWidth="1"/>
    <col min="6658" max="6658" width="28.7109375" style="2" customWidth="1"/>
    <col min="6659" max="6660" width="20" style="2" customWidth="1"/>
    <col min="6661" max="6661" width="15.140625" style="2" customWidth="1"/>
    <col min="6662" max="6662" width="17.7109375" style="2" customWidth="1"/>
    <col min="6663" max="6912" width="9.140625" style="2"/>
    <col min="6913" max="6913" width="0" style="2" hidden="1" customWidth="1"/>
    <col min="6914" max="6914" width="28.7109375" style="2" customWidth="1"/>
    <col min="6915" max="6916" width="20" style="2" customWidth="1"/>
    <col min="6917" max="6917" width="15.140625" style="2" customWidth="1"/>
    <col min="6918" max="6918" width="17.7109375" style="2" customWidth="1"/>
    <col min="6919" max="7168" width="9.140625" style="2"/>
    <col min="7169" max="7169" width="0" style="2" hidden="1" customWidth="1"/>
    <col min="7170" max="7170" width="28.7109375" style="2" customWidth="1"/>
    <col min="7171" max="7172" width="20" style="2" customWidth="1"/>
    <col min="7173" max="7173" width="15.140625" style="2" customWidth="1"/>
    <col min="7174" max="7174" width="17.7109375" style="2" customWidth="1"/>
    <col min="7175" max="7424" width="9.140625" style="2"/>
    <col min="7425" max="7425" width="0" style="2" hidden="1" customWidth="1"/>
    <col min="7426" max="7426" width="28.7109375" style="2" customWidth="1"/>
    <col min="7427" max="7428" width="20" style="2" customWidth="1"/>
    <col min="7429" max="7429" width="15.140625" style="2" customWidth="1"/>
    <col min="7430" max="7430" width="17.7109375" style="2" customWidth="1"/>
    <col min="7431" max="7680" width="9.140625" style="2"/>
    <col min="7681" max="7681" width="0" style="2" hidden="1" customWidth="1"/>
    <col min="7682" max="7682" width="28.7109375" style="2" customWidth="1"/>
    <col min="7683" max="7684" width="20" style="2" customWidth="1"/>
    <col min="7685" max="7685" width="15.140625" style="2" customWidth="1"/>
    <col min="7686" max="7686" width="17.7109375" style="2" customWidth="1"/>
    <col min="7687" max="7936" width="9.140625" style="2"/>
    <col min="7937" max="7937" width="0" style="2" hidden="1" customWidth="1"/>
    <col min="7938" max="7938" width="28.7109375" style="2" customWidth="1"/>
    <col min="7939" max="7940" width="20" style="2" customWidth="1"/>
    <col min="7941" max="7941" width="15.140625" style="2" customWidth="1"/>
    <col min="7942" max="7942" width="17.7109375" style="2" customWidth="1"/>
    <col min="7943" max="8192" width="9.140625" style="2"/>
    <col min="8193" max="8193" width="0" style="2" hidden="1" customWidth="1"/>
    <col min="8194" max="8194" width="28.7109375" style="2" customWidth="1"/>
    <col min="8195" max="8196" width="20" style="2" customWidth="1"/>
    <col min="8197" max="8197" width="15.140625" style="2" customWidth="1"/>
    <col min="8198" max="8198" width="17.7109375" style="2" customWidth="1"/>
    <col min="8199" max="8448" width="9.140625" style="2"/>
    <col min="8449" max="8449" width="0" style="2" hidden="1" customWidth="1"/>
    <col min="8450" max="8450" width="28.7109375" style="2" customWidth="1"/>
    <col min="8451" max="8452" width="20" style="2" customWidth="1"/>
    <col min="8453" max="8453" width="15.140625" style="2" customWidth="1"/>
    <col min="8454" max="8454" width="17.7109375" style="2" customWidth="1"/>
    <col min="8455" max="8704" width="9.140625" style="2"/>
    <col min="8705" max="8705" width="0" style="2" hidden="1" customWidth="1"/>
    <col min="8706" max="8706" width="28.7109375" style="2" customWidth="1"/>
    <col min="8707" max="8708" width="20" style="2" customWidth="1"/>
    <col min="8709" max="8709" width="15.140625" style="2" customWidth="1"/>
    <col min="8710" max="8710" width="17.7109375" style="2" customWidth="1"/>
    <col min="8711" max="8960" width="9.140625" style="2"/>
    <col min="8961" max="8961" width="0" style="2" hidden="1" customWidth="1"/>
    <col min="8962" max="8962" width="28.7109375" style="2" customWidth="1"/>
    <col min="8963" max="8964" width="20" style="2" customWidth="1"/>
    <col min="8965" max="8965" width="15.140625" style="2" customWidth="1"/>
    <col min="8966" max="8966" width="17.7109375" style="2" customWidth="1"/>
    <col min="8967" max="9216" width="9.140625" style="2"/>
    <col min="9217" max="9217" width="0" style="2" hidden="1" customWidth="1"/>
    <col min="9218" max="9218" width="28.7109375" style="2" customWidth="1"/>
    <col min="9219" max="9220" width="20" style="2" customWidth="1"/>
    <col min="9221" max="9221" width="15.140625" style="2" customWidth="1"/>
    <col min="9222" max="9222" width="17.7109375" style="2" customWidth="1"/>
    <col min="9223" max="9472" width="9.140625" style="2"/>
    <col min="9473" max="9473" width="0" style="2" hidden="1" customWidth="1"/>
    <col min="9474" max="9474" width="28.7109375" style="2" customWidth="1"/>
    <col min="9475" max="9476" width="20" style="2" customWidth="1"/>
    <col min="9477" max="9477" width="15.140625" style="2" customWidth="1"/>
    <col min="9478" max="9478" width="17.7109375" style="2" customWidth="1"/>
    <col min="9479" max="9728" width="9.140625" style="2"/>
    <col min="9729" max="9729" width="0" style="2" hidden="1" customWidth="1"/>
    <col min="9730" max="9730" width="28.7109375" style="2" customWidth="1"/>
    <col min="9731" max="9732" width="20" style="2" customWidth="1"/>
    <col min="9733" max="9733" width="15.140625" style="2" customWidth="1"/>
    <col min="9734" max="9734" width="17.7109375" style="2" customWidth="1"/>
    <col min="9735" max="9984" width="9.140625" style="2"/>
    <col min="9985" max="9985" width="0" style="2" hidden="1" customWidth="1"/>
    <col min="9986" max="9986" width="28.7109375" style="2" customWidth="1"/>
    <col min="9987" max="9988" width="20" style="2" customWidth="1"/>
    <col min="9989" max="9989" width="15.140625" style="2" customWidth="1"/>
    <col min="9990" max="9990" width="17.7109375" style="2" customWidth="1"/>
    <col min="9991" max="10240" width="9.140625" style="2"/>
    <col min="10241" max="10241" width="0" style="2" hidden="1" customWidth="1"/>
    <col min="10242" max="10242" width="28.7109375" style="2" customWidth="1"/>
    <col min="10243" max="10244" width="20" style="2" customWidth="1"/>
    <col min="10245" max="10245" width="15.140625" style="2" customWidth="1"/>
    <col min="10246" max="10246" width="17.7109375" style="2" customWidth="1"/>
    <col min="10247" max="10496" width="9.140625" style="2"/>
    <col min="10497" max="10497" width="0" style="2" hidden="1" customWidth="1"/>
    <col min="10498" max="10498" width="28.7109375" style="2" customWidth="1"/>
    <col min="10499" max="10500" width="20" style="2" customWidth="1"/>
    <col min="10501" max="10501" width="15.140625" style="2" customWidth="1"/>
    <col min="10502" max="10502" width="17.7109375" style="2" customWidth="1"/>
    <col min="10503" max="10752" width="9.140625" style="2"/>
    <col min="10753" max="10753" width="0" style="2" hidden="1" customWidth="1"/>
    <col min="10754" max="10754" width="28.7109375" style="2" customWidth="1"/>
    <col min="10755" max="10756" width="20" style="2" customWidth="1"/>
    <col min="10757" max="10757" width="15.140625" style="2" customWidth="1"/>
    <col min="10758" max="10758" width="17.7109375" style="2" customWidth="1"/>
    <col min="10759" max="11008" width="9.140625" style="2"/>
    <col min="11009" max="11009" width="0" style="2" hidden="1" customWidth="1"/>
    <col min="11010" max="11010" width="28.7109375" style="2" customWidth="1"/>
    <col min="11011" max="11012" width="20" style="2" customWidth="1"/>
    <col min="11013" max="11013" width="15.140625" style="2" customWidth="1"/>
    <col min="11014" max="11014" width="17.7109375" style="2" customWidth="1"/>
    <col min="11015" max="11264" width="9.140625" style="2"/>
    <col min="11265" max="11265" width="0" style="2" hidden="1" customWidth="1"/>
    <col min="11266" max="11266" width="28.7109375" style="2" customWidth="1"/>
    <col min="11267" max="11268" width="20" style="2" customWidth="1"/>
    <col min="11269" max="11269" width="15.140625" style="2" customWidth="1"/>
    <col min="11270" max="11270" width="17.7109375" style="2" customWidth="1"/>
    <col min="11271" max="11520" width="9.140625" style="2"/>
    <col min="11521" max="11521" width="0" style="2" hidden="1" customWidth="1"/>
    <col min="11522" max="11522" width="28.7109375" style="2" customWidth="1"/>
    <col min="11523" max="11524" width="20" style="2" customWidth="1"/>
    <col min="11525" max="11525" width="15.140625" style="2" customWidth="1"/>
    <col min="11526" max="11526" width="17.7109375" style="2" customWidth="1"/>
    <col min="11527" max="11776" width="9.140625" style="2"/>
    <col min="11777" max="11777" width="0" style="2" hidden="1" customWidth="1"/>
    <col min="11778" max="11778" width="28.7109375" style="2" customWidth="1"/>
    <col min="11779" max="11780" width="20" style="2" customWidth="1"/>
    <col min="11781" max="11781" width="15.140625" style="2" customWidth="1"/>
    <col min="11782" max="11782" width="17.7109375" style="2" customWidth="1"/>
    <col min="11783" max="12032" width="9.140625" style="2"/>
    <col min="12033" max="12033" width="0" style="2" hidden="1" customWidth="1"/>
    <col min="12034" max="12034" width="28.7109375" style="2" customWidth="1"/>
    <col min="12035" max="12036" width="20" style="2" customWidth="1"/>
    <col min="12037" max="12037" width="15.140625" style="2" customWidth="1"/>
    <col min="12038" max="12038" width="17.7109375" style="2" customWidth="1"/>
    <col min="12039" max="12288" width="9.140625" style="2"/>
    <col min="12289" max="12289" width="0" style="2" hidden="1" customWidth="1"/>
    <col min="12290" max="12290" width="28.7109375" style="2" customWidth="1"/>
    <col min="12291" max="12292" width="20" style="2" customWidth="1"/>
    <col min="12293" max="12293" width="15.140625" style="2" customWidth="1"/>
    <col min="12294" max="12294" width="17.7109375" style="2" customWidth="1"/>
    <col min="12295" max="12544" width="9.140625" style="2"/>
    <col min="12545" max="12545" width="0" style="2" hidden="1" customWidth="1"/>
    <col min="12546" max="12546" width="28.7109375" style="2" customWidth="1"/>
    <col min="12547" max="12548" width="20" style="2" customWidth="1"/>
    <col min="12549" max="12549" width="15.140625" style="2" customWidth="1"/>
    <col min="12550" max="12550" width="17.7109375" style="2" customWidth="1"/>
    <col min="12551" max="12800" width="9.140625" style="2"/>
    <col min="12801" max="12801" width="0" style="2" hidden="1" customWidth="1"/>
    <col min="12802" max="12802" width="28.7109375" style="2" customWidth="1"/>
    <col min="12803" max="12804" width="20" style="2" customWidth="1"/>
    <col min="12805" max="12805" width="15.140625" style="2" customWidth="1"/>
    <col min="12806" max="12806" width="17.7109375" style="2" customWidth="1"/>
    <col min="12807" max="13056" width="9.140625" style="2"/>
    <col min="13057" max="13057" width="0" style="2" hidden="1" customWidth="1"/>
    <col min="13058" max="13058" width="28.7109375" style="2" customWidth="1"/>
    <col min="13059" max="13060" width="20" style="2" customWidth="1"/>
    <col min="13061" max="13061" width="15.140625" style="2" customWidth="1"/>
    <col min="13062" max="13062" width="17.7109375" style="2" customWidth="1"/>
    <col min="13063" max="13312" width="9.140625" style="2"/>
    <col min="13313" max="13313" width="0" style="2" hidden="1" customWidth="1"/>
    <col min="13314" max="13314" width="28.7109375" style="2" customWidth="1"/>
    <col min="13315" max="13316" width="20" style="2" customWidth="1"/>
    <col min="13317" max="13317" width="15.140625" style="2" customWidth="1"/>
    <col min="13318" max="13318" width="17.7109375" style="2" customWidth="1"/>
    <col min="13319" max="13568" width="9.140625" style="2"/>
    <col min="13569" max="13569" width="0" style="2" hidden="1" customWidth="1"/>
    <col min="13570" max="13570" width="28.7109375" style="2" customWidth="1"/>
    <col min="13571" max="13572" width="20" style="2" customWidth="1"/>
    <col min="13573" max="13573" width="15.140625" style="2" customWidth="1"/>
    <col min="13574" max="13574" width="17.7109375" style="2" customWidth="1"/>
    <col min="13575" max="13824" width="9.140625" style="2"/>
    <col min="13825" max="13825" width="0" style="2" hidden="1" customWidth="1"/>
    <col min="13826" max="13826" width="28.7109375" style="2" customWidth="1"/>
    <col min="13827" max="13828" width="20" style="2" customWidth="1"/>
    <col min="13829" max="13829" width="15.140625" style="2" customWidth="1"/>
    <col min="13830" max="13830" width="17.7109375" style="2" customWidth="1"/>
    <col min="13831" max="14080" width="9.140625" style="2"/>
    <col min="14081" max="14081" width="0" style="2" hidden="1" customWidth="1"/>
    <col min="14082" max="14082" width="28.7109375" style="2" customWidth="1"/>
    <col min="14083" max="14084" width="20" style="2" customWidth="1"/>
    <col min="14085" max="14085" width="15.140625" style="2" customWidth="1"/>
    <col min="14086" max="14086" width="17.7109375" style="2" customWidth="1"/>
    <col min="14087" max="14336" width="9.140625" style="2"/>
    <col min="14337" max="14337" width="0" style="2" hidden="1" customWidth="1"/>
    <col min="14338" max="14338" width="28.7109375" style="2" customWidth="1"/>
    <col min="14339" max="14340" width="20" style="2" customWidth="1"/>
    <col min="14341" max="14341" width="15.140625" style="2" customWidth="1"/>
    <col min="14342" max="14342" width="17.7109375" style="2" customWidth="1"/>
    <col min="14343" max="14592" width="9.140625" style="2"/>
    <col min="14593" max="14593" width="0" style="2" hidden="1" customWidth="1"/>
    <col min="14594" max="14594" width="28.7109375" style="2" customWidth="1"/>
    <col min="14595" max="14596" width="20" style="2" customWidth="1"/>
    <col min="14597" max="14597" width="15.140625" style="2" customWidth="1"/>
    <col min="14598" max="14598" width="17.7109375" style="2" customWidth="1"/>
    <col min="14599" max="14848" width="9.140625" style="2"/>
    <col min="14849" max="14849" width="0" style="2" hidden="1" customWidth="1"/>
    <col min="14850" max="14850" width="28.7109375" style="2" customWidth="1"/>
    <col min="14851" max="14852" width="20" style="2" customWidth="1"/>
    <col min="14853" max="14853" width="15.140625" style="2" customWidth="1"/>
    <col min="14854" max="14854" width="17.7109375" style="2" customWidth="1"/>
    <col min="14855" max="15104" width="9.140625" style="2"/>
    <col min="15105" max="15105" width="0" style="2" hidden="1" customWidth="1"/>
    <col min="15106" max="15106" width="28.7109375" style="2" customWidth="1"/>
    <col min="15107" max="15108" width="20" style="2" customWidth="1"/>
    <col min="15109" max="15109" width="15.140625" style="2" customWidth="1"/>
    <col min="15110" max="15110" width="17.7109375" style="2" customWidth="1"/>
    <col min="15111" max="15360" width="9.140625" style="2"/>
    <col min="15361" max="15361" width="0" style="2" hidden="1" customWidth="1"/>
    <col min="15362" max="15362" width="28.7109375" style="2" customWidth="1"/>
    <col min="15363" max="15364" width="20" style="2" customWidth="1"/>
    <col min="15365" max="15365" width="15.140625" style="2" customWidth="1"/>
    <col min="15366" max="15366" width="17.7109375" style="2" customWidth="1"/>
    <col min="15367" max="15616" width="9.140625" style="2"/>
    <col min="15617" max="15617" width="0" style="2" hidden="1" customWidth="1"/>
    <col min="15618" max="15618" width="28.7109375" style="2" customWidth="1"/>
    <col min="15619" max="15620" width="20" style="2" customWidth="1"/>
    <col min="15621" max="15621" width="15.140625" style="2" customWidth="1"/>
    <col min="15622" max="15622" width="17.7109375" style="2" customWidth="1"/>
    <col min="15623" max="15872" width="9.140625" style="2"/>
    <col min="15873" max="15873" width="0" style="2" hidden="1" customWidth="1"/>
    <col min="15874" max="15874" width="28.7109375" style="2" customWidth="1"/>
    <col min="15875" max="15876" width="20" style="2" customWidth="1"/>
    <col min="15877" max="15877" width="15.140625" style="2" customWidth="1"/>
    <col min="15878" max="15878" width="17.7109375" style="2" customWidth="1"/>
    <col min="15879" max="16128" width="9.140625" style="2"/>
    <col min="16129" max="16129" width="0" style="2" hidden="1" customWidth="1"/>
    <col min="16130" max="16130" width="28.7109375" style="2" customWidth="1"/>
    <col min="16131" max="16132" width="20" style="2" customWidth="1"/>
    <col min="16133" max="16133" width="15.140625" style="2" customWidth="1"/>
    <col min="16134" max="16134" width="17.7109375" style="2" customWidth="1"/>
    <col min="16135" max="16384" width="9.140625" style="2"/>
  </cols>
  <sheetData>
    <row r="1" spans="1:11" ht="60" customHeight="1">
      <c r="B1" s="226" t="s">
        <v>0</v>
      </c>
      <c r="C1" s="227"/>
      <c r="D1" s="227"/>
      <c r="E1" s="227"/>
      <c r="F1" s="228"/>
    </row>
    <row r="2" spans="1:11" ht="14.25">
      <c r="B2" s="209"/>
      <c r="C2" s="210" t="s">
        <v>1</v>
      </c>
      <c r="D2" s="212" t="s">
        <v>2</v>
      </c>
      <c r="E2" s="212"/>
    </row>
    <row r="3" spans="1:11" ht="27">
      <c r="A3" s="4"/>
      <c r="B3" s="209"/>
      <c r="C3" s="211"/>
      <c r="D3" s="5" t="s">
        <v>3</v>
      </c>
      <c r="E3" s="5" t="s">
        <v>4</v>
      </c>
      <c r="F3" s="5" t="s">
        <v>5</v>
      </c>
    </row>
    <row r="4" spans="1:11" ht="24" customHeight="1">
      <c r="A4" s="4"/>
      <c r="B4" s="6" t="s">
        <v>6</v>
      </c>
      <c r="C4" s="7">
        <v>2627</v>
      </c>
      <c r="D4" s="7">
        <v>493</v>
      </c>
      <c r="E4" s="7">
        <v>81</v>
      </c>
      <c r="F4" s="7">
        <v>0</v>
      </c>
      <c r="H4" s="8"/>
      <c r="I4" s="8"/>
      <c r="J4" s="8"/>
      <c r="K4" s="8"/>
    </row>
    <row r="5" spans="1:11" s="11" customFormat="1" ht="25.5" customHeight="1">
      <c r="A5" s="9"/>
      <c r="B5" s="10" t="s">
        <v>7</v>
      </c>
      <c r="C5" s="7">
        <v>1900</v>
      </c>
      <c r="D5" s="7">
        <v>307</v>
      </c>
      <c r="E5" s="7">
        <v>59</v>
      </c>
      <c r="F5" s="7">
        <v>0</v>
      </c>
      <c r="H5" s="8"/>
      <c r="I5" s="8"/>
      <c r="J5" s="8"/>
      <c r="K5" s="8"/>
    </row>
    <row r="6" spans="1:11" ht="12.75" customHeight="1">
      <c r="A6" s="12">
        <v>51</v>
      </c>
      <c r="B6" s="13" t="s">
        <v>8</v>
      </c>
      <c r="C6" s="14">
        <v>60</v>
      </c>
      <c r="D6" s="14">
        <v>13</v>
      </c>
      <c r="E6" s="14">
        <v>6</v>
      </c>
      <c r="F6" s="14">
        <v>0</v>
      </c>
      <c r="H6" s="8"/>
      <c r="I6" s="8"/>
      <c r="J6" s="8"/>
      <c r="K6" s="8"/>
    </row>
    <row r="7" spans="1:11" ht="12.75" customHeight="1">
      <c r="A7" s="12">
        <v>52</v>
      </c>
      <c r="B7" s="13" t="s">
        <v>9</v>
      </c>
      <c r="C7" s="14">
        <v>59</v>
      </c>
      <c r="D7" s="14">
        <v>7</v>
      </c>
      <c r="E7" s="14">
        <v>0</v>
      </c>
      <c r="F7" s="14">
        <v>0</v>
      </c>
      <c r="H7" s="8"/>
      <c r="I7" s="8"/>
      <c r="J7" s="8"/>
      <c r="K7" s="8"/>
    </row>
    <row r="8" spans="1:11">
      <c r="A8" s="12">
        <v>86</v>
      </c>
      <c r="B8" s="13" t="s">
        <v>10</v>
      </c>
      <c r="C8" s="14">
        <v>68</v>
      </c>
      <c r="D8" s="14">
        <v>10</v>
      </c>
      <c r="E8" s="14">
        <v>1</v>
      </c>
      <c r="F8" s="14">
        <v>0</v>
      </c>
      <c r="H8" s="8"/>
      <c r="I8" s="8"/>
      <c r="J8" s="8"/>
      <c r="K8" s="8"/>
    </row>
    <row r="9" spans="1:11" ht="12.75" customHeight="1">
      <c r="A9" s="12">
        <v>53</v>
      </c>
      <c r="B9" s="13" t="s">
        <v>11</v>
      </c>
      <c r="C9" s="14">
        <v>22</v>
      </c>
      <c r="D9" s="14">
        <v>2</v>
      </c>
      <c r="E9" s="14">
        <v>0</v>
      </c>
      <c r="F9" s="14">
        <v>0</v>
      </c>
      <c r="H9" s="8"/>
      <c r="I9" s="8"/>
      <c r="J9" s="8"/>
      <c r="K9" s="8"/>
    </row>
    <row r="10" spans="1:11" ht="12.75" customHeight="1">
      <c r="A10" s="12">
        <v>54</v>
      </c>
      <c r="B10" s="13" t="s">
        <v>12</v>
      </c>
      <c r="C10" s="14">
        <v>89</v>
      </c>
      <c r="D10" s="14">
        <v>20</v>
      </c>
      <c r="E10" s="14">
        <v>13</v>
      </c>
      <c r="F10" s="14">
        <v>0</v>
      </c>
      <c r="H10" s="8"/>
      <c r="I10" s="8"/>
      <c r="J10" s="8"/>
      <c r="K10" s="8"/>
    </row>
    <row r="11" spans="1:11" ht="12.75" customHeight="1">
      <c r="A11" s="12">
        <v>55</v>
      </c>
      <c r="B11" s="13" t="s">
        <v>13</v>
      </c>
      <c r="C11" s="14">
        <v>26</v>
      </c>
      <c r="D11" s="14">
        <v>5</v>
      </c>
      <c r="E11" s="14">
        <v>0</v>
      </c>
      <c r="F11" s="14">
        <v>0</v>
      </c>
      <c r="H11" s="8"/>
      <c r="I11" s="8"/>
      <c r="J11" s="8"/>
      <c r="K11" s="8"/>
    </row>
    <row r="12" spans="1:11" ht="12.75" customHeight="1">
      <c r="A12" s="12">
        <v>56</v>
      </c>
      <c r="B12" s="13" t="s">
        <v>14</v>
      </c>
      <c r="C12" s="14">
        <v>31</v>
      </c>
      <c r="D12" s="14">
        <v>0</v>
      </c>
      <c r="E12" s="14">
        <v>4</v>
      </c>
      <c r="F12" s="14">
        <v>0</v>
      </c>
      <c r="H12" s="8"/>
      <c r="I12" s="8"/>
      <c r="J12" s="8"/>
      <c r="K12" s="8"/>
    </row>
    <row r="13" spans="1:11" ht="12.75" customHeight="1">
      <c r="A13" s="12">
        <v>57</v>
      </c>
      <c r="B13" s="13" t="s">
        <v>15</v>
      </c>
      <c r="C13" s="14">
        <v>32</v>
      </c>
      <c r="D13" s="14">
        <v>6</v>
      </c>
      <c r="E13" s="14">
        <v>2</v>
      </c>
      <c r="F13" s="14">
        <v>0</v>
      </c>
      <c r="H13" s="8"/>
      <c r="I13" s="8"/>
      <c r="J13" s="8"/>
      <c r="K13" s="8"/>
    </row>
    <row r="14" spans="1:11" ht="12.75" customHeight="1">
      <c r="A14" s="12">
        <v>59</v>
      </c>
      <c r="B14" s="13" t="s">
        <v>16</v>
      </c>
      <c r="C14" s="14">
        <v>27</v>
      </c>
      <c r="D14" s="14">
        <v>5</v>
      </c>
      <c r="E14" s="14">
        <v>0</v>
      </c>
      <c r="F14" s="14">
        <v>0</v>
      </c>
      <c r="H14" s="8"/>
      <c r="I14" s="8"/>
      <c r="J14" s="8"/>
      <c r="K14" s="8"/>
    </row>
    <row r="15" spans="1:11" ht="12.75" customHeight="1">
      <c r="A15" s="12">
        <v>60</v>
      </c>
      <c r="B15" s="13" t="s">
        <v>17</v>
      </c>
      <c r="C15" s="14">
        <v>37</v>
      </c>
      <c r="D15" s="14">
        <v>4</v>
      </c>
      <c r="E15" s="14">
        <v>0</v>
      </c>
      <c r="F15" s="14">
        <v>0</v>
      </c>
      <c r="H15" s="8"/>
      <c r="I15" s="8"/>
      <c r="J15" s="8"/>
      <c r="K15" s="8"/>
    </row>
    <row r="16" spans="1:11" ht="12.75" customHeight="1">
      <c r="A16" s="12">
        <v>61</v>
      </c>
      <c r="B16" s="15" t="s">
        <v>18</v>
      </c>
      <c r="C16" s="14">
        <v>51</v>
      </c>
      <c r="D16" s="14">
        <v>12</v>
      </c>
      <c r="E16" s="14">
        <v>2</v>
      </c>
      <c r="F16" s="14">
        <v>0</v>
      </c>
      <c r="H16" s="8"/>
      <c r="I16" s="8"/>
      <c r="J16" s="8"/>
      <c r="K16" s="8"/>
    </row>
    <row r="17" spans="1:11" s="186" customFormat="1" ht="12.75" customHeight="1">
      <c r="A17" s="12"/>
      <c r="B17" s="132" t="s">
        <v>125</v>
      </c>
      <c r="C17" s="165" t="s">
        <v>126</v>
      </c>
      <c r="D17" s="165" t="s">
        <v>126</v>
      </c>
      <c r="E17" s="165" t="s">
        <v>126</v>
      </c>
      <c r="F17" s="165" t="s">
        <v>126</v>
      </c>
      <c r="H17" s="8"/>
      <c r="I17" s="8"/>
      <c r="J17" s="8"/>
      <c r="K17" s="8"/>
    </row>
    <row r="18" spans="1:11" ht="12.75" customHeight="1">
      <c r="A18" s="12">
        <v>62</v>
      </c>
      <c r="B18" s="13" t="s">
        <v>19</v>
      </c>
      <c r="C18" s="14">
        <v>57</v>
      </c>
      <c r="D18" s="14">
        <v>5</v>
      </c>
      <c r="E18" s="14">
        <v>0</v>
      </c>
      <c r="F18" s="14">
        <v>0</v>
      </c>
      <c r="H18" s="8"/>
      <c r="I18" s="8"/>
      <c r="J18" s="8"/>
      <c r="K18" s="8"/>
    </row>
    <row r="19" spans="1:11" ht="12.75" customHeight="1">
      <c r="A19" s="12">
        <v>58</v>
      </c>
      <c r="B19" s="13" t="s">
        <v>20</v>
      </c>
      <c r="C19" s="14">
        <v>12</v>
      </c>
      <c r="D19" s="14">
        <v>5</v>
      </c>
      <c r="E19" s="14">
        <v>0</v>
      </c>
      <c r="F19" s="14">
        <v>0</v>
      </c>
      <c r="H19" s="8"/>
      <c r="I19" s="8"/>
      <c r="J19" s="8"/>
      <c r="K19" s="8"/>
    </row>
    <row r="20" spans="1:11" ht="12.75" customHeight="1">
      <c r="A20" s="12">
        <v>63</v>
      </c>
      <c r="B20" s="13" t="s">
        <v>21</v>
      </c>
      <c r="C20" s="14">
        <v>61</v>
      </c>
      <c r="D20" s="14">
        <v>2</v>
      </c>
      <c r="E20" s="14">
        <v>6</v>
      </c>
      <c r="F20" s="14">
        <v>0</v>
      </c>
      <c r="H20" s="8"/>
      <c r="I20" s="8"/>
      <c r="J20" s="8"/>
      <c r="K20" s="8"/>
    </row>
    <row r="21" spans="1:11" ht="12.75" customHeight="1">
      <c r="A21" s="12">
        <v>64</v>
      </c>
      <c r="B21" s="13" t="s">
        <v>22</v>
      </c>
      <c r="C21" s="14">
        <v>100</v>
      </c>
      <c r="D21" s="14">
        <v>14</v>
      </c>
      <c r="E21" s="14">
        <v>3</v>
      </c>
      <c r="F21" s="14">
        <v>0</v>
      </c>
      <c r="H21" s="8"/>
      <c r="I21" s="8"/>
      <c r="J21" s="8"/>
      <c r="K21" s="8"/>
    </row>
    <row r="22" spans="1:11">
      <c r="A22" s="12">
        <v>65</v>
      </c>
      <c r="B22" s="13" t="s">
        <v>23</v>
      </c>
      <c r="C22" s="14">
        <v>50</v>
      </c>
      <c r="D22" s="14">
        <v>16</v>
      </c>
      <c r="E22" s="14">
        <v>1</v>
      </c>
      <c r="F22" s="14">
        <v>0</v>
      </c>
      <c r="H22" s="8"/>
      <c r="I22" s="8"/>
      <c r="J22" s="8"/>
      <c r="K22" s="8"/>
    </row>
    <row r="23" spans="1:11" ht="12.75" customHeight="1">
      <c r="A23" s="12">
        <v>67</v>
      </c>
      <c r="B23" s="13" t="s">
        <v>24</v>
      </c>
      <c r="C23" s="14">
        <v>91</v>
      </c>
      <c r="D23" s="14">
        <v>18</v>
      </c>
      <c r="E23" s="14">
        <v>4</v>
      </c>
      <c r="F23" s="14">
        <v>0</v>
      </c>
      <c r="H23" s="8"/>
      <c r="I23" s="8"/>
      <c r="J23" s="8"/>
      <c r="K23" s="8"/>
    </row>
    <row r="24" spans="1:11">
      <c r="A24" s="12">
        <v>68</v>
      </c>
      <c r="B24" s="13" t="s">
        <v>25</v>
      </c>
      <c r="C24" s="14">
        <v>48</v>
      </c>
      <c r="D24" s="14">
        <v>7</v>
      </c>
      <c r="E24" s="14">
        <v>1</v>
      </c>
      <c r="F24" s="14">
        <v>0</v>
      </c>
      <c r="H24" s="8"/>
      <c r="I24" s="8"/>
      <c r="J24" s="8"/>
      <c r="K24" s="8"/>
    </row>
    <row r="25" spans="1:11">
      <c r="A25" s="12">
        <v>69</v>
      </c>
      <c r="B25" s="13" t="s">
        <v>26</v>
      </c>
      <c r="C25" s="14">
        <v>45</v>
      </c>
      <c r="D25" s="14">
        <v>10</v>
      </c>
      <c r="E25" s="14">
        <v>2</v>
      </c>
      <c r="F25" s="14">
        <v>0</v>
      </c>
      <c r="H25" s="8"/>
      <c r="I25" s="8"/>
      <c r="J25" s="8"/>
      <c r="K25" s="8"/>
    </row>
    <row r="26" spans="1:11">
      <c r="A26" s="12">
        <v>70</v>
      </c>
      <c r="B26" s="13" t="s">
        <v>27</v>
      </c>
      <c r="C26" s="14">
        <v>112</v>
      </c>
      <c r="D26" s="14">
        <v>9</v>
      </c>
      <c r="E26" s="14">
        <v>0</v>
      </c>
      <c r="F26" s="14">
        <v>0</v>
      </c>
      <c r="H26" s="8"/>
      <c r="I26" s="8"/>
      <c r="J26" s="8"/>
      <c r="K26" s="8"/>
    </row>
    <row r="27" spans="1:11">
      <c r="A27" s="12">
        <v>71</v>
      </c>
      <c r="B27" s="16" t="s">
        <v>28</v>
      </c>
      <c r="C27" s="14">
        <v>7</v>
      </c>
      <c r="D27" s="14">
        <v>2</v>
      </c>
      <c r="E27" s="14">
        <v>0</v>
      </c>
      <c r="F27" s="14">
        <v>0</v>
      </c>
      <c r="H27" s="8"/>
      <c r="I27" s="8"/>
      <c r="J27" s="8"/>
      <c r="K27" s="8"/>
    </row>
    <row r="28" spans="1:11">
      <c r="A28" s="12">
        <v>73</v>
      </c>
      <c r="B28" s="13" t="s">
        <v>29</v>
      </c>
      <c r="C28" s="17">
        <v>56</v>
      </c>
      <c r="D28" s="17">
        <v>13</v>
      </c>
      <c r="E28" s="17">
        <v>3</v>
      </c>
      <c r="F28" s="17">
        <v>0</v>
      </c>
      <c r="H28" s="8"/>
      <c r="I28" s="8"/>
      <c r="J28" s="8"/>
      <c r="K28" s="8"/>
    </row>
    <row r="29" spans="1:11">
      <c r="A29" s="12">
        <v>74</v>
      </c>
      <c r="B29" s="13" t="s">
        <v>30</v>
      </c>
      <c r="C29" s="14">
        <v>50</v>
      </c>
      <c r="D29" s="14">
        <v>10</v>
      </c>
      <c r="E29" s="14">
        <v>0</v>
      </c>
      <c r="F29" s="14">
        <v>0</v>
      </c>
      <c r="H29" s="8"/>
      <c r="I29" s="8"/>
      <c r="J29" s="8"/>
      <c r="K29" s="8"/>
    </row>
    <row r="30" spans="1:11">
      <c r="A30" s="12">
        <v>75</v>
      </c>
      <c r="B30" s="13" t="s">
        <v>31</v>
      </c>
      <c r="C30" s="14">
        <v>58</v>
      </c>
      <c r="D30" s="14">
        <v>9</v>
      </c>
      <c r="E30" s="14">
        <v>1</v>
      </c>
      <c r="F30" s="14">
        <v>0</v>
      </c>
      <c r="H30" s="8"/>
      <c r="I30" s="8"/>
      <c r="J30" s="8"/>
      <c r="K30" s="8"/>
    </row>
    <row r="31" spans="1:11">
      <c r="A31" s="12">
        <v>76</v>
      </c>
      <c r="B31" s="13" t="s">
        <v>32</v>
      </c>
      <c r="C31" s="14">
        <v>47</v>
      </c>
      <c r="D31" s="14">
        <v>4</v>
      </c>
      <c r="E31" s="14">
        <v>0</v>
      </c>
      <c r="F31" s="14">
        <v>0</v>
      </c>
      <c r="H31" s="8"/>
      <c r="I31" s="8"/>
      <c r="J31" s="8"/>
      <c r="K31" s="8"/>
    </row>
    <row r="32" spans="1:11">
      <c r="A32" s="12">
        <v>79</v>
      </c>
      <c r="B32" s="13" t="s">
        <v>33</v>
      </c>
      <c r="C32" s="14">
        <v>77</v>
      </c>
      <c r="D32" s="14">
        <v>12</v>
      </c>
      <c r="E32" s="14">
        <v>0</v>
      </c>
      <c r="F32" s="14">
        <v>0</v>
      </c>
      <c r="H32" s="8"/>
      <c r="I32" s="8"/>
      <c r="J32" s="8"/>
      <c r="K32" s="8"/>
    </row>
    <row r="33" spans="1:11">
      <c r="A33" s="12">
        <v>80</v>
      </c>
      <c r="B33" s="13" t="s">
        <v>34</v>
      </c>
      <c r="C33" s="14">
        <v>55</v>
      </c>
      <c r="D33" s="14">
        <v>8</v>
      </c>
      <c r="E33" s="14">
        <v>0</v>
      </c>
      <c r="F33" s="14">
        <v>0</v>
      </c>
      <c r="H33" s="8"/>
      <c r="I33" s="8"/>
      <c r="J33" s="8"/>
      <c r="K33" s="8"/>
    </row>
    <row r="34" spans="1:11">
      <c r="A34" s="12">
        <v>81</v>
      </c>
      <c r="B34" s="13" t="s">
        <v>35</v>
      </c>
      <c r="C34" s="14">
        <v>49</v>
      </c>
      <c r="D34" s="14">
        <v>8</v>
      </c>
      <c r="E34" s="14">
        <v>6</v>
      </c>
      <c r="F34" s="14">
        <v>0</v>
      </c>
      <c r="H34" s="8"/>
      <c r="I34" s="8"/>
      <c r="J34" s="8"/>
      <c r="K34" s="8"/>
    </row>
    <row r="35" spans="1:11">
      <c r="A35" s="12">
        <v>83</v>
      </c>
      <c r="B35" s="13" t="s">
        <v>36</v>
      </c>
      <c r="C35" s="14">
        <v>23</v>
      </c>
      <c r="D35" s="14">
        <v>3</v>
      </c>
      <c r="E35" s="14">
        <v>0</v>
      </c>
      <c r="F35" s="14">
        <v>0</v>
      </c>
      <c r="H35" s="8"/>
      <c r="I35" s="8"/>
      <c r="J35" s="8"/>
      <c r="K35" s="8"/>
    </row>
    <row r="36" spans="1:11">
      <c r="A36" s="12">
        <v>84</v>
      </c>
      <c r="B36" s="13" t="s">
        <v>37</v>
      </c>
      <c r="C36" s="14">
        <v>43</v>
      </c>
      <c r="D36" s="14">
        <v>10</v>
      </c>
      <c r="E36" s="14">
        <v>0</v>
      </c>
      <c r="F36" s="14">
        <v>0</v>
      </c>
      <c r="H36" s="8"/>
      <c r="I36" s="8"/>
      <c r="J36" s="8"/>
      <c r="K36" s="8"/>
    </row>
    <row r="37" spans="1:11">
      <c r="A37" s="12">
        <v>85</v>
      </c>
      <c r="B37" s="13" t="s">
        <v>38</v>
      </c>
      <c r="C37" s="14">
        <v>40</v>
      </c>
      <c r="D37" s="14">
        <v>8</v>
      </c>
      <c r="E37" s="14">
        <v>0</v>
      </c>
      <c r="F37" s="14">
        <v>0</v>
      </c>
      <c r="H37" s="8"/>
      <c r="I37" s="8"/>
      <c r="J37" s="8"/>
      <c r="K37" s="8"/>
    </row>
    <row r="38" spans="1:11">
      <c r="A38" s="12">
        <v>87</v>
      </c>
      <c r="B38" s="13" t="s">
        <v>39</v>
      </c>
      <c r="C38" s="14">
        <v>29</v>
      </c>
      <c r="D38" s="14">
        <v>3</v>
      </c>
      <c r="E38" s="14">
        <v>0</v>
      </c>
      <c r="F38" s="14">
        <v>0</v>
      </c>
      <c r="H38" s="8"/>
      <c r="I38" s="8"/>
      <c r="J38" s="8"/>
      <c r="K38" s="8"/>
    </row>
    <row r="39" spans="1:11">
      <c r="A39" s="12">
        <v>90</v>
      </c>
      <c r="B39" s="13" t="s">
        <v>40</v>
      </c>
      <c r="C39" s="14">
        <v>56</v>
      </c>
      <c r="D39" s="14">
        <v>11</v>
      </c>
      <c r="E39" s="14">
        <v>0</v>
      </c>
      <c r="F39" s="14">
        <v>0</v>
      </c>
      <c r="H39" s="8"/>
      <c r="I39" s="8"/>
      <c r="J39" s="8"/>
      <c r="K39" s="8"/>
    </row>
    <row r="40" spans="1:11">
      <c r="A40" s="12">
        <v>91</v>
      </c>
      <c r="B40" s="13" t="s">
        <v>41</v>
      </c>
      <c r="C40" s="14">
        <v>67</v>
      </c>
      <c r="D40" s="14">
        <v>7</v>
      </c>
      <c r="E40" s="14">
        <v>1</v>
      </c>
      <c r="F40" s="14">
        <v>0</v>
      </c>
      <c r="H40" s="8"/>
      <c r="I40" s="8"/>
      <c r="J40" s="8"/>
      <c r="K40" s="8"/>
    </row>
    <row r="41" spans="1:11">
      <c r="A41" s="12">
        <v>92</v>
      </c>
      <c r="B41" s="13" t="s">
        <v>42</v>
      </c>
      <c r="C41" s="14">
        <v>53</v>
      </c>
      <c r="D41" s="14">
        <v>5</v>
      </c>
      <c r="E41" s="14">
        <v>0</v>
      </c>
      <c r="F41" s="14">
        <v>0</v>
      </c>
      <c r="H41" s="8"/>
      <c r="I41" s="8"/>
      <c r="J41" s="8"/>
      <c r="K41" s="8"/>
    </row>
    <row r="42" spans="1:11">
      <c r="A42" s="12">
        <v>94</v>
      </c>
      <c r="B42" s="13" t="s">
        <v>43</v>
      </c>
      <c r="C42" s="14">
        <v>45</v>
      </c>
      <c r="D42" s="14">
        <v>11</v>
      </c>
      <c r="E42" s="14">
        <v>0</v>
      </c>
      <c r="F42" s="14">
        <v>0</v>
      </c>
      <c r="H42" s="8"/>
      <c r="I42" s="8"/>
      <c r="J42" s="8"/>
      <c r="K42" s="8"/>
    </row>
    <row r="43" spans="1:11">
      <c r="A43" s="12">
        <v>96</v>
      </c>
      <c r="B43" s="13" t="s">
        <v>44</v>
      </c>
      <c r="C43" s="14">
        <v>33</v>
      </c>
      <c r="D43" s="14">
        <v>3</v>
      </c>
      <c r="E43" s="14">
        <v>1</v>
      </c>
      <c r="F43" s="14">
        <v>0</v>
      </c>
      <c r="H43" s="8"/>
      <c r="I43" s="8"/>
      <c r="J43" s="8"/>
      <c r="K43" s="8"/>
    </row>
    <row r="44" spans="1:11">
      <c r="A44" s="12">
        <v>98</v>
      </c>
      <c r="B44" s="13" t="s">
        <v>45</v>
      </c>
      <c r="C44" s="14">
        <v>34</v>
      </c>
      <c r="D44" s="14">
        <v>10</v>
      </c>
      <c r="E44" s="14">
        <v>2</v>
      </c>
      <c r="F44" s="14">
        <v>0</v>
      </c>
      <c r="H44" s="8"/>
      <c r="I44" s="8"/>
      <c r="J44" s="8"/>
      <c r="K44" s="8"/>
    </row>
    <row r="45" spans="1:11">
      <c r="A45" s="12">
        <v>72</v>
      </c>
      <c r="B45" s="16" t="s">
        <v>46</v>
      </c>
      <c r="C45" s="14">
        <v>0</v>
      </c>
      <c r="D45" s="14">
        <v>0</v>
      </c>
      <c r="E45" s="14">
        <v>0</v>
      </c>
      <c r="F45" s="14">
        <v>0</v>
      </c>
      <c r="H45" s="8"/>
      <c r="I45" s="8"/>
      <c r="J45" s="8"/>
      <c r="K45" s="8"/>
    </row>
    <row r="46" spans="1:11" s="11" customFormat="1" ht="25.5" customHeight="1">
      <c r="B46" s="6" t="s">
        <v>47</v>
      </c>
      <c r="C46" s="18">
        <v>727</v>
      </c>
      <c r="D46" s="18">
        <v>186</v>
      </c>
      <c r="E46" s="18">
        <v>22</v>
      </c>
      <c r="F46" s="18">
        <v>0</v>
      </c>
      <c r="H46" s="8"/>
      <c r="I46" s="8"/>
      <c r="J46" s="8"/>
      <c r="K46" s="8"/>
    </row>
    <row r="47" spans="1:11" ht="12.75" customHeight="1">
      <c r="A47" s="12">
        <v>66</v>
      </c>
      <c r="B47" s="19" t="s">
        <v>48</v>
      </c>
      <c r="C47" s="14">
        <v>91</v>
      </c>
      <c r="D47" s="14">
        <v>13</v>
      </c>
      <c r="E47" s="14">
        <v>1</v>
      </c>
      <c r="F47" s="14">
        <v>0</v>
      </c>
      <c r="H47" s="8"/>
      <c r="I47" s="8"/>
      <c r="J47" s="8"/>
      <c r="K47" s="8"/>
    </row>
    <row r="48" spans="1:11" ht="12.75" customHeight="1">
      <c r="A48" s="12">
        <v>78</v>
      </c>
      <c r="B48" s="13" t="s">
        <v>49</v>
      </c>
      <c r="C48" s="14">
        <v>39</v>
      </c>
      <c r="D48" s="14">
        <v>8</v>
      </c>
      <c r="E48" s="14">
        <v>1</v>
      </c>
      <c r="F48" s="14">
        <v>0</v>
      </c>
      <c r="H48" s="8"/>
      <c r="I48" s="8"/>
      <c r="J48" s="8"/>
      <c r="K48" s="8"/>
    </row>
    <row r="49" spans="1:11" ht="12.75" customHeight="1">
      <c r="A49" s="12">
        <v>89</v>
      </c>
      <c r="B49" s="13" t="s">
        <v>50</v>
      </c>
      <c r="C49" s="14">
        <v>63</v>
      </c>
      <c r="D49" s="14">
        <v>4</v>
      </c>
      <c r="E49" s="14">
        <v>9</v>
      </c>
      <c r="F49" s="14">
        <v>0</v>
      </c>
      <c r="H49" s="8"/>
      <c r="I49" s="8"/>
      <c r="J49" s="8"/>
      <c r="K49" s="8"/>
    </row>
    <row r="50" spans="1:11" ht="12.75" customHeight="1">
      <c r="A50" s="12">
        <v>93</v>
      </c>
      <c r="B50" s="13" t="s">
        <v>51</v>
      </c>
      <c r="C50" s="14">
        <v>48</v>
      </c>
      <c r="D50" s="14">
        <v>10</v>
      </c>
      <c r="E50" s="14">
        <v>6</v>
      </c>
      <c r="F50" s="14">
        <v>0</v>
      </c>
      <c r="H50" s="8"/>
      <c r="I50" s="8"/>
      <c r="J50" s="8"/>
      <c r="K50" s="8"/>
    </row>
    <row r="51" spans="1:11" ht="12.75" customHeight="1">
      <c r="A51" s="12">
        <v>95</v>
      </c>
      <c r="B51" s="13" t="s">
        <v>52</v>
      </c>
      <c r="C51" s="14">
        <v>126</v>
      </c>
      <c r="D51" s="14">
        <v>18</v>
      </c>
      <c r="E51" s="14">
        <v>1</v>
      </c>
      <c r="F51" s="14">
        <v>0</v>
      </c>
      <c r="H51" s="8"/>
      <c r="I51" s="8"/>
      <c r="J51" s="8"/>
      <c r="K51" s="8"/>
    </row>
    <row r="52" spans="1:11" ht="12.75" customHeight="1">
      <c r="A52" s="12">
        <v>97</v>
      </c>
      <c r="B52" s="13" t="s">
        <v>53</v>
      </c>
      <c r="C52" s="14">
        <v>111</v>
      </c>
      <c r="D52" s="14">
        <v>24</v>
      </c>
      <c r="E52" s="14">
        <v>1</v>
      </c>
      <c r="F52" s="14">
        <v>0</v>
      </c>
      <c r="H52" s="8"/>
      <c r="I52" s="8"/>
      <c r="J52" s="8"/>
      <c r="K52" s="8"/>
    </row>
    <row r="53" spans="1:11" ht="12.75" customHeight="1">
      <c r="A53" s="12">
        <v>77</v>
      </c>
      <c r="B53" s="20" t="s">
        <v>54</v>
      </c>
      <c r="C53" s="21">
        <v>249</v>
      </c>
      <c r="D53" s="21">
        <v>109</v>
      </c>
      <c r="E53" s="21">
        <v>3</v>
      </c>
      <c r="F53" s="21">
        <v>0</v>
      </c>
      <c r="H53" s="8"/>
      <c r="I53" s="8"/>
      <c r="J53" s="8"/>
      <c r="K53" s="8"/>
    </row>
    <row r="55" spans="1:11" ht="12.75" customHeight="1">
      <c r="B55" s="12" t="s">
        <v>55</v>
      </c>
      <c r="C55" s="22"/>
    </row>
    <row r="56" spans="1:11" ht="12.75" customHeight="1">
      <c r="B56" s="201" t="s">
        <v>56</v>
      </c>
      <c r="C56" s="202"/>
      <c r="D56" s="202"/>
      <c r="E56" s="202"/>
      <c r="F56" s="202"/>
    </row>
    <row r="57" spans="1:11" ht="12.75" customHeight="1">
      <c r="B57" s="202"/>
      <c r="C57" s="202"/>
      <c r="D57" s="202"/>
      <c r="E57" s="202"/>
      <c r="F57" s="202"/>
    </row>
    <row r="58" spans="1:11" ht="12.75" customHeight="1">
      <c r="B58" s="202"/>
      <c r="C58" s="202"/>
      <c r="D58" s="202"/>
      <c r="E58" s="202"/>
      <c r="F58" s="202"/>
    </row>
    <row r="59" spans="1:11" ht="12.75" customHeight="1">
      <c r="B59" s="202"/>
      <c r="C59" s="202"/>
      <c r="D59" s="202"/>
      <c r="E59" s="202"/>
      <c r="F59" s="202"/>
    </row>
    <row r="60" spans="1:11" ht="12.75" customHeight="1">
      <c r="B60" s="202"/>
      <c r="C60" s="202"/>
      <c r="D60" s="202"/>
      <c r="E60" s="202"/>
      <c r="F60" s="202"/>
    </row>
    <row r="61" spans="1:11" ht="12.75" customHeight="1">
      <c r="B61" s="202"/>
      <c r="C61" s="202"/>
      <c r="D61" s="202"/>
      <c r="E61" s="202"/>
      <c r="F61" s="202"/>
    </row>
    <row r="62" spans="1:11" ht="39" customHeight="1">
      <c r="B62" s="202"/>
      <c r="C62" s="202"/>
      <c r="D62" s="202"/>
      <c r="E62" s="202"/>
      <c r="F62" s="202"/>
    </row>
    <row r="63" spans="1:11" ht="12.75" customHeight="1">
      <c r="B63" s="23"/>
      <c r="C63" s="23"/>
      <c r="D63" s="23"/>
      <c r="E63" s="23"/>
      <c r="F63" s="23"/>
    </row>
    <row r="64" spans="1:11" ht="12.75" customHeight="1">
      <c r="B64" s="24" t="s">
        <v>57</v>
      </c>
      <c r="C64" s="25"/>
      <c r="D64" s="25"/>
      <c r="E64" s="25"/>
    </row>
    <row r="65" spans="2:5">
      <c r="B65" s="26"/>
      <c r="C65" s="25"/>
      <c r="D65" s="25"/>
      <c r="E65" s="25"/>
    </row>
    <row r="66" spans="2:5">
      <c r="C66" s="25"/>
      <c r="D66" s="25"/>
      <c r="E66" s="25"/>
    </row>
    <row r="67" spans="2:5">
      <c r="B67" s="27"/>
      <c r="C67" s="25"/>
      <c r="D67" s="25"/>
      <c r="E67" s="25"/>
    </row>
    <row r="68" spans="2:5">
      <c r="C68" s="25"/>
      <c r="D68" s="25"/>
      <c r="E68" s="25"/>
    </row>
  </sheetData>
  <mergeCells count="5">
    <mergeCell ref="B1:F1"/>
    <mergeCell ref="B2:B3"/>
    <mergeCell ref="C2:C3"/>
    <mergeCell ref="D2:E2"/>
    <mergeCell ref="B56:F6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L68"/>
  <sheetViews>
    <sheetView showGridLines="0" zoomScale="85" workbookViewId="0">
      <pane xSplit="2" ySplit="4" topLeftCell="C8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RowHeight="12.75"/>
  <cols>
    <col min="1" max="1" width="4.7109375" style="28" hidden="1" customWidth="1"/>
    <col min="2" max="2" width="24.7109375" style="2" customWidth="1"/>
    <col min="3" max="3" width="11" style="2" customWidth="1"/>
    <col min="4" max="4" width="11.85546875" style="2" customWidth="1"/>
    <col min="5" max="10" width="11" style="2" customWidth="1"/>
    <col min="11" max="256" width="9.140625" style="2"/>
    <col min="257" max="257" width="0" style="2" hidden="1" customWidth="1"/>
    <col min="258" max="258" width="24.7109375" style="2" customWidth="1"/>
    <col min="259" max="259" width="11" style="2" customWidth="1"/>
    <col min="260" max="260" width="11.85546875" style="2" customWidth="1"/>
    <col min="261" max="266" width="11" style="2" customWidth="1"/>
    <col min="267" max="512" width="9.140625" style="2"/>
    <col min="513" max="513" width="0" style="2" hidden="1" customWidth="1"/>
    <col min="514" max="514" width="24.7109375" style="2" customWidth="1"/>
    <col min="515" max="515" width="11" style="2" customWidth="1"/>
    <col min="516" max="516" width="11.85546875" style="2" customWidth="1"/>
    <col min="517" max="522" width="11" style="2" customWidth="1"/>
    <col min="523" max="768" width="9.140625" style="2"/>
    <col min="769" max="769" width="0" style="2" hidden="1" customWidth="1"/>
    <col min="770" max="770" width="24.7109375" style="2" customWidth="1"/>
    <col min="771" max="771" width="11" style="2" customWidth="1"/>
    <col min="772" max="772" width="11.85546875" style="2" customWidth="1"/>
    <col min="773" max="778" width="11" style="2" customWidth="1"/>
    <col min="779" max="1024" width="9.140625" style="2"/>
    <col min="1025" max="1025" width="0" style="2" hidden="1" customWidth="1"/>
    <col min="1026" max="1026" width="24.7109375" style="2" customWidth="1"/>
    <col min="1027" max="1027" width="11" style="2" customWidth="1"/>
    <col min="1028" max="1028" width="11.85546875" style="2" customWidth="1"/>
    <col min="1029" max="1034" width="11" style="2" customWidth="1"/>
    <col min="1035" max="1280" width="9.140625" style="2"/>
    <col min="1281" max="1281" width="0" style="2" hidden="1" customWidth="1"/>
    <col min="1282" max="1282" width="24.7109375" style="2" customWidth="1"/>
    <col min="1283" max="1283" width="11" style="2" customWidth="1"/>
    <col min="1284" max="1284" width="11.85546875" style="2" customWidth="1"/>
    <col min="1285" max="1290" width="11" style="2" customWidth="1"/>
    <col min="1291" max="1536" width="9.140625" style="2"/>
    <col min="1537" max="1537" width="0" style="2" hidden="1" customWidth="1"/>
    <col min="1538" max="1538" width="24.7109375" style="2" customWidth="1"/>
    <col min="1539" max="1539" width="11" style="2" customWidth="1"/>
    <col min="1540" max="1540" width="11.85546875" style="2" customWidth="1"/>
    <col min="1541" max="1546" width="11" style="2" customWidth="1"/>
    <col min="1547" max="1792" width="9.140625" style="2"/>
    <col min="1793" max="1793" width="0" style="2" hidden="1" customWidth="1"/>
    <col min="1794" max="1794" width="24.7109375" style="2" customWidth="1"/>
    <col min="1795" max="1795" width="11" style="2" customWidth="1"/>
    <col min="1796" max="1796" width="11.85546875" style="2" customWidth="1"/>
    <col min="1797" max="1802" width="11" style="2" customWidth="1"/>
    <col min="1803" max="2048" width="9.140625" style="2"/>
    <col min="2049" max="2049" width="0" style="2" hidden="1" customWidth="1"/>
    <col min="2050" max="2050" width="24.7109375" style="2" customWidth="1"/>
    <col min="2051" max="2051" width="11" style="2" customWidth="1"/>
    <col min="2052" max="2052" width="11.85546875" style="2" customWidth="1"/>
    <col min="2053" max="2058" width="11" style="2" customWidth="1"/>
    <col min="2059" max="2304" width="9.140625" style="2"/>
    <col min="2305" max="2305" width="0" style="2" hidden="1" customWidth="1"/>
    <col min="2306" max="2306" width="24.7109375" style="2" customWidth="1"/>
    <col min="2307" max="2307" width="11" style="2" customWidth="1"/>
    <col min="2308" max="2308" width="11.85546875" style="2" customWidth="1"/>
    <col min="2309" max="2314" width="11" style="2" customWidth="1"/>
    <col min="2315" max="2560" width="9.140625" style="2"/>
    <col min="2561" max="2561" width="0" style="2" hidden="1" customWidth="1"/>
    <col min="2562" max="2562" width="24.7109375" style="2" customWidth="1"/>
    <col min="2563" max="2563" width="11" style="2" customWidth="1"/>
    <col min="2564" max="2564" width="11.85546875" style="2" customWidth="1"/>
    <col min="2565" max="2570" width="11" style="2" customWidth="1"/>
    <col min="2571" max="2816" width="9.140625" style="2"/>
    <col min="2817" max="2817" width="0" style="2" hidden="1" customWidth="1"/>
    <col min="2818" max="2818" width="24.7109375" style="2" customWidth="1"/>
    <col min="2819" max="2819" width="11" style="2" customWidth="1"/>
    <col min="2820" max="2820" width="11.85546875" style="2" customWidth="1"/>
    <col min="2821" max="2826" width="11" style="2" customWidth="1"/>
    <col min="2827" max="3072" width="9.140625" style="2"/>
    <col min="3073" max="3073" width="0" style="2" hidden="1" customWidth="1"/>
    <col min="3074" max="3074" width="24.7109375" style="2" customWidth="1"/>
    <col min="3075" max="3075" width="11" style="2" customWidth="1"/>
    <col min="3076" max="3076" width="11.85546875" style="2" customWidth="1"/>
    <col min="3077" max="3082" width="11" style="2" customWidth="1"/>
    <col min="3083" max="3328" width="9.140625" style="2"/>
    <col min="3329" max="3329" width="0" style="2" hidden="1" customWidth="1"/>
    <col min="3330" max="3330" width="24.7109375" style="2" customWidth="1"/>
    <col min="3331" max="3331" width="11" style="2" customWidth="1"/>
    <col min="3332" max="3332" width="11.85546875" style="2" customWidth="1"/>
    <col min="3333" max="3338" width="11" style="2" customWidth="1"/>
    <col min="3339" max="3584" width="9.140625" style="2"/>
    <col min="3585" max="3585" width="0" style="2" hidden="1" customWidth="1"/>
    <col min="3586" max="3586" width="24.7109375" style="2" customWidth="1"/>
    <col min="3587" max="3587" width="11" style="2" customWidth="1"/>
    <col min="3588" max="3588" width="11.85546875" style="2" customWidth="1"/>
    <col min="3589" max="3594" width="11" style="2" customWidth="1"/>
    <col min="3595" max="3840" width="9.140625" style="2"/>
    <col min="3841" max="3841" width="0" style="2" hidden="1" customWidth="1"/>
    <col min="3842" max="3842" width="24.7109375" style="2" customWidth="1"/>
    <col min="3843" max="3843" width="11" style="2" customWidth="1"/>
    <col min="3844" max="3844" width="11.85546875" style="2" customWidth="1"/>
    <col min="3845" max="3850" width="11" style="2" customWidth="1"/>
    <col min="3851" max="4096" width="9.140625" style="2"/>
    <col min="4097" max="4097" width="0" style="2" hidden="1" customWidth="1"/>
    <col min="4098" max="4098" width="24.7109375" style="2" customWidth="1"/>
    <col min="4099" max="4099" width="11" style="2" customWidth="1"/>
    <col min="4100" max="4100" width="11.85546875" style="2" customWidth="1"/>
    <col min="4101" max="4106" width="11" style="2" customWidth="1"/>
    <col min="4107" max="4352" width="9.140625" style="2"/>
    <col min="4353" max="4353" width="0" style="2" hidden="1" customWidth="1"/>
    <col min="4354" max="4354" width="24.7109375" style="2" customWidth="1"/>
    <col min="4355" max="4355" width="11" style="2" customWidth="1"/>
    <col min="4356" max="4356" width="11.85546875" style="2" customWidth="1"/>
    <col min="4357" max="4362" width="11" style="2" customWidth="1"/>
    <col min="4363" max="4608" width="9.140625" style="2"/>
    <col min="4609" max="4609" width="0" style="2" hidden="1" customWidth="1"/>
    <col min="4610" max="4610" width="24.7109375" style="2" customWidth="1"/>
    <col min="4611" max="4611" width="11" style="2" customWidth="1"/>
    <col min="4612" max="4612" width="11.85546875" style="2" customWidth="1"/>
    <col min="4613" max="4618" width="11" style="2" customWidth="1"/>
    <col min="4619" max="4864" width="9.140625" style="2"/>
    <col min="4865" max="4865" width="0" style="2" hidden="1" customWidth="1"/>
    <col min="4866" max="4866" width="24.7109375" style="2" customWidth="1"/>
    <col min="4867" max="4867" width="11" style="2" customWidth="1"/>
    <col min="4868" max="4868" width="11.85546875" style="2" customWidth="1"/>
    <col min="4869" max="4874" width="11" style="2" customWidth="1"/>
    <col min="4875" max="5120" width="9.140625" style="2"/>
    <col min="5121" max="5121" width="0" style="2" hidden="1" customWidth="1"/>
    <col min="5122" max="5122" width="24.7109375" style="2" customWidth="1"/>
    <col min="5123" max="5123" width="11" style="2" customWidth="1"/>
    <col min="5124" max="5124" width="11.85546875" style="2" customWidth="1"/>
    <col min="5125" max="5130" width="11" style="2" customWidth="1"/>
    <col min="5131" max="5376" width="9.140625" style="2"/>
    <col min="5377" max="5377" width="0" style="2" hidden="1" customWidth="1"/>
    <col min="5378" max="5378" width="24.7109375" style="2" customWidth="1"/>
    <col min="5379" max="5379" width="11" style="2" customWidth="1"/>
    <col min="5380" max="5380" width="11.85546875" style="2" customWidth="1"/>
    <col min="5381" max="5386" width="11" style="2" customWidth="1"/>
    <col min="5387" max="5632" width="9.140625" style="2"/>
    <col min="5633" max="5633" width="0" style="2" hidden="1" customWidth="1"/>
    <col min="5634" max="5634" width="24.7109375" style="2" customWidth="1"/>
    <col min="5635" max="5635" width="11" style="2" customWidth="1"/>
    <col min="5636" max="5636" width="11.85546875" style="2" customWidth="1"/>
    <col min="5637" max="5642" width="11" style="2" customWidth="1"/>
    <col min="5643" max="5888" width="9.140625" style="2"/>
    <col min="5889" max="5889" width="0" style="2" hidden="1" customWidth="1"/>
    <col min="5890" max="5890" width="24.7109375" style="2" customWidth="1"/>
    <col min="5891" max="5891" width="11" style="2" customWidth="1"/>
    <col min="5892" max="5892" width="11.85546875" style="2" customWidth="1"/>
    <col min="5893" max="5898" width="11" style="2" customWidth="1"/>
    <col min="5899" max="6144" width="9.140625" style="2"/>
    <col min="6145" max="6145" width="0" style="2" hidden="1" customWidth="1"/>
    <col min="6146" max="6146" width="24.7109375" style="2" customWidth="1"/>
    <col min="6147" max="6147" width="11" style="2" customWidth="1"/>
    <col min="6148" max="6148" width="11.85546875" style="2" customWidth="1"/>
    <col min="6149" max="6154" width="11" style="2" customWidth="1"/>
    <col min="6155" max="6400" width="9.140625" style="2"/>
    <col min="6401" max="6401" width="0" style="2" hidden="1" customWidth="1"/>
    <col min="6402" max="6402" width="24.7109375" style="2" customWidth="1"/>
    <col min="6403" max="6403" width="11" style="2" customWidth="1"/>
    <col min="6404" max="6404" width="11.85546875" style="2" customWidth="1"/>
    <col min="6405" max="6410" width="11" style="2" customWidth="1"/>
    <col min="6411" max="6656" width="9.140625" style="2"/>
    <col min="6657" max="6657" width="0" style="2" hidden="1" customWidth="1"/>
    <col min="6658" max="6658" width="24.7109375" style="2" customWidth="1"/>
    <col min="6659" max="6659" width="11" style="2" customWidth="1"/>
    <col min="6660" max="6660" width="11.85546875" style="2" customWidth="1"/>
    <col min="6661" max="6666" width="11" style="2" customWidth="1"/>
    <col min="6667" max="6912" width="9.140625" style="2"/>
    <col min="6913" max="6913" width="0" style="2" hidden="1" customWidth="1"/>
    <col min="6914" max="6914" width="24.7109375" style="2" customWidth="1"/>
    <col min="6915" max="6915" width="11" style="2" customWidth="1"/>
    <col min="6916" max="6916" width="11.85546875" style="2" customWidth="1"/>
    <col min="6917" max="6922" width="11" style="2" customWidth="1"/>
    <col min="6923" max="7168" width="9.140625" style="2"/>
    <col min="7169" max="7169" width="0" style="2" hidden="1" customWidth="1"/>
    <col min="7170" max="7170" width="24.7109375" style="2" customWidth="1"/>
    <col min="7171" max="7171" width="11" style="2" customWidth="1"/>
    <col min="7172" max="7172" width="11.85546875" style="2" customWidth="1"/>
    <col min="7173" max="7178" width="11" style="2" customWidth="1"/>
    <col min="7179" max="7424" width="9.140625" style="2"/>
    <col min="7425" max="7425" width="0" style="2" hidden="1" customWidth="1"/>
    <col min="7426" max="7426" width="24.7109375" style="2" customWidth="1"/>
    <col min="7427" max="7427" width="11" style="2" customWidth="1"/>
    <col min="7428" max="7428" width="11.85546875" style="2" customWidth="1"/>
    <col min="7429" max="7434" width="11" style="2" customWidth="1"/>
    <col min="7435" max="7680" width="9.140625" style="2"/>
    <col min="7681" max="7681" width="0" style="2" hidden="1" customWidth="1"/>
    <col min="7682" max="7682" width="24.7109375" style="2" customWidth="1"/>
    <col min="7683" max="7683" width="11" style="2" customWidth="1"/>
    <col min="7684" max="7684" width="11.85546875" style="2" customWidth="1"/>
    <col min="7685" max="7690" width="11" style="2" customWidth="1"/>
    <col min="7691" max="7936" width="9.140625" style="2"/>
    <col min="7937" max="7937" width="0" style="2" hidden="1" customWidth="1"/>
    <col min="7938" max="7938" width="24.7109375" style="2" customWidth="1"/>
    <col min="7939" max="7939" width="11" style="2" customWidth="1"/>
    <col min="7940" max="7940" width="11.85546875" style="2" customWidth="1"/>
    <col min="7941" max="7946" width="11" style="2" customWidth="1"/>
    <col min="7947" max="8192" width="9.140625" style="2"/>
    <col min="8193" max="8193" width="0" style="2" hidden="1" customWidth="1"/>
    <col min="8194" max="8194" width="24.7109375" style="2" customWidth="1"/>
    <col min="8195" max="8195" width="11" style="2" customWidth="1"/>
    <col min="8196" max="8196" width="11.85546875" style="2" customWidth="1"/>
    <col min="8197" max="8202" width="11" style="2" customWidth="1"/>
    <col min="8203" max="8448" width="9.140625" style="2"/>
    <col min="8449" max="8449" width="0" style="2" hidden="1" customWidth="1"/>
    <col min="8450" max="8450" width="24.7109375" style="2" customWidth="1"/>
    <col min="8451" max="8451" width="11" style="2" customWidth="1"/>
    <col min="8452" max="8452" width="11.85546875" style="2" customWidth="1"/>
    <col min="8453" max="8458" width="11" style="2" customWidth="1"/>
    <col min="8459" max="8704" width="9.140625" style="2"/>
    <col min="8705" max="8705" width="0" style="2" hidden="1" customWidth="1"/>
    <col min="8706" max="8706" width="24.7109375" style="2" customWidth="1"/>
    <col min="8707" max="8707" width="11" style="2" customWidth="1"/>
    <col min="8708" max="8708" width="11.85546875" style="2" customWidth="1"/>
    <col min="8709" max="8714" width="11" style="2" customWidth="1"/>
    <col min="8715" max="8960" width="9.140625" style="2"/>
    <col min="8961" max="8961" width="0" style="2" hidden="1" customWidth="1"/>
    <col min="8962" max="8962" width="24.7109375" style="2" customWidth="1"/>
    <col min="8963" max="8963" width="11" style="2" customWidth="1"/>
    <col min="8964" max="8964" width="11.85546875" style="2" customWidth="1"/>
    <col min="8965" max="8970" width="11" style="2" customWidth="1"/>
    <col min="8971" max="9216" width="9.140625" style="2"/>
    <col min="9217" max="9217" width="0" style="2" hidden="1" customWidth="1"/>
    <col min="9218" max="9218" width="24.7109375" style="2" customWidth="1"/>
    <col min="9219" max="9219" width="11" style="2" customWidth="1"/>
    <col min="9220" max="9220" width="11.85546875" style="2" customWidth="1"/>
    <col min="9221" max="9226" width="11" style="2" customWidth="1"/>
    <col min="9227" max="9472" width="9.140625" style="2"/>
    <col min="9473" max="9473" width="0" style="2" hidden="1" customWidth="1"/>
    <col min="9474" max="9474" width="24.7109375" style="2" customWidth="1"/>
    <col min="9475" max="9475" width="11" style="2" customWidth="1"/>
    <col min="9476" max="9476" width="11.85546875" style="2" customWidth="1"/>
    <col min="9477" max="9482" width="11" style="2" customWidth="1"/>
    <col min="9483" max="9728" width="9.140625" style="2"/>
    <col min="9729" max="9729" width="0" style="2" hidden="1" customWidth="1"/>
    <col min="9730" max="9730" width="24.7109375" style="2" customWidth="1"/>
    <col min="9731" max="9731" width="11" style="2" customWidth="1"/>
    <col min="9732" max="9732" width="11.85546875" style="2" customWidth="1"/>
    <col min="9733" max="9738" width="11" style="2" customWidth="1"/>
    <col min="9739" max="9984" width="9.140625" style="2"/>
    <col min="9985" max="9985" width="0" style="2" hidden="1" customWidth="1"/>
    <col min="9986" max="9986" width="24.7109375" style="2" customWidth="1"/>
    <col min="9987" max="9987" width="11" style="2" customWidth="1"/>
    <col min="9988" max="9988" width="11.85546875" style="2" customWidth="1"/>
    <col min="9989" max="9994" width="11" style="2" customWidth="1"/>
    <col min="9995" max="10240" width="9.140625" style="2"/>
    <col min="10241" max="10241" width="0" style="2" hidden="1" customWidth="1"/>
    <col min="10242" max="10242" width="24.7109375" style="2" customWidth="1"/>
    <col min="10243" max="10243" width="11" style="2" customWidth="1"/>
    <col min="10244" max="10244" width="11.85546875" style="2" customWidth="1"/>
    <col min="10245" max="10250" width="11" style="2" customWidth="1"/>
    <col min="10251" max="10496" width="9.140625" style="2"/>
    <col min="10497" max="10497" width="0" style="2" hidden="1" customWidth="1"/>
    <col min="10498" max="10498" width="24.7109375" style="2" customWidth="1"/>
    <col min="10499" max="10499" width="11" style="2" customWidth="1"/>
    <col min="10500" max="10500" width="11.85546875" style="2" customWidth="1"/>
    <col min="10501" max="10506" width="11" style="2" customWidth="1"/>
    <col min="10507" max="10752" width="9.140625" style="2"/>
    <col min="10753" max="10753" width="0" style="2" hidden="1" customWidth="1"/>
    <col min="10754" max="10754" width="24.7109375" style="2" customWidth="1"/>
    <col min="10755" max="10755" width="11" style="2" customWidth="1"/>
    <col min="10756" max="10756" width="11.85546875" style="2" customWidth="1"/>
    <col min="10757" max="10762" width="11" style="2" customWidth="1"/>
    <col min="10763" max="11008" width="9.140625" style="2"/>
    <col min="11009" max="11009" width="0" style="2" hidden="1" customWidth="1"/>
    <col min="11010" max="11010" width="24.7109375" style="2" customWidth="1"/>
    <col min="11011" max="11011" width="11" style="2" customWidth="1"/>
    <col min="11012" max="11012" width="11.85546875" style="2" customWidth="1"/>
    <col min="11013" max="11018" width="11" style="2" customWidth="1"/>
    <col min="11019" max="11264" width="9.140625" style="2"/>
    <col min="11265" max="11265" width="0" style="2" hidden="1" customWidth="1"/>
    <col min="11266" max="11266" width="24.7109375" style="2" customWidth="1"/>
    <col min="11267" max="11267" width="11" style="2" customWidth="1"/>
    <col min="11268" max="11268" width="11.85546875" style="2" customWidth="1"/>
    <col min="11269" max="11274" width="11" style="2" customWidth="1"/>
    <col min="11275" max="11520" width="9.140625" style="2"/>
    <col min="11521" max="11521" width="0" style="2" hidden="1" customWidth="1"/>
    <col min="11522" max="11522" width="24.7109375" style="2" customWidth="1"/>
    <col min="11523" max="11523" width="11" style="2" customWidth="1"/>
    <col min="11524" max="11524" width="11.85546875" style="2" customWidth="1"/>
    <col min="11525" max="11530" width="11" style="2" customWidth="1"/>
    <col min="11531" max="11776" width="9.140625" style="2"/>
    <col min="11777" max="11777" width="0" style="2" hidden="1" customWidth="1"/>
    <col min="11778" max="11778" width="24.7109375" style="2" customWidth="1"/>
    <col min="11779" max="11779" width="11" style="2" customWidth="1"/>
    <col min="11780" max="11780" width="11.85546875" style="2" customWidth="1"/>
    <col min="11781" max="11786" width="11" style="2" customWidth="1"/>
    <col min="11787" max="12032" width="9.140625" style="2"/>
    <col min="12033" max="12033" width="0" style="2" hidden="1" customWidth="1"/>
    <col min="12034" max="12034" width="24.7109375" style="2" customWidth="1"/>
    <col min="12035" max="12035" width="11" style="2" customWidth="1"/>
    <col min="12036" max="12036" width="11.85546875" style="2" customWidth="1"/>
    <col min="12037" max="12042" width="11" style="2" customWidth="1"/>
    <col min="12043" max="12288" width="9.140625" style="2"/>
    <col min="12289" max="12289" width="0" style="2" hidden="1" customWidth="1"/>
    <col min="12290" max="12290" width="24.7109375" style="2" customWidth="1"/>
    <col min="12291" max="12291" width="11" style="2" customWidth="1"/>
    <col min="12292" max="12292" width="11.85546875" style="2" customWidth="1"/>
    <col min="12293" max="12298" width="11" style="2" customWidth="1"/>
    <col min="12299" max="12544" width="9.140625" style="2"/>
    <col min="12545" max="12545" width="0" style="2" hidden="1" customWidth="1"/>
    <col min="12546" max="12546" width="24.7109375" style="2" customWidth="1"/>
    <col min="12547" max="12547" width="11" style="2" customWidth="1"/>
    <col min="12548" max="12548" width="11.85546875" style="2" customWidth="1"/>
    <col min="12549" max="12554" width="11" style="2" customWidth="1"/>
    <col min="12555" max="12800" width="9.140625" style="2"/>
    <col min="12801" max="12801" width="0" style="2" hidden="1" customWidth="1"/>
    <col min="12802" max="12802" width="24.7109375" style="2" customWidth="1"/>
    <col min="12803" max="12803" width="11" style="2" customWidth="1"/>
    <col min="12804" max="12804" width="11.85546875" style="2" customWidth="1"/>
    <col min="12805" max="12810" width="11" style="2" customWidth="1"/>
    <col min="12811" max="13056" width="9.140625" style="2"/>
    <col min="13057" max="13057" width="0" style="2" hidden="1" customWidth="1"/>
    <col min="13058" max="13058" width="24.7109375" style="2" customWidth="1"/>
    <col min="13059" max="13059" width="11" style="2" customWidth="1"/>
    <col min="13060" max="13060" width="11.85546875" style="2" customWidth="1"/>
    <col min="13061" max="13066" width="11" style="2" customWidth="1"/>
    <col min="13067" max="13312" width="9.140625" style="2"/>
    <col min="13313" max="13313" width="0" style="2" hidden="1" customWidth="1"/>
    <col min="13314" max="13314" width="24.7109375" style="2" customWidth="1"/>
    <col min="13315" max="13315" width="11" style="2" customWidth="1"/>
    <col min="13316" max="13316" width="11.85546875" style="2" customWidth="1"/>
    <col min="13317" max="13322" width="11" style="2" customWidth="1"/>
    <col min="13323" max="13568" width="9.140625" style="2"/>
    <col min="13569" max="13569" width="0" style="2" hidden="1" customWidth="1"/>
    <col min="13570" max="13570" width="24.7109375" style="2" customWidth="1"/>
    <col min="13571" max="13571" width="11" style="2" customWidth="1"/>
    <col min="13572" max="13572" width="11.85546875" style="2" customWidth="1"/>
    <col min="13573" max="13578" width="11" style="2" customWidth="1"/>
    <col min="13579" max="13824" width="9.140625" style="2"/>
    <col min="13825" max="13825" width="0" style="2" hidden="1" customWidth="1"/>
    <col min="13826" max="13826" width="24.7109375" style="2" customWidth="1"/>
    <col min="13827" max="13827" width="11" style="2" customWidth="1"/>
    <col min="13828" max="13828" width="11.85546875" style="2" customWidth="1"/>
    <col min="13829" max="13834" width="11" style="2" customWidth="1"/>
    <col min="13835" max="14080" width="9.140625" style="2"/>
    <col min="14081" max="14081" width="0" style="2" hidden="1" customWidth="1"/>
    <col min="14082" max="14082" width="24.7109375" style="2" customWidth="1"/>
    <col min="14083" max="14083" width="11" style="2" customWidth="1"/>
    <col min="14084" max="14084" width="11.85546875" style="2" customWidth="1"/>
    <col min="14085" max="14090" width="11" style="2" customWidth="1"/>
    <col min="14091" max="14336" width="9.140625" style="2"/>
    <col min="14337" max="14337" width="0" style="2" hidden="1" customWidth="1"/>
    <col min="14338" max="14338" width="24.7109375" style="2" customWidth="1"/>
    <col min="14339" max="14339" width="11" style="2" customWidth="1"/>
    <col min="14340" max="14340" width="11.85546875" style="2" customWidth="1"/>
    <col min="14341" max="14346" width="11" style="2" customWidth="1"/>
    <col min="14347" max="14592" width="9.140625" style="2"/>
    <col min="14593" max="14593" width="0" style="2" hidden="1" customWidth="1"/>
    <col min="14594" max="14594" width="24.7109375" style="2" customWidth="1"/>
    <col min="14595" max="14595" width="11" style="2" customWidth="1"/>
    <col min="14596" max="14596" width="11.85546875" style="2" customWidth="1"/>
    <col min="14597" max="14602" width="11" style="2" customWidth="1"/>
    <col min="14603" max="14848" width="9.140625" style="2"/>
    <col min="14849" max="14849" width="0" style="2" hidden="1" customWidth="1"/>
    <col min="14850" max="14850" width="24.7109375" style="2" customWidth="1"/>
    <col min="14851" max="14851" width="11" style="2" customWidth="1"/>
    <col min="14852" max="14852" width="11.85546875" style="2" customWidth="1"/>
    <col min="14853" max="14858" width="11" style="2" customWidth="1"/>
    <col min="14859" max="15104" width="9.140625" style="2"/>
    <col min="15105" max="15105" width="0" style="2" hidden="1" customWidth="1"/>
    <col min="15106" max="15106" width="24.7109375" style="2" customWidth="1"/>
    <col min="15107" max="15107" width="11" style="2" customWidth="1"/>
    <col min="15108" max="15108" width="11.85546875" style="2" customWidth="1"/>
    <col min="15109" max="15114" width="11" style="2" customWidth="1"/>
    <col min="15115" max="15360" width="9.140625" style="2"/>
    <col min="15361" max="15361" width="0" style="2" hidden="1" customWidth="1"/>
    <col min="15362" max="15362" width="24.7109375" style="2" customWidth="1"/>
    <col min="15363" max="15363" width="11" style="2" customWidth="1"/>
    <col min="15364" max="15364" width="11.85546875" style="2" customWidth="1"/>
    <col min="15365" max="15370" width="11" style="2" customWidth="1"/>
    <col min="15371" max="15616" width="9.140625" style="2"/>
    <col min="15617" max="15617" width="0" style="2" hidden="1" customWidth="1"/>
    <col min="15618" max="15618" width="24.7109375" style="2" customWidth="1"/>
    <col min="15619" max="15619" width="11" style="2" customWidth="1"/>
    <col min="15620" max="15620" width="11.85546875" style="2" customWidth="1"/>
    <col min="15621" max="15626" width="11" style="2" customWidth="1"/>
    <col min="15627" max="15872" width="9.140625" style="2"/>
    <col min="15873" max="15873" width="0" style="2" hidden="1" customWidth="1"/>
    <col min="15874" max="15874" width="24.7109375" style="2" customWidth="1"/>
    <col min="15875" max="15875" width="11" style="2" customWidth="1"/>
    <col min="15876" max="15876" width="11.85546875" style="2" customWidth="1"/>
    <col min="15877" max="15882" width="11" style="2" customWidth="1"/>
    <col min="15883" max="16128" width="9.140625" style="2"/>
    <col min="16129" max="16129" width="0" style="2" hidden="1" customWidth="1"/>
    <col min="16130" max="16130" width="24.7109375" style="2" customWidth="1"/>
    <col min="16131" max="16131" width="11" style="2" customWidth="1"/>
    <col min="16132" max="16132" width="11.85546875" style="2" customWidth="1"/>
    <col min="16133" max="16138" width="11" style="2" customWidth="1"/>
    <col min="16139" max="16384" width="9.140625" style="2"/>
  </cols>
  <sheetData>
    <row r="1" spans="1:12" ht="48" customHeight="1">
      <c r="B1" s="208" t="s">
        <v>58</v>
      </c>
      <c r="C1" s="208"/>
      <c r="D1" s="208"/>
      <c r="E1" s="208"/>
      <c r="F1" s="208"/>
      <c r="G1" s="208"/>
      <c r="H1" s="208"/>
      <c r="I1" s="208"/>
      <c r="J1" s="208"/>
    </row>
    <row r="2" spans="1:12" ht="12.75" customHeight="1">
      <c r="B2" s="209"/>
      <c r="C2" s="214" t="s">
        <v>1</v>
      </c>
      <c r="D2" s="214"/>
      <c r="E2" s="216" t="s">
        <v>2</v>
      </c>
      <c r="F2" s="216"/>
      <c r="G2" s="216"/>
      <c r="H2" s="216"/>
      <c r="I2" s="217" t="s">
        <v>5</v>
      </c>
      <c r="J2" s="217"/>
    </row>
    <row r="3" spans="1:12" ht="30" customHeight="1">
      <c r="A3" s="29"/>
      <c r="B3" s="209"/>
      <c r="C3" s="215"/>
      <c r="D3" s="215"/>
      <c r="E3" s="30" t="s">
        <v>3</v>
      </c>
      <c r="F3" s="30"/>
      <c r="G3" s="30" t="s">
        <v>4</v>
      </c>
      <c r="H3" s="30"/>
      <c r="I3" s="215"/>
      <c r="J3" s="215"/>
    </row>
    <row r="4" spans="1:12" ht="45.75" customHeight="1">
      <c r="B4" s="213"/>
      <c r="C4" s="31" t="s">
        <v>59</v>
      </c>
      <c r="D4" s="32" t="s">
        <v>60</v>
      </c>
      <c r="E4" s="31" t="s">
        <v>59</v>
      </c>
      <c r="F4" s="32" t="s">
        <v>60</v>
      </c>
      <c r="G4" s="31" t="s">
        <v>59</v>
      </c>
      <c r="H4" s="32" t="s">
        <v>60</v>
      </c>
      <c r="I4" s="31" t="s">
        <v>59</v>
      </c>
      <c r="J4" s="32" t="s">
        <v>60</v>
      </c>
    </row>
    <row r="5" spans="1:12" ht="30" customHeight="1">
      <c r="B5" s="11" t="s">
        <v>6</v>
      </c>
      <c r="C5" s="18">
        <v>743</v>
      </c>
      <c r="D5" s="18">
        <v>294</v>
      </c>
      <c r="E5" s="18">
        <v>158</v>
      </c>
      <c r="F5" s="18">
        <v>65</v>
      </c>
      <c r="G5" s="18">
        <v>24</v>
      </c>
      <c r="H5" s="18">
        <v>9</v>
      </c>
      <c r="I5" s="18">
        <v>0</v>
      </c>
      <c r="J5" s="18">
        <v>0</v>
      </c>
      <c r="L5" s="8"/>
    </row>
    <row r="6" spans="1:12" s="11" customFormat="1" ht="25.5" customHeight="1">
      <c r="A6" s="33"/>
      <c r="B6" s="11" t="s">
        <v>7</v>
      </c>
      <c r="C6" s="34">
        <v>496</v>
      </c>
      <c r="D6" s="34">
        <v>218</v>
      </c>
      <c r="E6" s="34">
        <v>82</v>
      </c>
      <c r="F6" s="34">
        <v>36</v>
      </c>
      <c r="G6" s="34">
        <v>15</v>
      </c>
      <c r="H6" s="34">
        <v>6</v>
      </c>
      <c r="I6" s="34">
        <v>0</v>
      </c>
      <c r="J6" s="34">
        <v>0</v>
      </c>
    </row>
    <row r="7" spans="1:12" ht="12.75" customHeight="1">
      <c r="A7" s="35">
        <v>51</v>
      </c>
      <c r="B7" s="2" t="s">
        <v>8</v>
      </c>
      <c r="C7" s="36">
        <v>14</v>
      </c>
      <c r="D7" s="36">
        <v>7</v>
      </c>
      <c r="E7" s="36">
        <v>5</v>
      </c>
      <c r="F7" s="36">
        <v>2</v>
      </c>
      <c r="G7" s="36">
        <v>2</v>
      </c>
      <c r="H7" s="37">
        <v>0</v>
      </c>
      <c r="I7" s="37">
        <v>0</v>
      </c>
      <c r="J7" s="37">
        <v>0</v>
      </c>
    </row>
    <row r="8" spans="1:12" ht="12.75" customHeight="1">
      <c r="A8" s="35">
        <v>52</v>
      </c>
      <c r="B8" s="2" t="s">
        <v>9</v>
      </c>
      <c r="C8" s="36">
        <v>7</v>
      </c>
      <c r="D8" s="36">
        <v>13</v>
      </c>
      <c r="E8" s="36">
        <v>1</v>
      </c>
      <c r="F8" s="36">
        <v>1</v>
      </c>
      <c r="G8" s="36">
        <v>0</v>
      </c>
      <c r="H8" s="37">
        <v>0</v>
      </c>
      <c r="I8" s="37">
        <v>0</v>
      </c>
      <c r="J8" s="37">
        <v>0</v>
      </c>
    </row>
    <row r="9" spans="1:12" ht="12.75" customHeight="1">
      <c r="A9" s="35">
        <v>86</v>
      </c>
      <c r="B9" s="2" t="s">
        <v>10</v>
      </c>
      <c r="C9" s="37">
        <v>23</v>
      </c>
      <c r="D9" s="37">
        <v>4</v>
      </c>
      <c r="E9" s="37">
        <v>5</v>
      </c>
      <c r="F9" s="37">
        <v>0</v>
      </c>
      <c r="G9" s="37">
        <v>1</v>
      </c>
      <c r="H9" s="37">
        <v>0</v>
      </c>
      <c r="I9" s="37">
        <v>0</v>
      </c>
      <c r="J9" s="37">
        <v>0</v>
      </c>
    </row>
    <row r="10" spans="1:12" ht="12.75" customHeight="1">
      <c r="A10" s="35">
        <v>53</v>
      </c>
      <c r="B10" s="2" t="s">
        <v>11</v>
      </c>
      <c r="C10" s="36">
        <v>7</v>
      </c>
      <c r="D10" s="36">
        <v>3</v>
      </c>
      <c r="E10" s="36">
        <v>2</v>
      </c>
      <c r="F10" s="36">
        <v>0</v>
      </c>
      <c r="G10" s="36">
        <v>0</v>
      </c>
      <c r="H10" s="37">
        <v>0</v>
      </c>
      <c r="I10" s="37">
        <v>0</v>
      </c>
      <c r="J10" s="37">
        <v>0</v>
      </c>
    </row>
    <row r="11" spans="1:12" ht="12.75" customHeight="1">
      <c r="A11" s="35">
        <v>54</v>
      </c>
      <c r="B11" s="2" t="s">
        <v>12</v>
      </c>
      <c r="C11" s="36">
        <v>29</v>
      </c>
      <c r="D11" s="36">
        <v>15</v>
      </c>
      <c r="E11" s="36">
        <v>3</v>
      </c>
      <c r="F11" s="36">
        <v>2</v>
      </c>
      <c r="G11" s="36">
        <v>3</v>
      </c>
      <c r="H11" s="37">
        <v>2</v>
      </c>
      <c r="I11" s="37">
        <v>0</v>
      </c>
      <c r="J11" s="37">
        <v>0</v>
      </c>
    </row>
    <row r="12" spans="1:12" ht="12.75" customHeight="1">
      <c r="A12" s="35">
        <v>55</v>
      </c>
      <c r="B12" s="2" t="s">
        <v>13</v>
      </c>
      <c r="C12" s="36">
        <v>4</v>
      </c>
      <c r="D12" s="36">
        <v>2</v>
      </c>
      <c r="E12" s="36">
        <v>0</v>
      </c>
      <c r="F12" s="36">
        <v>1</v>
      </c>
      <c r="G12" s="36">
        <v>0</v>
      </c>
      <c r="H12" s="37">
        <v>0</v>
      </c>
      <c r="I12" s="37">
        <v>0</v>
      </c>
      <c r="J12" s="37">
        <v>0</v>
      </c>
    </row>
    <row r="13" spans="1:12" ht="12.75" customHeight="1">
      <c r="A13" s="35">
        <v>56</v>
      </c>
      <c r="B13" s="2" t="s">
        <v>14</v>
      </c>
      <c r="C13" s="36">
        <v>5</v>
      </c>
      <c r="D13" s="36">
        <v>1</v>
      </c>
      <c r="E13" s="36">
        <v>0</v>
      </c>
      <c r="F13" s="36">
        <v>0</v>
      </c>
      <c r="G13" s="36">
        <v>2</v>
      </c>
      <c r="H13" s="37">
        <v>0</v>
      </c>
      <c r="I13" s="37">
        <v>0</v>
      </c>
      <c r="J13" s="37">
        <v>0</v>
      </c>
    </row>
    <row r="14" spans="1:12" ht="12.75" customHeight="1">
      <c r="A14" s="35">
        <v>57</v>
      </c>
      <c r="B14" s="2" t="s">
        <v>15</v>
      </c>
      <c r="C14" s="36">
        <v>7</v>
      </c>
      <c r="D14" s="36">
        <v>15</v>
      </c>
      <c r="E14" s="36">
        <v>3</v>
      </c>
      <c r="F14" s="36">
        <v>2</v>
      </c>
      <c r="G14" s="36">
        <v>1</v>
      </c>
      <c r="H14" s="37">
        <v>0</v>
      </c>
      <c r="I14" s="37">
        <v>0</v>
      </c>
      <c r="J14" s="37">
        <v>0</v>
      </c>
    </row>
    <row r="15" spans="1:12" ht="12.75" customHeight="1">
      <c r="A15" s="35">
        <v>59</v>
      </c>
      <c r="B15" s="2" t="s">
        <v>16</v>
      </c>
      <c r="C15" s="36">
        <v>9</v>
      </c>
      <c r="D15" s="36">
        <v>2</v>
      </c>
      <c r="E15" s="36">
        <v>2</v>
      </c>
      <c r="F15" s="36">
        <v>1</v>
      </c>
      <c r="G15" s="36">
        <v>0</v>
      </c>
      <c r="H15" s="37">
        <v>0</v>
      </c>
      <c r="I15" s="37">
        <v>0</v>
      </c>
      <c r="J15" s="37">
        <v>0</v>
      </c>
    </row>
    <row r="16" spans="1:12" ht="12.75" customHeight="1">
      <c r="A16" s="35">
        <v>60</v>
      </c>
      <c r="B16" s="2" t="s">
        <v>17</v>
      </c>
      <c r="C16" s="36">
        <v>3</v>
      </c>
      <c r="D16" s="36">
        <v>6</v>
      </c>
      <c r="E16" s="36">
        <v>0</v>
      </c>
      <c r="F16" s="36">
        <v>0</v>
      </c>
      <c r="G16" s="36">
        <v>0</v>
      </c>
      <c r="H16" s="37">
        <v>0</v>
      </c>
      <c r="I16" s="37">
        <v>0</v>
      </c>
      <c r="J16" s="37">
        <v>0</v>
      </c>
    </row>
    <row r="17" spans="1:10" ht="12.75" customHeight="1">
      <c r="A17" s="35">
        <v>61</v>
      </c>
      <c r="B17" s="38" t="s">
        <v>18</v>
      </c>
      <c r="C17" s="36">
        <v>19</v>
      </c>
      <c r="D17" s="36">
        <v>6</v>
      </c>
      <c r="E17" s="36">
        <v>5</v>
      </c>
      <c r="F17" s="36">
        <v>2</v>
      </c>
      <c r="G17" s="36">
        <v>0</v>
      </c>
      <c r="H17" s="37">
        <v>0</v>
      </c>
      <c r="I17" s="37">
        <v>0</v>
      </c>
      <c r="J17" s="37">
        <v>0</v>
      </c>
    </row>
    <row r="18" spans="1:10" s="186" customFormat="1" ht="12.75" customHeight="1">
      <c r="A18" s="35"/>
      <c r="B18" s="132" t="s">
        <v>125</v>
      </c>
      <c r="C18" s="165" t="s">
        <v>126</v>
      </c>
      <c r="D18" s="165" t="s">
        <v>126</v>
      </c>
      <c r="E18" s="165" t="s">
        <v>126</v>
      </c>
      <c r="F18" s="165" t="s">
        <v>126</v>
      </c>
      <c r="G18" s="149" t="s">
        <v>126</v>
      </c>
      <c r="H18" s="150" t="s">
        <v>126</v>
      </c>
      <c r="I18" s="150" t="s">
        <v>126</v>
      </c>
      <c r="J18" s="150" t="s">
        <v>126</v>
      </c>
    </row>
    <row r="19" spans="1:10" ht="12.75" customHeight="1">
      <c r="A19" s="35">
        <v>62</v>
      </c>
      <c r="B19" s="2" t="s">
        <v>19</v>
      </c>
      <c r="C19" s="36">
        <v>20</v>
      </c>
      <c r="D19" s="36">
        <v>4</v>
      </c>
      <c r="E19" s="36">
        <v>3</v>
      </c>
      <c r="F19" s="36">
        <v>0</v>
      </c>
      <c r="G19" s="36">
        <v>0</v>
      </c>
      <c r="H19" s="37">
        <v>0</v>
      </c>
      <c r="I19" s="37">
        <v>0</v>
      </c>
      <c r="J19" s="37">
        <v>0</v>
      </c>
    </row>
    <row r="20" spans="1:10" ht="12.75" customHeight="1">
      <c r="A20" s="35">
        <v>58</v>
      </c>
      <c r="B20" s="2" t="s">
        <v>20</v>
      </c>
      <c r="C20" s="36">
        <v>3</v>
      </c>
      <c r="D20" s="36">
        <v>3</v>
      </c>
      <c r="E20" s="36">
        <v>2</v>
      </c>
      <c r="F20" s="36">
        <v>1</v>
      </c>
      <c r="G20" s="36">
        <v>0</v>
      </c>
      <c r="H20" s="37">
        <v>0</v>
      </c>
      <c r="I20" s="37">
        <v>0</v>
      </c>
      <c r="J20" s="37">
        <v>0</v>
      </c>
    </row>
    <row r="21" spans="1:10" ht="12.75" customHeight="1">
      <c r="A21" s="35">
        <v>63</v>
      </c>
      <c r="B21" s="2" t="s">
        <v>21</v>
      </c>
      <c r="C21" s="36">
        <v>20</v>
      </c>
      <c r="D21" s="36">
        <v>4</v>
      </c>
      <c r="E21" s="36">
        <v>0</v>
      </c>
      <c r="F21" s="36">
        <v>1</v>
      </c>
      <c r="G21" s="36">
        <v>3</v>
      </c>
      <c r="H21" s="37">
        <v>1</v>
      </c>
      <c r="I21" s="37">
        <v>0</v>
      </c>
      <c r="J21" s="37">
        <v>0</v>
      </c>
    </row>
    <row r="22" spans="1:10" ht="12.75" customHeight="1">
      <c r="A22" s="35">
        <v>64</v>
      </c>
      <c r="B22" s="2" t="s">
        <v>22</v>
      </c>
      <c r="C22" s="36">
        <v>25</v>
      </c>
      <c r="D22" s="36">
        <v>20</v>
      </c>
      <c r="E22" s="36">
        <v>3</v>
      </c>
      <c r="F22" s="36">
        <v>2</v>
      </c>
      <c r="G22" s="36">
        <v>0</v>
      </c>
      <c r="H22" s="37">
        <v>0</v>
      </c>
      <c r="I22" s="37">
        <v>0</v>
      </c>
      <c r="J22" s="37">
        <v>0</v>
      </c>
    </row>
    <row r="23" spans="1:10" ht="12.75" customHeight="1">
      <c r="A23" s="35">
        <v>65</v>
      </c>
      <c r="B23" s="2" t="s">
        <v>23</v>
      </c>
      <c r="C23" s="36">
        <v>13</v>
      </c>
      <c r="D23" s="36">
        <v>3</v>
      </c>
      <c r="E23" s="36">
        <v>7</v>
      </c>
      <c r="F23" s="36">
        <v>0</v>
      </c>
      <c r="G23" s="36">
        <v>0</v>
      </c>
      <c r="H23" s="37">
        <v>0</v>
      </c>
      <c r="I23" s="37">
        <v>0</v>
      </c>
      <c r="J23" s="37">
        <v>0</v>
      </c>
    </row>
    <row r="24" spans="1:10" ht="12.75" customHeight="1">
      <c r="A24" s="35">
        <v>67</v>
      </c>
      <c r="B24" s="2" t="s">
        <v>24</v>
      </c>
      <c r="C24" s="36">
        <v>25</v>
      </c>
      <c r="D24" s="36">
        <v>6</v>
      </c>
      <c r="E24" s="36">
        <v>9</v>
      </c>
      <c r="F24" s="36">
        <v>1</v>
      </c>
      <c r="G24" s="36">
        <v>0</v>
      </c>
      <c r="H24" s="37">
        <v>0</v>
      </c>
      <c r="I24" s="37">
        <v>0</v>
      </c>
      <c r="J24" s="37">
        <v>0</v>
      </c>
    </row>
    <row r="25" spans="1:10" ht="12.75" customHeight="1">
      <c r="A25" s="35">
        <v>68</v>
      </c>
      <c r="B25" s="2" t="s">
        <v>25</v>
      </c>
      <c r="C25" s="36">
        <v>10</v>
      </c>
      <c r="D25" s="36">
        <v>3</v>
      </c>
      <c r="E25" s="36">
        <v>2</v>
      </c>
      <c r="F25" s="36">
        <v>1</v>
      </c>
      <c r="G25" s="36">
        <v>0</v>
      </c>
      <c r="H25" s="37">
        <v>0</v>
      </c>
      <c r="I25" s="37">
        <v>0</v>
      </c>
      <c r="J25" s="37">
        <v>0</v>
      </c>
    </row>
    <row r="26" spans="1:10" ht="12.75" customHeight="1">
      <c r="A26" s="35">
        <v>69</v>
      </c>
      <c r="B26" s="2" t="s">
        <v>26</v>
      </c>
      <c r="C26" s="36">
        <v>5</v>
      </c>
      <c r="D26" s="36">
        <v>5</v>
      </c>
      <c r="E26" s="36">
        <v>2</v>
      </c>
      <c r="F26" s="36">
        <v>0</v>
      </c>
      <c r="G26" s="36">
        <v>0</v>
      </c>
      <c r="H26" s="37">
        <v>0</v>
      </c>
      <c r="I26" s="37">
        <v>0</v>
      </c>
      <c r="J26" s="37">
        <v>0</v>
      </c>
    </row>
    <row r="27" spans="1:10" ht="12.75" customHeight="1">
      <c r="A27" s="35">
        <v>70</v>
      </c>
      <c r="B27" s="2" t="s">
        <v>27</v>
      </c>
      <c r="C27" s="36">
        <v>32</v>
      </c>
      <c r="D27" s="36">
        <v>5</v>
      </c>
      <c r="E27" s="36">
        <v>1</v>
      </c>
      <c r="F27" s="36">
        <v>0</v>
      </c>
      <c r="G27" s="36">
        <v>0</v>
      </c>
      <c r="H27" s="37">
        <v>0</v>
      </c>
      <c r="I27" s="37">
        <v>0</v>
      </c>
      <c r="J27" s="37">
        <v>0</v>
      </c>
    </row>
    <row r="28" spans="1:10" ht="12.75" customHeight="1">
      <c r="A28" s="35">
        <v>71</v>
      </c>
      <c r="B28" s="39" t="s">
        <v>28</v>
      </c>
      <c r="C28" s="36">
        <v>2</v>
      </c>
      <c r="D28" s="36">
        <v>0</v>
      </c>
      <c r="E28" s="36">
        <v>0</v>
      </c>
      <c r="F28" s="36">
        <v>0</v>
      </c>
      <c r="G28" s="36">
        <v>0</v>
      </c>
      <c r="H28" s="37">
        <v>0</v>
      </c>
      <c r="I28" s="37">
        <v>0</v>
      </c>
      <c r="J28" s="37">
        <v>0</v>
      </c>
    </row>
    <row r="29" spans="1:10" ht="12.75" customHeight="1">
      <c r="A29" s="35">
        <v>73</v>
      </c>
      <c r="B29" s="2" t="s">
        <v>29</v>
      </c>
      <c r="C29" s="40">
        <v>21</v>
      </c>
      <c r="D29" s="40">
        <v>9</v>
      </c>
      <c r="E29" s="40">
        <v>2</v>
      </c>
      <c r="F29" s="40">
        <v>3</v>
      </c>
      <c r="G29" s="40">
        <v>1</v>
      </c>
      <c r="H29" s="40">
        <v>1</v>
      </c>
      <c r="I29" s="40">
        <v>0</v>
      </c>
      <c r="J29" s="40">
        <v>0</v>
      </c>
    </row>
    <row r="30" spans="1:10" ht="12.75" customHeight="1">
      <c r="A30" s="35">
        <v>74</v>
      </c>
      <c r="B30" s="2" t="s">
        <v>30</v>
      </c>
      <c r="C30" s="36">
        <v>15</v>
      </c>
      <c r="D30" s="36">
        <v>3</v>
      </c>
      <c r="E30" s="36">
        <v>2</v>
      </c>
      <c r="F30" s="36">
        <v>3</v>
      </c>
      <c r="G30" s="36">
        <v>0</v>
      </c>
      <c r="H30" s="37">
        <v>0</v>
      </c>
      <c r="I30" s="37">
        <v>0</v>
      </c>
      <c r="J30" s="37">
        <v>0</v>
      </c>
    </row>
    <row r="31" spans="1:10" ht="12.75" customHeight="1">
      <c r="A31" s="35">
        <v>75</v>
      </c>
      <c r="B31" s="2" t="s">
        <v>31</v>
      </c>
      <c r="C31" s="36">
        <v>12</v>
      </c>
      <c r="D31" s="36">
        <v>3</v>
      </c>
      <c r="E31" s="36">
        <v>1</v>
      </c>
      <c r="F31" s="36">
        <v>0</v>
      </c>
      <c r="G31" s="36">
        <v>0</v>
      </c>
      <c r="H31" s="37">
        <v>0</v>
      </c>
      <c r="I31" s="37">
        <v>0</v>
      </c>
      <c r="J31" s="37">
        <v>0</v>
      </c>
    </row>
    <row r="32" spans="1:10" ht="12.75" customHeight="1">
      <c r="A32" s="35">
        <v>76</v>
      </c>
      <c r="B32" s="2" t="s">
        <v>32</v>
      </c>
      <c r="C32" s="37">
        <v>9</v>
      </c>
      <c r="D32" s="37">
        <v>4</v>
      </c>
      <c r="E32" s="37">
        <v>1</v>
      </c>
      <c r="F32" s="37">
        <v>1</v>
      </c>
      <c r="G32" s="37">
        <v>0</v>
      </c>
      <c r="H32" s="37">
        <v>0</v>
      </c>
      <c r="I32" s="37">
        <v>0</v>
      </c>
      <c r="J32" s="37">
        <v>0</v>
      </c>
    </row>
    <row r="33" spans="1:12" ht="12.75" customHeight="1">
      <c r="A33" s="35">
        <v>79</v>
      </c>
      <c r="B33" s="2" t="s">
        <v>33</v>
      </c>
      <c r="C33" s="37">
        <v>11</v>
      </c>
      <c r="D33" s="37">
        <v>11</v>
      </c>
      <c r="E33" s="37">
        <v>1</v>
      </c>
      <c r="F33" s="37">
        <v>1</v>
      </c>
      <c r="G33" s="37">
        <v>0</v>
      </c>
      <c r="H33" s="37">
        <v>0</v>
      </c>
      <c r="I33" s="37">
        <v>0</v>
      </c>
      <c r="J33" s="37">
        <v>0</v>
      </c>
    </row>
    <row r="34" spans="1:12" ht="12.75" customHeight="1">
      <c r="A34" s="35">
        <v>80</v>
      </c>
      <c r="B34" s="2" t="s">
        <v>34</v>
      </c>
      <c r="C34" s="37">
        <v>12</v>
      </c>
      <c r="D34" s="37">
        <v>9</v>
      </c>
      <c r="E34" s="37">
        <v>1</v>
      </c>
      <c r="F34" s="37">
        <v>1</v>
      </c>
      <c r="G34" s="37">
        <v>0</v>
      </c>
      <c r="H34" s="37">
        <v>0</v>
      </c>
      <c r="I34" s="37">
        <v>0</v>
      </c>
      <c r="J34" s="37">
        <v>0</v>
      </c>
    </row>
    <row r="35" spans="1:12" ht="12.75" customHeight="1">
      <c r="A35" s="35">
        <v>81</v>
      </c>
      <c r="B35" s="2" t="s">
        <v>35</v>
      </c>
      <c r="C35" s="37">
        <v>19</v>
      </c>
      <c r="D35" s="37">
        <v>3</v>
      </c>
      <c r="E35" s="37">
        <v>2</v>
      </c>
      <c r="F35" s="37">
        <v>2</v>
      </c>
      <c r="G35" s="37">
        <v>0</v>
      </c>
      <c r="H35" s="37">
        <v>2</v>
      </c>
      <c r="I35" s="37">
        <v>0</v>
      </c>
      <c r="J35" s="37">
        <v>0</v>
      </c>
    </row>
    <row r="36" spans="1:12" ht="12.75" customHeight="1">
      <c r="A36" s="35">
        <v>83</v>
      </c>
      <c r="B36" s="2" t="s">
        <v>36</v>
      </c>
      <c r="C36" s="37">
        <v>10</v>
      </c>
      <c r="D36" s="37">
        <v>2</v>
      </c>
      <c r="E36" s="37">
        <v>1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</row>
    <row r="37" spans="1:12" ht="12.75" customHeight="1">
      <c r="A37" s="35">
        <v>84</v>
      </c>
      <c r="B37" s="2" t="s">
        <v>37</v>
      </c>
      <c r="C37" s="37">
        <v>13</v>
      </c>
      <c r="D37" s="37">
        <v>6</v>
      </c>
      <c r="E37" s="37">
        <v>2</v>
      </c>
      <c r="F37" s="37">
        <v>1</v>
      </c>
      <c r="G37" s="37">
        <v>0</v>
      </c>
      <c r="H37" s="37">
        <v>0</v>
      </c>
      <c r="I37" s="37">
        <v>0</v>
      </c>
      <c r="J37" s="37">
        <v>0</v>
      </c>
    </row>
    <row r="38" spans="1:12" ht="12.75" customHeight="1">
      <c r="A38" s="35">
        <v>85</v>
      </c>
      <c r="B38" s="2" t="s">
        <v>38</v>
      </c>
      <c r="C38" s="37">
        <v>11</v>
      </c>
      <c r="D38" s="37">
        <v>1</v>
      </c>
      <c r="E38" s="37">
        <v>2</v>
      </c>
      <c r="F38" s="37">
        <v>1</v>
      </c>
      <c r="G38" s="37">
        <v>0</v>
      </c>
      <c r="H38" s="37">
        <v>0</v>
      </c>
      <c r="I38" s="37">
        <v>0</v>
      </c>
      <c r="J38" s="37">
        <v>0</v>
      </c>
    </row>
    <row r="39" spans="1:12" ht="12.75" customHeight="1">
      <c r="A39" s="35">
        <v>87</v>
      </c>
      <c r="B39" s="2" t="s">
        <v>39</v>
      </c>
      <c r="C39" s="37">
        <v>6</v>
      </c>
      <c r="D39" s="37">
        <v>6</v>
      </c>
      <c r="E39" s="37">
        <v>0</v>
      </c>
      <c r="F39" s="37">
        <v>1</v>
      </c>
      <c r="G39" s="37">
        <v>0</v>
      </c>
      <c r="H39" s="37">
        <v>0</v>
      </c>
      <c r="I39" s="37">
        <v>0</v>
      </c>
      <c r="J39" s="37">
        <v>0</v>
      </c>
    </row>
    <row r="40" spans="1:12" ht="12.75" customHeight="1">
      <c r="A40" s="35">
        <v>90</v>
      </c>
      <c r="B40" s="2" t="s">
        <v>40</v>
      </c>
      <c r="C40" s="37">
        <v>13</v>
      </c>
      <c r="D40" s="37">
        <v>5</v>
      </c>
      <c r="E40" s="37">
        <v>3</v>
      </c>
      <c r="F40" s="37">
        <v>1</v>
      </c>
      <c r="G40" s="37">
        <v>0</v>
      </c>
      <c r="H40" s="37">
        <v>0</v>
      </c>
      <c r="I40" s="37">
        <v>0</v>
      </c>
      <c r="J40" s="37">
        <v>0</v>
      </c>
    </row>
    <row r="41" spans="1:12" ht="12.75" customHeight="1">
      <c r="A41" s="35">
        <v>91</v>
      </c>
      <c r="B41" s="2" t="s">
        <v>41</v>
      </c>
      <c r="C41" s="37">
        <v>18</v>
      </c>
      <c r="D41" s="37">
        <v>13</v>
      </c>
      <c r="E41" s="37">
        <v>1</v>
      </c>
      <c r="F41" s="37">
        <v>1</v>
      </c>
      <c r="G41" s="37">
        <v>1</v>
      </c>
      <c r="H41" s="37">
        <v>0</v>
      </c>
      <c r="I41" s="37">
        <v>0</v>
      </c>
      <c r="J41" s="37">
        <v>0</v>
      </c>
      <c r="K41" s="11"/>
    </row>
    <row r="42" spans="1:12" ht="12.75" customHeight="1">
      <c r="A42" s="35">
        <v>92</v>
      </c>
      <c r="B42" s="2" t="s">
        <v>42</v>
      </c>
      <c r="C42" s="37">
        <v>13</v>
      </c>
      <c r="D42" s="37">
        <v>2</v>
      </c>
      <c r="E42" s="37">
        <v>2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</row>
    <row r="43" spans="1:12" ht="12.75" customHeight="1">
      <c r="A43" s="35">
        <v>94</v>
      </c>
      <c r="B43" s="2" t="s">
        <v>43</v>
      </c>
      <c r="C43" s="37">
        <v>17</v>
      </c>
      <c r="D43" s="37">
        <v>6</v>
      </c>
      <c r="E43" s="37">
        <v>2</v>
      </c>
      <c r="F43" s="37">
        <v>3</v>
      </c>
      <c r="G43" s="37">
        <v>0</v>
      </c>
      <c r="H43" s="37">
        <v>0</v>
      </c>
      <c r="I43" s="37">
        <v>0</v>
      </c>
      <c r="J43" s="37">
        <v>0</v>
      </c>
    </row>
    <row r="44" spans="1:12" ht="12.75" customHeight="1">
      <c r="A44" s="35">
        <v>96</v>
      </c>
      <c r="B44" s="2" t="s">
        <v>44</v>
      </c>
      <c r="C44" s="37">
        <v>5</v>
      </c>
      <c r="D44" s="37">
        <v>2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L44" s="11"/>
    </row>
    <row r="45" spans="1:12" ht="12.75" customHeight="1">
      <c r="A45" s="35">
        <v>98</v>
      </c>
      <c r="B45" s="2" t="s">
        <v>45</v>
      </c>
      <c r="C45" s="37">
        <v>9</v>
      </c>
      <c r="D45" s="37">
        <v>6</v>
      </c>
      <c r="E45" s="37">
        <v>4</v>
      </c>
      <c r="F45" s="37">
        <v>0</v>
      </c>
      <c r="G45" s="37">
        <v>1</v>
      </c>
      <c r="H45" s="37">
        <v>0</v>
      </c>
      <c r="I45" s="37">
        <v>0</v>
      </c>
      <c r="J45" s="37">
        <v>0</v>
      </c>
      <c r="L45" s="41"/>
    </row>
    <row r="46" spans="1:12" ht="12.75" customHeight="1">
      <c r="A46" s="35">
        <v>72</v>
      </c>
      <c r="B46" s="39" t="s">
        <v>46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7">
        <v>0</v>
      </c>
      <c r="I46" s="37">
        <v>0</v>
      </c>
      <c r="J46" s="37">
        <v>0</v>
      </c>
    </row>
    <row r="47" spans="1:12" s="11" customFormat="1" ht="25.5" customHeight="1">
      <c r="B47" s="11" t="s">
        <v>47</v>
      </c>
      <c r="C47" s="42">
        <v>247</v>
      </c>
      <c r="D47" s="42">
        <v>76</v>
      </c>
      <c r="E47" s="42">
        <v>76</v>
      </c>
      <c r="F47" s="42">
        <v>29</v>
      </c>
      <c r="G47" s="42">
        <v>9</v>
      </c>
      <c r="H47" s="42">
        <v>3</v>
      </c>
      <c r="I47" s="42">
        <v>0</v>
      </c>
      <c r="J47" s="42">
        <v>0</v>
      </c>
    </row>
    <row r="48" spans="1:12" ht="12.75" customHeight="1">
      <c r="A48" s="35">
        <v>66</v>
      </c>
      <c r="B48" s="2" t="s">
        <v>48</v>
      </c>
      <c r="C48" s="36">
        <v>48</v>
      </c>
      <c r="D48" s="36">
        <v>0</v>
      </c>
      <c r="E48" s="36">
        <v>9</v>
      </c>
      <c r="F48" s="36">
        <v>0</v>
      </c>
      <c r="G48" s="36">
        <v>1</v>
      </c>
      <c r="H48" s="37">
        <v>0</v>
      </c>
      <c r="I48" s="37">
        <v>0</v>
      </c>
      <c r="J48" s="37">
        <v>0</v>
      </c>
    </row>
    <row r="49" spans="1:12" ht="12.75" customHeight="1">
      <c r="A49" s="35">
        <v>78</v>
      </c>
      <c r="B49" s="2" t="s">
        <v>49</v>
      </c>
      <c r="C49" s="36">
        <v>17</v>
      </c>
      <c r="D49" s="36">
        <v>1</v>
      </c>
      <c r="E49" s="36">
        <v>4</v>
      </c>
      <c r="F49" s="36">
        <v>0</v>
      </c>
      <c r="G49" s="36">
        <v>1</v>
      </c>
      <c r="H49" s="37">
        <v>0</v>
      </c>
      <c r="I49" s="37">
        <v>0</v>
      </c>
      <c r="J49" s="37">
        <v>0</v>
      </c>
    </row>
    <row r="50" spans="1:12" ht="12.75" customHeight="1">
      <c r="A50" s="35">
        <v>89</v>
      </c>
      <c r="B50" s="2" t="s">
        <v>50</v>
      </c>
      <c r="C50" s="36">
        <v>5</v>
      </c>
      <c r="D50" s="36">
        <v>10</v>
      </c>
      <c r="E50" s="36">
        <v>0</v>
      </c>
      <c r="F50" s="36">
        <v>0</v>
      </c>
      <c r="G50" s="36">
        <v>0</v>
      </c>
      <c r="H50" s="37">
        <v>3</v>
      </c>
      <c r="I50" s="37">
        <v>0</v>
      </c>
      <c r="J50" s="37">
        <v>0</v>
      </c>
    </row>
    <row r="51" spans="1:12" ht="12.75" customHeight="1">
      <c r="A51" s="35">
        <v>93</v>
      </c>
      <c r="B51" s="2" t="s">
        <v>51</v>
      </c>
      <c r="C51" s="36">
        <v>7</v>
      </c>
      <c r="D51" s="36">
        <v>4</v>
      </c>
      <c r="E51" s="36">
        <v>0</v>
      </c>
      <c r="F51" s="36">
        <v>1</v>
      </c>
      <c r="G51" s="36">
        <v>3</v>
      </c>
      <c r="H51" s="37">
        <v>0</v>
      </c>
      <c r="I51" s="37">
        <v>0</v>
      </c>
      <c r="J51" s="37">
        <v>0</v>
      </c>
    </row>
    <row r="52" spans="1:12" ht="12.75" customHeight="1">
      <c r="A52" s="35">
        <v>95</v>
      </c>
      <c r="B52" s="2" t="s">
        <v>52</v>
      </c>
      <c r="C52" s="36">
        <v>34</v>
      </c>
      <c r="D52" s="36">
        <v>15</v>
      </c>
      <c r="E52" s="36">
        <v>5</v>
      </c>
      <c r="F52" s="36">
        <v>2</v>
      </c>
      <c r="G52" s="36">
        <v>0</v>
      </c>
      <c r="H52" s="37">
        <v>0</v>
      </c>
      <c r="I52" s="37">
        <v>0</v>
      </c>
      <c r="J52" s="37">
        <v>0</v>
      </c>
    </row>
    <row r="53" spans="1:12" ht="12.75" customHeight="1">
      <c r="A53" s="35">
        <v>97</v>
      </c>
      <c r="B53" s="2" t="s">
        <v>53</v>
      </c>
      <c r="C53" s="36">
        <v>29</v>
      </c>
      <c r="D53" s="36">
        <v>2</v>
      </c>
      <c r="E53" s="36">
        <v>5</v>
      </c>
      <c r="F53" s="36">
        <v>1</v>
      </c>
      <c r="G53" s="36">
        <v>1</v>
      </c>
      <c r="H53" s="37">
        <v>0</v>
      </c>
      <c r="I53" s="37">
        <v>0</v>
      </c>
      <c r="J53" s="37">
        <v>0</v>
      </c>
    </row>
    <row r="54" spans="1:12" ht="12.75" customHeight="1">
      <c r="A54" s="35">
        <v>77</v>
      </c>
      <c r="B54" s="43" t="s">
        <v>54</v>
      </c>
      <c r="C54" s="44">
        <v>107</v>
      </c>
      <c r="D54" s="44">
        <v>44</v>
      </c>
      <c r="E54" s="44">
        <v>53</v>
      </c>
      <c r="F54" s="44">
        <v>25</v>
      </c>
      <c r="G54" s="44">
        <v>3</v>
      </c>
      <c r="H54" s="45">
        <v>0</v>
      </c>
      <c r="I54" s="45">
        <v>0</v>
      </c>
      <c r="J54" s="45">
        <v>0</v>
      </c>
    </row>
    <row r="55" spans="1:12" s="41" customFormat="1" ht="13.5" customHeight="1">
      <c r="A55" s="28"/>
      <c r="C55" s="46"/>
      <c r="D55" s="47"/>
      <c r="E55" s="46"/>
      <c r="F55" s="46"/>
      <c r="G55" s="46"/>
      <c r="H55" s="46"/>
      <c r="I55" s="46"/>
      <c r="J55" s="46"/>
      <c r="K55" s="2"/>
      <c r="L55" s="2"/>
    </row>
    <row r="56" spans="1:12" ht="18.75" customHeight="1">
      <c r="B56" s="35" t="s">
        <v>55</v>
      </c>
    </row>
    <row r="57" spans="1:12">
      <c r="B57" s="229" t="s">
        <v>56</v>
      </c>
      <c r="C57" s="229"/>
      <c r="D57" s="229"/>
      <c r="E57" s="229"/>
      <c r="F57" s="229"/>
      <c r="G57" s="229"/>
      <c r="H57" s="229"/>
      <c r="I57" s="229"/>
      <c r="J57" s="229"/>
    </row>
    <row r="58" spans="1:12" ht="12.75" customHeight="1">
      <c r="B58" s="229"/>
      <c r="C58" s="229"/>
      <c r="D58" s="229"/>
      <c r="E58" s="229"/>
      <c r="F58" s="229"/>
      <c r="G58" s="229"/>
      <c r="H58" s="229"/>
      <c r="I58" s="229"/>
      <c r="J58" s="229"/>
    </row>
    <row r="59" spans="1:12" ht="18.75" customHeight="1">
      <c r="B59" s="229"/>
      <c r="C59" s="229"/>
      <c r="D59" s="229"/>
      <c r="E59" s="229"/>
      <c r="F59" s="229"/>
      <c r="G59" s="229"/>
      <c r="H59" s="229"/>
      <c r="I59" s="229"/>
      <c r="J59" s="229"/>
    </row>
    <row r="60" spans="1:12" ht="18.75" customHeight="1">
      <c r="B60" s="229"/>
      <c r="C60" s="229"/>
      <c r="D60" s="229"/>
      <c r="E60" s="229"/>
      <c r="F60" s="229"/>
      <c r="G60" s="229"/>
      <c r="H60" s="229"/>
      <c r="I60" s="229"/>
      <c r="J60" s="229"/>
    </row>
    <row r="61" spans="1:12" ht="18.75" customHeight="1">
      <c r="B61" s="229"/>
      <c r="C61" s="229"/>
      <c r="D61" s="229"/>
      <c r="E61" s="229"/>
      <c r="F61" s="229"/>
      <c r="G61" s="229"/>
      <c r="H61" s="229"/>
      <c r="I61" s="229"/>
      <c r="J61" s="229"/>
    </row>
    <row r="62" spans="1:12" ht="17.25" customHeight="1">
      <c r="B62" s="229"/>
      <c r="C62" s="229"/>
      <c r="D62" s="229"/>
      <c r="E62" s="229"/>
      <c r="F62" s="229"/>
      <c r="G62" s="229"/>
      <c r="H62" s="229"/>
      <c r="I62" s="229"/>
      <c r="J62" s="229"/>
    </row>
    <row r="63" spans="1:12" ht="15.75" customHeight="1">
      <c r="B63" s="35" t="s">
        <v>61</v>
      </c>
    </row>
    <row r="64" spans="1:12" ht="9.75" customHeight="1">
      <c r="B64" s="229"/>
      <c r="C64" s="229"/>
      <c r="D64" s="229"/>
      <c r="E64" s="48"/>
      <c r="F64" s="48"/>
      <c r="G64" s="48"/>
      <c r="H64" s="48"/>
      <c r="I64" s="48"/>
      <c r="J64" s="48"/>
    </row>
    <row r="65" spans="2:2" ht="18.75" customHeight="1">
      <c r="B65" s="24" t="s">
        <v>62</v>
      </c>
    </row>
    <row r="66" spans="2:2">
      <c r="B66" s="26"/>
    </row>
    <row r="68" spans="2:2">
      <c r="B68" s="27"/>
    </row>
  </sheetData>
  <mergeCells count="7">
    <mergeCell ref="B64:D64"/>
    <mergeCell ref="B1:J1"/>
    <mergeCell ref="B2:B4"/>
    <mergeCell ref="C2:D3"/>
    <mergeCell ref="E2:H2"/>
    <mergeCell ref="I2:J3"/>
    <mergeCell ref="B57:J6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K65"/>
  <sheetViews>
    <sheetView showGridLines="0" zoomScale="85" workbookViewId="0">
      <pane xSplit="2" ySplit="3" topLeftCell="C4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RowHeight="12.75"/>
  <cols>
    <col min="1" max="1" width="3.140625" style="1" hidden="1" customWidth="1"/>
    <col min="2" max="2" width="24.7109375" style="2" customWidth="1"/>
    <col min="3" max="3" width="18" style="52" customWidth="1"/>
    <col min="4" max="4" width="18.42578125" style="52" customWidth="1"/>
    <col min="5" max="5" width="13.85546875" style="52" customWidth="1"/>
    <col min="6" max="6" width="14" style="52" customWidth="1"/>
    <col min="7" max="256" width="9.140625" style="2"/>
    <col min="257" max="257" width="0" style="2" hidden="1" customWidth="1"/>
    <col min="258" max="258" width="24.7109375" style="2" customWidth="1"/>
    <col min="259" max="259" width="18" style="2" customWidth="1"/>
    <col min="260" max="260" width="18.42578125" style="2" customWidth="1"/>
    <col min="261" max="261" width="13.85546875" style="2" customWidth="1"/>
    <col min="262" max="262" width="14" style="2" customWidth="1"/>
    <col min="263" max="512" width="9.140625" style="2"/>
    <col min="513" max="513" width="0" style="2" hidden="1" customWidth="1"/>
    <col min="514" max="514" width="24.7109375" style="2" customWidth="1"/>
    <col min="515" max="515" width="18" style="2" customWidth="1"/>
    <col min="516" max="516" width="18.42578125" style="2" customWidth="1"/>
    <col min="517" max="517" width="13.85546875" style="2" customWidth="1"/>
    <col min="518" max="518" width="14" style="2" customWidth="1"/>
    <col min="519" max="768" width="9.140625" style="2"/>
    <col min="769" max="769" width="0" style="2" hidden="1" customWidth="1"/>
    <col min="770" max="770" width="24.7109375" style="2" customWidth="1"/>
    <col min="771" max="771" width="18" style="2" customWidth="1"/>
    <col min="772" max="772" width="18.42578125" style="2" customWidth="1"/>
    <col min="773" max="773" width="13.85546875" style="2" customWidth="1"/>
    <col min="774" max="774" width="14" style="2" customWidth="1"/>
    <col min="775" max="1024" width="9.140625" style="2"/>
    <col min="1025" max="1025" width="0" style="2" hidden="1" customWidth="1"/>
    <col min="1026" max="1026" width="24.7109375" style="2" customWidth="1"/>
    <col min="1027" max="1027" width="18" style="2" customWidth="1"/>
    <col min="1028" max="1028" width="18.42578125" style="2" customWidth="1"/>
    <col min="1029" max="1029" width="13.85546875" style="2" customWidth="1"/>
    <col min="1030" max="1030" width="14" style="2" customWidth="1"/>
    <col min="1031" max="1280" width="9.140625" style="2"/>
    <col min="1281" max="1281" width="0" style="2" hidden="1" customWidth="1"/>
    <col min="1282" max="1282" width="24.7109375" style="2" customWidth="1"/>
    <col min="1283" max="1283" width="18" style="2" customWidth="1"/>
    <col min="1284" max="1284" width="18.42578125" style="2" customWidth="1"/>
    <col min="1285" max="1285" width="13.85546875" style="2" customWidth="1"/>
    <col min="1286" max="1286" width="14" style="2" customWidth="1"/>
    <col min="1287" max="1536" width="9.140625" style="2"/>
    <col min="1537" max="1537" width="0" style="2" hidden="1" customWidth="1"/>
    <col min="1538" max="1538" width="24.7109375" style="2" customWidth="1"/>
    <col min="1539" max="1539" width="18" style="2" customWidth="1"/>
    <col min="1540" max="1540" width="18.42578125" style="2" customWidth="1"/>
    <col min="1541" max="1541" width="13.85546875" style="2" customWidth="1"/>
    <col min="1542" max="1542" width="14" style="2" customWidth="1"/>
    <col min="1543" max="1792" width="9.140625" style="2"/>
    <col min="1793" max="1793" width="0" style="2" hidden="1" customWidth="1"/>
    <col min="1794" max="1794" width="24.7109375" style="2" customWidth="1"/>
    <col min="1795" max="1795" width="18" style="2" customWidth="1"/>
    <col min="1796" max="1796" width="18.42578125" style="2" customWidth="1"/>
    <col min="1797" max="1797" width="13.85546875" style="2" customWidth="1"/>
    <col min="1798" max="1798" width="14" style="2" customWidth="1"/>
    <col min="1799" max="2048" width="9.140625" style="2"/>
    <col min="2049" max="2049" width="0" style="2" hidden="1" customWidth="1"/>
    <col min="2050" max="2050" width="24.7109375" style="2" customWidth="1"/>
    <col min="2051" max="2051" width="18" style="2" customWidth="1"/>
    <col min="2052" max="2052" width="18.42578125" style="2" customWidth="1"/>
    <col min="2053" max="2053" width="13.85546875" style="2" customWidth="1"/>
    <col min="2054" max="2054" width="14" style="2" customWidth="1"/>
    <col min="2055" max="2304" width="9.140625" style="2"/>
    <col min="2305" max="2305" width="0" style="2" hidden="1" customWidth="1"/>
    <col min="2306" max="2306" width="24.7109375" style="2" customWidth="1"/>
    <col min="2307" max="2307" width="18" style="2" customWidth="1"/>
    <col min="2308" max="2308" width="18.42578125" style="2" customWidth="1"/>
    <col min="2309" max="2309" width="13.85546875" style="2" customWidth="1"/>
    <col min="2310" max="2310" width="14" style="2" customWidth="1"/>
    <col min="2311" max="2560" width="9.140625" style="2"/>
    <col min="2561" max="2561" width="0" style="2" hidden="1" customWidth="1"/>
    <col min="2562" max="2562" width="24.7109375" style="2" customWidth="1"/>
    <col min="2563" max="2563" width="18" style="2" customWidth="1"/>
    <col min="2564" max="2564" width="18.42578125" style="2" customWidth="1"/>
    <col min="2565" max="2565" width="13.85546875" style="2" customWidth="1"/>
    <col min="2566" max="2566" width="14" style="2" customWidth="1"/>
    <col min="2567" max="2816" width="9.140625" style="2"/>
    <col min="2817" max="2817" width="0" style="2" hidden="1" customWidth="1"/>
    <col min="2818" max="2818" width="24.7109375" style="2" customWidth="1"/>
    <col min="2819" max="2819" width="18" style="2" customWidth="1"/>
    <col min="2820" max="2820" width="18.42578125" style="2" customWidth="1"/>
    <col min="2821" max="2821" width="13.85546875" style="2" customWidth="1"/>
    <col min="2822" max="2822" width="14" style="2" customWidth="1"/>
    <col min="2823" max="3072" width="9.140625" style="2"/>
    <col min="3073" max="3073" width="0" style="2" hidden="1" customWidth="1"/>
    <col min="3074" max="3074" width="24.7109375" style="2" customWidth="1"/>
    <col min="3075" max="3075" width="18" style="2" customWidth="1"/>
    <col min="3076" max="3076" width="18.42578125" style="2" customWidth="1"/>
    <col min="3077" max="3077" width="13.85546875" style="2" customWidth="1"/>
    <col min="3078" max="3078" width="14" style="2" customWidth="1"/>
    <col min="3079" max="3328" width="9.140625" style="2"/>
    <col min="3329" max="3329" width="0" style="2" hidden="1" customWidth="1"/>
    <col min="3330" max="3330" width="24.7109375" style="2" customWidth="1"/>
    <col min="3331" max="3331" width="18" style="2" customWidth="1"/>
    <col min="3332" max="3332" width="18.42578125" style="2" customWidth="1"/>
    <col min="3333" max="3333" width="13.85546875" style="2" customWidth="1"/>
    <col min="3334" max="3334" width="14" style="2" customWidth="1"/>
    <col min="3335" max="3584" width="9.140625" style="2"/>
    <col min="3585" max="3585" width="0" style="2" hidden="1" customWidth="1"/>
    <col min="3586" max="3586" width="24.7109375" style="2" customWidth="1"/>
    <col min="3587" max="3587" width="18" style="2" customWidth="1"/>
    <col min="3588" max="3588" width="18.42578125" style="2" customWidth="1"/>
    <col min="3589" max="3589" width="13.85546875" style="2" customWidth="1"/>
    <col min="3590" max="3590" width="14" style="2" customWidth="1"/>
    <col min="3591" max="3840" width="9.140625" style="2"/>
    <col min="3841" max="3841" width="0" style="2" hidden="1" customWidth="1"/>
    <col min="3842" max="3842" width="24.7109375" style="2" customWidth="1"/>
    <col min="3843" max="3843" width="18" style="2" customWidth="1"/>
    <col min="3844" max="3844" width="18.42578125" style="2" customWidth="1"/>
    <col min="3845" max="3845" width="13.85546875" style="2" customWidth="1"/>
    <col min="3846" max="3846" width="14" style="2" customWidth="1"/>
    <col min="3847" max="4096" width="9.140625" style="2"/>
    <col min="4097" max="4097" width="0" style="2" hidden="1" customWidth="1"/>
    <col min="4098" max="4098" width="24.7109375" style="2" customWidth="1"/>
    <col min="4099" max="4099" width="18" style="2" customWidth="1"/>
    <col min="4100" max="4100" width="18.42578125" style="2" customWidth="1"/>
    <col min="4101" max="4101" width="13.85546875" style="2" customWidth="1"/>
    <col min="4102" max="4102" width="14" style="2" customWidth="1"/>
    <col min="4103" max="4352" width="9.140625" style="2"/>
    <col min="4353" max="4353" width="0" style="2" hidden="1" customWidth="1"/>
    <col min="4354" max="4354" width="24.7109375" style="2" customWidth="1"/>
    <col min="4355" max="4355" width="18" style="2" customWidth="1"/>
    <col min="4356" max="4356" width="18.42578125" style="2" customWidth="1"/>
    <col min="4357" max="4357" width="13.85546875" style="2" customWidth="1"/>
    <col min="4358" max="4358" width="14" style="2" customWidth="1"/>
    <col min="4359" max="4608" width="9.140625" style="2"/>
    <col min="4609" max="4609" width="0" style="2" hidden="1" customWidth="1"/>
    <col min="4610" max="4610" width="24.7109375" style="2" customWidth="1"/>
    <col min="4611" max="4611" width="18" style="2" customWidth="1"/>
    <col min="4612" max="4612" width="18.42578125" style="2" customWidth="1"/>
    <col min="4613" max="4613" width="13.85546875" style="2" customWidth="1"/>
    <col min="4614" max="4614" width="14" style="2" customWidth="1"/>
    <col min="4615" max="4864" width="9.140625" style="2"/>
    <col min="4865" max="4865" width="0" style="2" hidden="1" customWidth="1"/>
    <col min="4866" max="4866" width="24.7109375" style="2" customWidth="1"/>
    <col min="4867" max="4867" width="18" style="2" customWidth="1"/>
    <col min="4868" max="4868" width="18.42578125" style="2" customWidth="1"/>
    <col min="4869" max="4869" width="13.85546875" style="2" customWidth="1"/>
    <col min="4870" max="4870" width="14" style="2" customWidth="1"/>
    <col min="4871" max="5120" width="9.140625" style="2"/>
    <col min="5121" max="5121" width="0" style="2" hidden="1" customWidth="1"/>
    <col min="5122" max="5122" width="24.7109375" style="2" customWidth="1"/>
    <col min="5123" max="5123" width="18" style="2" customWidth="1"/>
    <col min="5124" max="5124" width="18.42578125" style="2" customWidth="1"/>
    <col min="5125" max="5125" width="13.85546875" style="2" customWidth="1"/>
    <col min="5126" max="5126" width="14" style="2" customWidth="1"/>
    <col min="5127" max="5376" width="9.140625" style="2"/>
    <col min="5377" max="5377" width="0" style="2" hidden="1" customWidth="1"/>
    <col min="5378" max="5378" width="24.7109375" style="2" customWidth="1"/>
    <col min="5379" max="5379" width="18" style="2" customWidth="1"/>
    <col min="5380" max="5380" width="18.42578125" style="2" customWidth="1"/>
    <col min="5381" max="5381" width="13.85546875" style="2" customWidth="1"/>
    <col min="5382" max="5382" width="14" style="2" customWidth="1"/>
    <col min="5383" max="5632" width="9.140625" style="2"/>
    <col min="5633" max="5633" width="0" style="2" hidden="1" customWidth="1"/>
    <col min="5634" max="5634" width="24.7109375" style="2" customWidth="1"/>
    <col min="5635" max="5635" width="18" style="2" customWidth="1"/>
    <col min="5636" max="5636" width="18.42578125" style="2" customWidth="1"/>
    <col min="5637" max="5637" width="13.85546875" style="2" customWidth="1"/>
    <col min="5638" max="5638" width="14" style="2" customWidth="1"/>
    <col min="5639" max="5888" width="9.140625" style="2"/>
    <col min="5889" max="5889" width="0" style="2" hidden="1" customWidth="1"/>
    <col min="5890" max="5890" width="24.7109375" style="2" customWidth="1"/>
    <col min="5891" max="5891" width="18" style="2" customWidth="1"/>
    <col min="5892" max="5892" width="18.42578125" style="2" customWidth="1"/>
    <col min="5893" max="5893" width="13.85546875" style="2" customWidth="1"/>
    <col min="5894" max="5894" width="14" style="2" customWidth="1"/>
    <col min="5895" max="6144" width="9.140625" style="2"/>
    <col min="6145" max="6145" width="0" style="2" hidden="1" customWidth="1"/>
    <col min="6146" max="6146" width="24.7109375" style="2" customWidth="1"/>
    <col min="6147" max="6147" width="18" style="2" customWidth="1"/>
    <col min="6148" max="6148" width="18.42578125" style="2" customWidth="1"/>
    <col min="6149" max="6149" width="13.85546875" style="2" customWidth="1"/>
    <col min="6150" max="6150" width="14" style="2" customWidth="1"/>
    <col min="6151" max="6400" width="9.140625" style="2"/>
    <col min="6401" max="6401" width="0" style="2" hidden="1" customWidth="1"/>
    <col min="6402" max="6402" width="24.7109375" style="2" customWidth="1"/>
    <col min="6403" max="6403" width="18" style="2" customWidth="1"/>
    <col min="6404" max="6404" width="18.42578125" style="2" customWidth="1"/>
    <col min="6405" max="6405" width="13.85546875" style="2" customWidth="1"/>
    <col min="6406" max="6406" width="14" style="2" customWidth="1"/>
    <col min="6407" max="6656" width="9.140625" style="2"/>
    <col min="6657" max="6657" width="0" style="2" hidden="1" customWidth="1"/>
    <col min="6658" max="6658" width="24.7109375" style="2" customWidth="1"/>
    <col min="6659" max="6659" width="18" style="2" customWidth="1"/>
    <col min="6660" max="6660" width="18.42578125" style="2" customWidth="1"/>
    <col min="6661" max="6661" width="13.85546875" style="2" customWidth="1"/>
    <col min="6662" max="6662" width="14" style="2" customWidth="1"/>
    <col min="6663" max="6912" width="9.140625" style="2"/>
    <col min="6913" max="6913" width="0" style="2" hidden="1" customWidth="1"/>
    <col min="6914" max="6914" width="24.7109375" style="2" customWidth="1"/>
    <col min="6915" max="6915" width="18" style="2" customWidth="1"/>
    <col min="6916" max="6916" width="18.42578125" style="2" customWidth="1"/>
    <col min="6917" max="6917" width="13.85546875" style="2" customWidth="1"/>
    <col min="6918" max="6918" width="14" style="2" customWidth="1"/>
    <col min="6919" max="7168" width="9.140625" style="2"/>
    <col min="7169" max="7169" width="0" style="2" hidden="1" customWidth="1"/>
    <col min="7170" max="7170" width="24.7109375" style="2" customWidth="1"/>
    <col min="7171" max="7171" width="18" style="2" customWidth="1"/>
    <col min="7172" max="7172" width="18.42578125" style="2" customWidth="1"/>
    <col min="7173" max="7173" width="13.85546875" style="2" customWidth="1"/>
    <col min="7174" max="7174" width="14" style="2" customWidth="1"/>
    <col min="7175" max="7424" width="9.140625" style="2"/>
    <col min="7425" max="7425" width="0" style="2" hidden="1" customWidth="1"/>
    <col min="7426" max="7426" width="24.7109375" style="2" customWidth="1"/>
    <col min="7427" max="7427" width="18" style="2" customWidth="1"/>
    <col min="7428" max="7428" width="18.42578125" style="2" customWidth="1"/>
    <col min="7429" max="7429" width="13.85546875" style="2" customWidth="1"/>
    <col min="7430" max="7430" width="14" style="2" customWidth="1"/>
    <col min="7431" max="7680" width="9.140625" style="2"/>
    <col min="7681" max="7681" width="0" style="2" hidden="1" customWidth="1"/>
    <col min="7682" max="7682" width="24.7109375" style="2" customWidth="1"/>
    <col min="7683" max="7683" width="18" style="2" customWidth="1"/>
    <col min="7684" max="7684" width="18.42578125" style="2" customWidth="1"/>
    <col min="7685" max="7685" width="13.85546875" style="2" customWidth="1"/>
    <col min="7686" max="7686" width="14" style="2" customWidth="1"/>
    <col min="7687" max="7936" width="9.140625" style="2"/>
    <col min="7937" max="7937" width="0" style="2" hidden="1" customWidth="1"/>
    <col min="7938" max="7938" width="24.7109375" style="2" customWidth="1"/>
    <col min="7939" max="7939" width="18" style="2" customWidth="1"/>
    <col min="7940" max="7940" width="18.42578125" style="2" customWidth="1"/>
    <col min="7941" max="7941" width="13.85546875" style="2" customWidth="1"/>
    <col min="7942" max="7942" width="14" style="2" customWidth="1"/>
    <col min="7943" max="8192" width="9.140625" style="2"/>
    <col min="8193" max="8193" width="0" style="2" hidden="1" customWidth="1"/>
    <col min="8194" max="8194" width="24.7109375" style="2" customWidth="1"/>
    <col min="8195" max="8195" width="18" style="2" customWidth="1"/>
    <col min="8196" max="8196" width="18.42578125" style="2" customWidth="1"/>
    <col min="8197" max="8197" width="13.85546875" style="2" customWidth="1"/>
    <col min="8198" max="8198" width="14" style="2" customWidth="1"/>
    <col min="8199" max="8448" width="9.140625" style="2"/>
    <col min="8449" max="8449" width="0" style="2" hidden="1" customWidth="1"/>
    <col min="8450" max="8450" width="24.7109375" style="2" customWidth="1"/>
    <col min="8451" max="8451" width="18" style="2" customWidth="1"/>
    <col min="8452" max="8452" width="18.42578125" style="2" customWidth="1"/>
    <col min="8453" max="8453" width="13.85546875" style="2" customWidth="1"/>
    <col min="8454" max="8454" width="14" style="2" customWidth="1"/>
    <col min="8455" max="8704" width="9.140625" style="2"/>
    <col min="8705" max="8705" width="0" style="2" hidden="1" customWidth="1"/>
    <col min="8706" max="8706" width="24.7109375" style="2" customWidth="1"/>
    <col min="8707" max="8707" width="18" style="2" customWidth="1"/>
    <col min="8708" max="8708" width="18.42578125" style="2" customWidth="1"/>
    <col min="8709" max="8709" width="13.85546875" style="2" customWidth="1"/>
    <col min="8710" max="8710" width="14" style="2" customWidth="1"/>
    <col min="8711" max="8960" width="9.140625" style="2"/>
    <col min="8961" max="8961" width="0" style="2" hidden="1" customWidth="1"/>
    <col min="8962" max="8962" width="24.7109375" style="2" customWidth="1"/>
    <col min="8963" max="8963" width="18" style="2" customWidth="1"/>
    <col min="8964" max="8964" width="18.42578125" style="2" customWidth="1"/>
    <col min="8965" max="8965" width="13.85546875" style="2" customWidth="1"/>
    <col min="8966" max="8966" width="14" style="2" customWidth="1"/>
    <col min="8967" max="9216" width="9.140625" style="2"/>
    <col min="9217" max="9217" width="0" style="2" hidden="1" customWidth="1"/>
    <col min="9218" max="9218" width="24.7109375" style="2" customWidth="1"/>
    <col min="9219" max="9219" width="18" style="2" customWidth="1"/>
    <col min="9220" max="9220" width="18.42578125" style="2" customWidth="1"/>
    <col min="9221" max="9221" width="13.85546875" style="2" customWidth="1"/>
    <col min="9222" max="9222" width="14" style="2" customWidth="1"/>
    <col min="9223" max="9472" width="9.140625" style="2"/>
    <col min="9473" max="9473" width="0" style="2" hidden="1" customWidth="1"/>
    <col min="9474" max="9474" width="24.7109375" style="2" customWidth="1"/>
    <col min="9475" max="9475" width="18" style="2" customWidth="1"/>
    <col min="9476" max="9476" width="18.42578125" style="2" customWidth="1"/>
    <col min="9477" max="9477" width="13.85546875" style="2" customWidth="1"/>
    <col min="9478" max="9478" width="14" style="2" customWidth="1"/>
    <col min="9479" max="9728" width="9.140625" style="2"/>
    <col min="9729" max="9729" width="0" style="2" hidden="1" customWidth="1"/>
    <col min="9730" max="9730" width="24.7109375" style="2" customWidth="1"/>
    <col min="9731" max="9731" width="18" style="2" customWidth="1"/>
    <col min="9732" max="9732" width="18.42578125" style="2" customWidth="1"/>
    <col min="9733" max="9733" width="13.85546875" style="2" customWidth="1"/>
    <col min="9734" max="9734" width="14" style="2" customWidth="1"/>
    <col min="9735" max="9984" width="9.140625" style="2"/>
    <col min="9985" max="9985" width="0" style="2" hidden="1" customWidth="1"/>
    <col min="9986" max="9986" width="24.7109375" style="2" customWidth="1"/>
    <col min="9987" max="9987" width="18" style="2" customWidth="1"/>
    <col min="9988" max="9988" width="18.42578125" style="2" customWidth="1"/>
    <col min="9989" max="9989" width="13.85546875" style="2" customWidth="1"/>
    <col min="9990" max="9990" width="14" style="2" customWidth="1"/>
    <col min="9991" max="10240" width="9.140625" style="2"/>
    <col min="10241" max="10241" width="0" style="2" hidden="1" customWidth="1"/>
    <col min="10242" max="10242" width="24.7109375" style="2" customWidth="1"/>
    <col min="10243" max="10243" width="18" style="2" customWidth="1"/>
    <col min="10244" max="10244" width="18.42578125" style="2" customWidth="1"/>
    <col min="10245" max="10245" width="13.85546875" style="2" customWidth="1"/>
    <col min="10246" max="10246" width="14" style="2" customWidth="1"/>
    <col min="10247" max="10496" width="9.140625" style="2"/>
    <col min="10497" max="10497" width="0" style="2" hidden="1" customWidth="1"/>
    <col min="10498" max="10498" width="24.7109375" style="2" customWidth="1"/>
    <col min="10499" max="10499" width="18" style="2" customWidth="1"/>
    <col min="10500" max="10500" width="18.42578125" style="2" customWidth="1"/>
    <col min="10501" max="10501" width="13.85546875" style="2" customWidth="1"/>
    <col min="10502" max="10502" width="14" style="2" customWidth="1"/>
    <col min="10503" max="10752" width="9.140625" style="2"/>
    <col min="10753" max="10753" width="0" style="2" hidden="1" customWidth="1"/>
    <col min="10754" max="10754" width="24.7109375" style="2" customWidth="1"/>
    <col min="10755" max="10755" width="18" style="2" customWidth="1"/>
    <col min="10756" max="10756" width="18.42578125" style="2" customWidth="1"/>
    <col min="10757" max="10757" width="13.85546875" style="2" customWidth="1"/>
    <col min="10758" max="10758" width="14" style="2" customWidth="1"/>
    <col min="10759" max="11008" width="9.140625" style="2"/>
    <col min="11009" max="11009" width="0" style="2" hidden="1" customWidth="1"/>
    <col min="11010" max="11010" width="24.7109375" style="2" customWidth="1"/>
    <col min="11011" max="11011" width="18" style="2" customWidth="1"/>
    <col min="11012" max="11012" width="18.42578125" style="2" customWidth="1"/>
    <col min="11013" max="11013" width="13.85546875" style="2" customWidth="1"/>
    <col min="11014" max="11014" width="14" style="2" customWidth="1"/>
    <col min="11015" max="11264" width="9.140625" style="2"/>
    <col min="11265" max="11265" width="0" style="2" hidden="1" customWidth="1"/>
    <col min="11266" max="11266" width="24.7109375" style="2" customWidth="1"/>
    <col min="11267" max="11267" width="18" style="2" customWidth="1"/>
    <col min="11268" max="11268" width="18.42578125" style="2" customWidth="1"/>
    <col min="11269" max="11269" width="13.85546875" style="2" customWidth="1"/>
    <col min="11270" max="11270" width="14" style="2" customWidth="1"/>
    <col min="11271" max="11520" width="9.140625" style="2"/>
    <col min="11521" max="11521" width="0" style="2" hidden="1" customWidth="1"/>
    <col min="11522" max="11522" width="24.7109375" style="2" customWidth="1"/>
    <col min="11523" max="11523" width="18" style="2" customWidth="1"/>
    <col min="11524" max="11524" width="18.42578125" style="2" customWidth="1"/>
    <col min="11525" max="11525" width="13.85546875" style="2" customWidth="1"/>
    <col min="11526" max="11526" width="14" style="2" customWidth="1"/>
    <col min="11527" max="11776" width="9.140625" style="2"/>
    <col min="11777" max="11777" width="0" style="2" hidden="1" customWidth="1"/>
    <col min="11778" max="11778" width="24.7109375" style="2" customWidth="1"/>
    <col min="11779" max="11779" width="18" style="2" customWidth="1"/>
    <col min="11780" max="11780" width="18.42578125" style="2" customWidth="1"/>
    <col min="11781" max="11781" width="13.85546875" style="2" customWidth="1"/>
    <col min="11782" max="11782" width="14" style="2" customWidth="1"/>
    <col min="11783" max="12032" width="9.140625" style="2"/>
    <col min="12033" max="12033" width="0" style="2" hidden="1" customWidth="1"/>
    <col min="12034" max="12034" width="24.7109375" style="2" customWidth="1"/>
    <col min="12035" max="12035" width="18" style="2" customWidth="1"/>
    <col min="12036" max="12036" width="18.42578125" style="2" customWidth="1"/>
    <col min="12037" max="12037" width="13.85546875" style="2" customWidth="1"/>
    <col min="12038" max="12038" width="14" style="2" customWidth="1"/>
    <col min="12039" max="12288" width="9.140625" style="2"/>
    <col min="12289" max="12289" width="0" style="2" hidden="1" customWidth="1"/>
    <col min="12290" max="12290" width="24.7109375" style="2" customWidth="1"/>
    <col min="12291" max="12291" width="18" style="2" customWidth="1"/>
    <col min="12292" max="12292" width="18.42578125" style="2" customWidth="1"/>
    <col min="12293" max="12293" width="13.85546875" style="2" customWidth="1"/>
    <col min="12294" max="12294" width="14" style="2" customWidth="1"/>
    <col min="12295" max="12544" width="9.140625" style="2"/>
    <col min="12545" max="12545" width="0" style="2" hidden="1" customWidth="1"/>
    <col min="12546" max="12546" width="24.7109375" style="2" customWidth="1"/>
    <col min="12547" max="12547" width="18" style="2" customWidth="1"/>
    <col min="12548" max="12548" width="18.42578125" style="2" customWidth="1"/>
    <col min="12549" max="12549" width="13.85546875" style="2" customWidth="1"/>
    <col min="12550" max="12550" width="14" style="2" customWidth="1"/>
    <col min="12551" max="12800" width="9.140625" style="2"/>
    <col min="12801" max="12801" width="0" style="2" hidden="1" customWidth="1"/>
    <col min="12802" max="12802" width="24.7109375" style="2" customWidth="1"/>
    <col min="12803" max="12803" width="18" style="2" customWidth="1"/>
    <col min="12804" max="12804" width="18.42578125" style="2" customWidth="1"/>
    <col min="12805" max="12805" width="13.85546875" style="2" customWidth="1"/>
    <col min="12806" max="12806" width="14" style="2" customWidth="1"/>
    <col min="12807" max="13056" width="9.140625" style="2"/>
    <col min="13057" max="13057" width="0" style="2" hidden="1" customWidth="1"/>
    <col min="13058" max="13058" width="24.7109375" style="2" customWidth="1"/>
    <col min="13059" max="13059" width="18" style="2" customWidth="1"/>
    <col min="13060" max="13060" width="18.42578125" style="2" customWidth="1"/>
    <col min="13061" max="13061" width="13.85546875" style="2" customWidth="1"/>
    <col min="13062" max="13062" width="14" style="2" customWidth="1"/>
    <col min="13063" max="13312" width="9.140625" style="2"/>
    <col min="13313" max="13313" width="0" style="2" hidden="1" customWidth="1"/>
    <col min="13314" max="13314" width="24.7109375" style="2" customWidth="1"/>
    <col min="13315" max="13315" width="18" style="2" customWidth="1"/>
    <col min="13316" max="13316" width="18.42578125" style="2" customWidth="1"/>
    <col min="13317" max="13317" width="13.85546875" style="2" customWidth="1"/>
    <col min="13318" max="13318" width="14" style="2" customWidth="1"/>
    <col min="13319" max="13568" width="9.140625" style="2"/>
    <col min="13569" max="13569" width="0" style="2" hidden="1" customWidth="1"/>
    <col min="13570" max="13570" width="24.7109375" style="2" customWidth="1"/>
    <col min="13571" max="13571" width="18" style="2" customWidth="1"/>
    <col min="13572" max="13572" width="18.42578125" style="2" customWidth="1"/>
    <col min="13573" max="13573" width="13.85546875" style="2" customWidth="1"/>
    <col min="13574" max="13574" width="14" style="2" customWidth="1"/>
    <col min="13575" max="13824" width="9.140625" style="2"/>
    <col min="13825" max="13825" width="0" style="2" hidden="1" customWidth="1"/>
    <col min="13826" max="13826" width="24.7109375" style="2" customWidth="1"/>
    <col min="13827" max="13827" width="18" style="2" customWidth="1"/>
    <col min="13828" max="13828" width="18.42578125" style="2" customWidth="1"/>
    <col min="13829" max="13829" width="13.85546875" style="2" customWidth="1"/>
    <col min="13830" max="13830" width="14" style="2" customWidth="1"/>
    <col min="13831" max="14080" width="9.140625" style="2"/>
    <col min="14081" max="14081" width="0" style="2" hidden="1" customWidth="1"/>
    <col min="14082" max="14082" width="24.7109375" style="2" customWidth="1"/>
    <col min="14083" max="14083" width="18" style="2" customWidth="1"/>
    <col min="14084" max="14084" width="18.42578125" style="2" customWidth="1"/>
    <col min="14085" max="14085" width="13.85546875" style="2" customWidth="1"/>
    <col min="14086" max="14086" width="14" style="2" customWidth="1"/>
    <col min="14087" max="14336" width="9.140625" style="2"/>
    <col min="14337" max="14337" width="0" style="2" hidden="1" customWidth="1"/>
    <col min="14338" max="14338" width="24.7109375" style="2" customWidth="1"/>
    <col min="14339" max="14339" width="18" style="2" customWidth="1"/>
    <col min="14340" max="14340" width="18.42578125" style="2" customWidth="1"/>
    <col min="14341" max="14341" width="13.85546875" style="2" customWidth="1"/>
    <col min="14342" max="14342" width="14" style="2" customWidth="1"/>
    <col min="14343" max="14592" width="9.140625" style="2"/>
    <col min="14593" max="14593" width="0" style="2" hidden="1" customWidth="1"/>
    <col min="14594" max="14594" width="24.7109375" style="2" customWidth="1"/>
    <col min="14595" max="14595" width="18" style="2" customWidth="1"/>
    <col min="14596" max="14596" width="18.42578125" style="2" customWidth="1"/>
    <col min="14597" max="14597" width="13.85546875" style="2" customWidth="1"/>
    <col min="14598" max="14598" width="14" style="2" customWidth="1"/>
    <col min="14599" max="14848" width="9.140625" style="2"/>
    <col min="14849" max="14849" width="0" style="2" hidden="1" customWidth="1"/>
    <col min="14850" max="14850" width="24.7109375" style="2" customWidth="1"/>
    <col min="14851" max="14851" width="18" style="2" customWidth="1"/>
    <col min="14852" max="14852" width="18.42578125" style="2" customWidth="1"/>
    <col min="14853" max="14853" width="13.85546875" style="2" customWidth="1"/>
    <col min="14854" max="14854" width="14" style="2" customWidth="1"/>
    <col min="14855" max="15104" width="9.140625" style="2"/>
    <col min="15105" max="15105" width="0" style="2" hidden="1" customWidth="1"/>
    <col min="15106" max="15106" width="24.7109375" style="2" customWidth="1"/>
    <col min="15107" max="15107" width="18" style="2" customWidth="1"/>
    <col min="15108" max="15108" width="18.42578125" style="2" customWidth="1"/>
    <col min="15109" max="15109" width="13.85546875" style="2" customWidth="1"/>
    <col min="15110" max="15110" width="14" style="2" customWidth="1"/>
    <col min="15111" max="15360" width="9.140625" style="2"/>
    <col min="15361" max="15361" width="0" style="2" hidden="1" customWidth="1"/>
    <col min="15362" max="15362" width="24.7109375" style="2" customWidth="1"/>
    <col min="15363" max="15363" width="18" style="2" customWidth="1"/>
    <col min="15364" max="15364" width="18.42578125" style="2" customWidth="1"/>
    <col min="15365" max="15365" width="13.85546875" style="2" customWidth="1"/>
    <col min="15366" max="15366" width="14" style="2" customWidth="1"/>
    <col min="15367" max="15616" width="9.140625" style="2"/>
    <col min="15617" max="15617" width="0" style="2" hidden="1" customWidth="1"/>
    <col min="15618" max="15618" width="24.7109375" style="2" customWidth="1"/>
    <col min="15619" max="15619" width="18" style="2" customWidth="1"/>
    <col min="15620" max="15620" width="18.42578125" style="2" customWidth="1"/>
    <col min="15621" max="15621" width="13.85546875" style="2" customWidth="1"/>
    <col min="15622" max="15622" width="14" style="2" customWidth="1"/>
    <col min="15623" max="15872" width="9.140625" style="2"/>
    <col min="15873" max="15873" width="0" style="2" hidden="1" customWidth="1"/>
    <col min="15874" max="15874" width="24.7109375" style="2" customWidth="1"/>
    <col min="15875" max="15875" width="18" style="2" customWidth="1"/>
    <col min="15876" max="15876" width="18.42578125" style="2" customWidth="1"/>
    <col min="15877" max="15877" width="13.85546875" style="2" customWidth="1"/>
    <col min="15878" max="15878" width="14" style="2" customWidth="1"/>
    <col min="15879" max="16128" width="9.140625" style="2"/>
    <col min="16129" max="16129" width="0" style="2" hidden="1" customWidth="1"/>
    <col min="16130" max="16130" width="24.7109375" style="2" customWidth="1"/>
    <col min="16131" max="16131" width="18" style="2" customWidth="1"/>
    <col min="16132" max="16132" width="18.42578125" style="2" customWidth="1"/>
    <col min="16133" max="16133" width="13.85546875" style="2" customWidth="1"/>
    <col min="16134" max="16134" width="14" style="2" customWidth="1"/>
    <col min="16135" max="16384" width="9.140625" style="2"/>
  </cols>
  <sheetData>
    <row r="1" spans="1:9" ht="48.75" customHeight="1">
      <c r="B1" s="226" t="s">
        <v>63</v>
      </c>
      <c r="C1" s="227"/>
      <c r="D1" s="227"/>
      <c r="E1" s="227"/>
      <c r="F1" s="228"/>
    </row>
    <row r="2" spans="1:9" ht="15.75" customHeight="1">
      <c r="C2" s="210" t="s">
        <v>1</v>
      </c>
      <c r="D2" s="230" t="s">
        <v>2</v>
      </c>
      <c r="E2" s="230"/>
      <c r="F2" s="210" t="s">
        <v>5</v>
      </c>
    </row>
    <row r="3" spans="1:9" ht="34.5" customHeight="1">
      <c r="A3" s="4"/>
      <c r="C3" s="211"/>
      <c r="D3" s="31" t="s">
        <v>3</v>
      </c>
      <c r="E3" s="31" t="s">
        <v>4</v>
      </c>
      <c r="F3" s="211"/>
    </row>
    <row r="4" spans="1:9" ht="23.25" customHeight="1">
      <c r="A4" s="4"/>
      <c r="B4" s="11" t="s">
        <v>6</v>
      </c>
      <c r="C4" s="49">
        <v>971</v>
      </c>
      <c r="D4" s="49">
        <v>176</v>
      </c>
      <c r="E4" s="49">
        <v>33</v>
      </c>
      <c r="F4" s="49">
        <v>0</v>
      </c>
      <c r="I4" s="25"/>
    </row>
    <row r="5" spans="1:9" s="11" customFormat="1" ht="25.5" customHeight="1">
      <c r="A5" s="9"/>
      <c r="B5" s="11" t="s">
        <v>7</v>
      </c>
      <c r="C5" s="42">
        <v>753</v>
      </c>
      <c r="D5" s="42">
        <v>126</v>
      </c>
      <c r="E5" s="42">
        <v>27</v>
      </c>
      <c r="F5" s="42">
        <v>0</v>
      </c>
    </row>
    <row r="6" spans="1:9">
      <c r="A6" s="12">
        <v>51</v>
      </c>
      <c r="B6" s="2" t="s">
        <v>8</v>
      </c>
      <c r="C6" s="37">
        <v>25</v>
      </c>
      <c r="D6" s="37">
        <v>6</v>
      </c>
      <c r="E6" s="37">
        <v>4</v>
      </c>
      <c r="F6" s="37">
        <v>0</v>
      </c>
    </row>
    <row r="7" spans="1:9">
      <c r="A7" s="12">
        <v>52</v>
      </c>
      <c r="B7" s="2" t="s">
        <v>9</v>
      </c>
      <c r="C7" s="37">
        <v>25</v>
      </c>
      <c r="D7" s="37">
        <v>4</v>
      </c>
      <c r="E7" s="37">
        <v>0</v>
      </c>
      <c r="F7" s="37">
        <v>0</v>
      </c>
    </row>
    <row r="8" spans="1:9">
      <c r="A8" s="12">
        <v>86</v>
      </c>
      <c r="B8" s="2" t="s">
        <v>10</v>
      </c>
      <c r="C8" s="37">
        <v>29</v>
      </c>
      <c r="D8" s="37">
        <v>3</v>
      </c>
      <c r="E8" s="37">
        <v>0</v>
      </c>
      <c r="F8" s="37">
        <v>0</v>
      </c>
    </row>
    <row r="9" spans="1:9">
      <c r="A9" s="12">
        <v>53</v>
      </c>
      <c r="B9" s="2" t="s">
        <v>11</v>
      </c>
      <c r="C9" s="37">
        <v>8</v>
      </c>
      <c r="D9" s="37">
        <v>0</v>
      </c>
      <c r="E9" s="37">
        <v>0</v>
      </c>
      <c r="F9" s="37">
        <v>0</v>
      </c>
    </row>
    <row r="10" spans="1:9">
      <c r="A10" s="12">
        <v>54</v>
      </c>
      <c r="B10" s="2" t="s">
        <v>12</v>
      </c>
      <c r="C10" s="37">
        <v>24</v>
      </c>
      <c r="D10" s="37">
        <v>12</v>
      </c>
      <c r="E10" s="37">
        <v>7</v>
      </c>
      <c r="F10" s="37">
        <v>0</v>
      </c>
    </row>
    <row r="11" spans="1:9">
      <c r="A11" s="12">
        <v>55</v>
      </c>
      <c r="B11" s="2" t="s">
        <v>13</v>
      </c>
      <c r="C11" s="37">
        <v>11</v>
      </c>
      <c r="D11" s="37">
        <v>2</v>
      </c>
      <c r="E11" s="37">
        <v>0</v>
      </c>
      <c r="F11" s="37">
        <v>0</v>
      </c>
    </row>
    <row r="12" spans="1:9">
      <c r="A12" s="12">
        <v>56</v>
      </c>
      <c r="B12" s="2" t="s">
        <v>14</v>
      </c>
      <c r="C12" s="37">
        <v>7</v>
      </c>
      <c r="D12" s="37">
        <v>0</v>
      </c>
      <c r="E12" s="37">
        <v>0</v>
      </c>
      <c r="F12" s="37">
        <v>0</v>
      </c>
    </row>
    <row r="13" spans="1:9">
      <c r="A13" s="12">
        <v>57</v>
      </c>
      <c r="B13" s="2" t="s">
        <v>15</v>
      </c>
      <c r="C13" s="37">
        <v>5</v>
      </c>
      <c r="D13" s="37">
        <v>1</v>
      </c>
      <c r="E13" s="37">
        <v>1</v>
      </c>
      <c r="F13" s="37">
        <v>0</v>
      </c>
    </row>
    <row r="14" spans="1:9">
      <c r="A14" s="12">
        <v>59</v>
      </c>
      <c r="B14" s="2" t="s">
        <v>16</v>
      </c>
      <c r="C14" s="37">
        <v>10</v>
      </c>
      <c r="D14" s="37">
        <v>1</v>
      </c>
      <c r="E14" s="37">
        <v>0</v>
      </c>
      <c r="F14" s="37">
        <v>0</v>
      </c>
    </row>
    <row r="15" spans="1:9">
      <c r="A15" s="12">
        <v>60</v>
      </c>
      <c r="B15" s="2" t="s">
        <v>17</v>
      </c>
      <c r="C15" s="37">
        <v>20</v>
      </c>
      <c r="D15" s="37">
        <v>4</v>
      </c>
      <c r="E15" s="37">
        <v>0</v>
      </c>
      <c r="F15" s="37">
        <v>0</v>
      </c>
    </row>
    <row r="16" spans="1:9">
      <c r="A16" s="12">
        <v>61</v>
      </c>
      <c r="B16" s="38" t="s">
        <v>18</v>
      </c>
      <c r="C16" s="37">
        <v>24</v>
      </c>
      <c r="D16" s="37">
        <v>5</v>
      </c>
      <c r="E16" s="37">
        <v>2</v>
      </c>
      <c r="F16" s="37">
        <v>0</v>
      </c>
    </row>
    <row r="17" spans="1:6" s="186" customFormat="1">
      <c r="A17" s="12"/>
      <c r="B17" s="132" t="s">
        <v>125</v>
      </c>
      <c r="C17" s="165" t="s">
        <v>126</v>
      </c>
      <c r="D17" s="165" t="s">
        <v>126</v>
      </c>
      <c r="E17" s="165" t="s">
        <v>126</v>
      </c>
      <c r="F17" s="165" t="s">
        <v>126</v>
      </c>
    </row>
    <row r="18" spans="1:6">
      <c r="A18" s="12">
        <v>62</v>
      </c>
      <c r="B18" s="2" t="s">
        <v>19</v>
      </c>
      <c r="C18" s="37">
        <v>27</v>
      </c>
      <c r="D18" s="37">
        <v>1</v>
      </c>
      <c r="E18" s="37">
        <v>0</v>
      </c>
      <c r="F18" s="37">
        <v>0</v>
      </c>
    </row>
    <row r="19" spans="1:6">
      <c r="A19" s="12">
        <v>58</v>
      </c>
      <c r="B19" s="2" t="s">
        <v>20</v>
      </c>
      <c r="C19" s="37">
        <v>4</v>
      </c>
      <c r="D19" s="37">
        <v>2</v>
      </c>
      <c r="E19" s="37">
        <v>0</v>
      </c>
      <c r="F19" s="37">
        <v>0</v>
      </c>
    </row>
    <row r="20" spans="1:6">
      <c r="A20" s="12">
        <v>63</v>
      </c>
      <c r="B20" s="2" t="s">
        <v>21</v>
      </c>
      <c r="C20" s="37">
        <v>28</v>
      </c>
      <c r="D20" s="37">
        <v>0</v>
      </c>
      <c r="E20" s="37">
        <v>0</v>
      </c>
      <c r="F20" s="37">
        <v>0</v>
      </c>
    </row>
    <row r="21" spans="1:6">
      <c r="A21" s="12">
        <v>64</v>
      </c>
      <c r="B21" s="2" t="s">
        <v>22</v>
      </c>
      <c r="C21" s="37">
        <v>20</v>
      </c>
      <c r="D21" s="37">
        <v>5</v>
      </c>
      <c r="E21" s="37">
        <v>2</v>
      </c>
      <c r="F21" s="37">
        <v>0</v>
      </c>
    </row>
    <row r="22" spans="1:6">
      <c r="A22" s="12">
        <v>65</v>
      </c>
      <c r="B22" s="2" t="s">
        <v>23</v>
      </c>
      <c r="C22" s="37">
        <v>24</v>
      </c>
      <c r="D22" s="37">
        <v>6</v>
      </c>
      <c r="E22" s="37">
        <v>0</v>
      </c>
      <c r="F22" s="37">
        <v>0</v>
      </c>
    </row>
    <row r="23" spans="1:6">
      <c r="A23" s="12">
        <v>67</v>
      </c>
      <c r="B23" s="2" t="s">
        <v>24</v>
      </c>
      <c r="C23" s="37">
        <v>40</v>
      </c>
      <c r="D23" s="37">
        <v>5</v>
      </c>
      <c r="E23" s="36">
        <v>3</v>
      </c>
      <c r="F23" s="37">
        <v>0</v>
      </c>
    </row>
    <row r="24" spans="1:6">
      <c r="A24" s="12">
        <v>68</v>
      </c>
      <c r="B24" s="2" t="s">
        <v>25</v>
      </c>
      <c r="C24" s="37">
        <v>24</v>
      </c>
      <c r="D24" s="37">
        <v>3</v>
      </c>
      <c r="E24" s="37">
        <v>1</v>
      </c>
      <c r="F24" s="37">
        <v>0</v>
      </c>
    </row>
    <row r="25" spans="1:6">
      <c r="A25" s="12">
        <v>69</v>
      </c>
      <c r="B25" s="2" t="s">
        <v>26</v>
      </c>
      <c r="C25" s="37">
        <v>20</v>
      </c>
      <c r="D25" s="37">
        <v>6</v>
      </c>
      <c r="E25" s="37">
        <v>1</v>
      </c>
      <c r="F25" s="37">
        <v>0</v>
      </c>
    </row>
    <row r="26" spans="1:6">
      <c r="A26" s="12">
        <v>70</v>
      </c>
      <c r="B26" s="2" t="s">
        <v>27</v>
      </c>
      <c r="C26" s="37">
        <v>57</v>
      </c>
      <c r="D26" s="37">
        <v>5</v>
      </c>
      <c r="E26" s="37">
        <v>0</v>
      </c>
      <c r="F26" s="37">
        <v>0</v>
      </c>
    </row>
    <row r="27" spans="1:6">
      <c r="A27" s="12">
        <v>71</v>
      </c>
      <c r="B27" s="39" t="s">
        <v>28</v>
      </c>
      <c r="C27" s="37">
        <v>4</v>
      </c>
      <c r="D27" s="37">
        <v>2</v>
      </c>
      <c r="E27" s="37">
        <v>0</v>
      </c>
      <c r="F27" s="37">
        <v>0</v>
      </c>
    </row>
    <row r="28" spans="1:6">
      <c r="A28" s="12">
        <v>73</v>
      </c>
      <c r="B28" s="2" t="s">
        <v>29</v>
      </c>
      <c r="C28" s="37">
        <v>15</v>
      </c>
      <c r="D28" s="37">
        <v>4</v>
      </c>
      <c r="E28" s="37">
        <v>0</v>
      </c>
      <c r="F28" s="37">
        <v>0</v>
      </c>
    </row>
    <row r="29" spans="1:6">
      <c r="A29" s="12">
        <v>74</v>
      </c>
      <c r="B29" s="2" t="s">
        <v>30</v>
      </c>
      <c r="C29" s="37">
        <v>18</v>
      </c>
      <c r="D29" s="37">
        <v>3</v>
      </c>
      <c r="E29" s="37">
        <v>0</v>
      </c>
      <c r="F29" s="37">
        <v>0</v>
      </c>
    </row>
    <row r="30" spans="1:6">
      <c r="A30" s="12">
        <v>75</v>
      </c>
      <c r="B30" s="2" t="s">
        <v>31</v>
      </c>
      <c r="C30" s="37">
        <v>30</v>
      </c>
      <c r="D30" s="37">
        <v>7</v>
      </c>
      <c r="E30" s="37">
        <v>1</v>
      </c>
      <c r="F30" s="37">
        <v>0</v>
      </c>
    </row>
    <row r="31" spans="1:6">
      <c r="A31" s="12">
        <v>76</v>
      </c>
      <c r="B31" s="2" t="s">
        <v>32</v>
      </c>
      <c r="C31" s="37">
        <v>21</v>
      </c>
      <c r="D31" s="37">
        <v>1</v>
      </c>
      <c r="E31" s="37">
        <v>0</v>
      </c>
      <c r="F31" s="37">
        <v>0</v>
      </c>
    </row>
    <row r="32" spans="1:6">
      <c r="A32" s="12">
        <v>79</v>
      </c>
      <c r="B32" s="2" t="s">
        <v>33</v>
      </c>
      <c r="C32" s="37">
        <v>40</v>
      </c>
      <c r="D32" s="37">
        <v>9</v>
      </c>
      <c r="E32" s="37">
        <v>0</v>
      </c>
      <c r="F32" s="37">
        <v>0</v>
      </c>
    </row>
    <row r="33" spans="1:11">
      <c r="A33" s="12">
        <v>80</v>
      </c>
      <c r="B33" s="2" t="s">
        <v>34</v>
      </c>
      <c r="C33" s="37">
        <v>23</v>
      </c>
      <c r="D33" s="37">
        <v>2</v>
      </c>
      <c r="E33" s="37">
        <v>0</v>
      </c>
      <c r="F33" s="37">
        <v>0</v>
      </c>
    </row>
    <row r="34" spans="1:11">
      <c r="A34" s="12">
        <v>81</v>
      </c>
      <c r="B34" s="2" t="s">
        <v>35</v>
      </c>
      <c r="C34" s="37">
        <v>16</v>
      </c>
      <c r="D34" s="37">
        <v>3</v>
      </c>
      <c r="E34" s="37">
        <v>3</v>
      </c>
      <c r="F34" s="37">
        <v>0</v>
      </c>
    </row>
    <row r="35" spans="1:11">
      <c r="A35" s="12">
        <v>83</v>
      </c>
      <c r="B35" s="2" t="s">
        <v>36</v>
      </c>
      <c r="C35" s="37">
        <v>8</v>
      </c>
      <c r="D35" s="37">
        <v>1</v>
      </c>
      <c r="E35" s="37">
        <v>0</v>
      </c>
      <c r="F35" s="37">
        <v>0</v>
      </c>
    </row>
    <row r="36" spans="1:11">
      <c r="A36" s="12">
        <v>84</v>
      </c>
      <c r="B36" s="2" t="s">
        <v>37</v>
      </c>
      <c r="C36" s="37">
        <v>11</v>
      </c>
      <c r="D36" s="37">
        <v>3</v>
      </c>
      <c r="E36" s="37">
        <v>0</v>
      </c>
      <c r="F36" s="37">
        <v>0</v>
      </c>
    </row>
    <row r="37" spans="1:11" ht="15">
      <c r="A37" s="12">
        <v>85</v>
      </c>
      <c r="B37" s="2" t="s">
        <v>38</v>
      </c>
      <c r="C37" s="37">
        <v>20</v>
      </c>
      <c r="D37" s="37">
        <v>3</v>
      </c>
      <c r="E37" s="37">
        <v>0</v>
      </c>
      <c r="F37" s="37">
        <v>0</v>
      </c>
      <c r="G37" s="11"/>
    </row>
    <row r="38" spans="1:11" ht="15">
      <c r="A38" s="12">
        <v>87</v>
      </c>
      <c r="B38" s="2" t="s">
        <v>39</v>
      </c>
      <c r="C38" s="37">
        <v>14</v>
      </c>
      <c r="D38" s="37">
        <v>1</v>
      </c>
      <c r="E38" s="37">
        <v>0</v>
      </c>
      <c r="F38" s="37">
        <v>0</v>
      </c>
      <c r="H38" s="11"/>
      <c r="I38" s="11"/>
    </row>
    <row r="39" spans="1:11">
      <c r="A39" s="12">
        <v>90</v>
      </c>
      <c r="B39" s="2" t="s">
        <v>40</v>
      </c>
      <c r="C39" s="37">
        <v>15</v>
      </c>
      <c r="D39" s="37">
        <v>2</v>
      </c>
      <c r="E39" s="37">
        <v>0</v>
      </c>
      <c r="F39" s="37">
        <v>0</v>
      </c>
    </row>
    <row r="40" spans="1:11">
      <c r="A40" s="12">
        <v>91</v>
      </c>
      <c r="B40" s="2" t="s">
        <v>41</v>
      </c>
      <c r="C40" s="37">
        <v>27</v>
      </c>
      <c r="D40" s="37">
        <v>4</v>
      </c>
      <c r="E40" s="37">
        <v>0</v>
      </c>
      <c r="F40" s="37">
        <v>0</v>
      </c>
    </row>
    <row r="41" spans="1:11">
      <c r="A41" s="12">
        <v>92</v>
      </c>
      <c r="B41" s="2" t="s">
        <v>42</v>
      </c>
      <c r="C41" s="37">
        <v>19</v>
      </c>
      <c r="D41" s="37">
        <v>2</v>
      </c>
      <c r="E41" s="37">
        <v>0</v>
      </c>
      <c r="F41" s="37">
        <v>0</v>
      </c>
    </row>
    <row r="42" spans="1:11">
      <c r="A42" s="12">
        <v>94</v>
      </c>
      <c r="B42" s="2" t="s">
        <v>43</v>
      </c>
      <c r="C42" s="37">
        <v>13</v>
      </c>
      <c r="D42" s="37">
        <v>3</v>
      </c>
      <c r="E42" s="37">
        <v>0</v>
      </c>
      <c r="F42" s="37">
        <v>0</v>
      </c>
    </row>
    <row r="43" spans="1:11" ht="15">
      <c r="A43" s="12">
        <v>96</v>
      </c>
      <c r="B43" s="2" t="s">
        <v>44</v>
      </c>
      <c r="C43" s="37">
        <v>16</v>
      </c>
      <c r="D43" s="37">
        <v>2</v>
      </c>
      <c r="E43" s="37">
        <v>1</v>
      </c>
      <c r="F43" s="37">
        <v>0</v>
      </c>
      <c r="J43" s="11"/>
    </row>
    <row r="44" spans="1:11" ht="15">
      <c r="A44" s="12">
        <v>98</v>
      </c>
      <c r="B44" s="2" t="s">
        <v>45</v>
      </c>
      <c r="C44" s="37">
        <v>11</v>
      </c>
      <c r="D44" s="37">
        <v>3</v>
      </c>
      <c r="E44" s="37">
        <v>1</v>
      </c>
      <c r="F44" s="37">
        <v>0</v>
      </c>
      <c r="K44" s="11"/>
    </row>
    <row r="45" spans="1:11">
      <c r="A45" s="12">
        <v>72</v>
      </c>
      <c r="B45" s="39" t="s">
        <v>46</v>
      </c>
      <c r="C45" s="37">
        <v>0</v>
      </c>
      <c r="D45" s="37">
        <v>0</v>
      </c>
      <c r="E45" s="37">
        <v>0</v>
      </c>
      <c r="F45" s="37">
        <v>0</v>
      </c>
    </row>
    <row r="46" spans="1:11" s="11" customFormat="1" ht="25.5" customHeight="1">
      <c r="A46" s="50"/>
      <c r="B46" s="11" t="s">
        <v>47</v>
      </c>
      <c r="C46" s="42">
        <v>218</v>
      </c>
      <c r="D46" s="42">
        <v>50</v>
      </c>
      <c r="E46" s="42">
        <v>6</v>
      </c>
      <c r="F46" s="42">
        <v>0</v>
      </c>
    </row>
    <row r="47" spans="1:11">
      <c r="A47" s="12">
        <v>66</v>
      </c>
      <c r="B47" s="2" t="s">
        <v>48</v>
      </c>
      <c r="C47" s="37">
        <v>19</v>
      </c>
      <c r="D47" s="37">
        <v>3</v>
      </c>
      <c r="E47" s="37">
        <v>0</v>
      </c>
      <c r="F47" s="37">
        <v>0</v>
      </c>
    </row>
    <row r="48" spans="1:11">
      <c r="A48" s="12">
        <v>78</v>
      </c>
      <c r="B48" s="2" t="s">
        <v>49</v>
      </c>
      <c r="C48" s="37">
        <v>6</v>
      </c>
      <c r="D48" s="37">
        <v>1</v>
      </c>
      <c r="E48" s="37">
        <v>0</v>
      </c>
      <c r="F48" s="37">
        <v>0</v>
      </c>
    </row>
    <row r="49" spans="1:6">
      <c r="A49" s="12">
        <v>89</v>
      </c>
      <c r="B49" s="2" t="s">
        <v>50</v>
      </c>
      <c r="C49" s="37">
        <v>24</v>
      </c>
      <c r="D49" s="37">
        <v>2</v>
      </c>
      <c r="E49" s="37">
        <v>3</v>
      </c>
      <c r="F49" s="37">
        <v>0</v>
      </c>
    </row>
    <row r="50" spans="1:6">
      <c r="A50" s="12">
        <v>93</v>
      </c>
      <c r="B50" s="2" t="s">
        <v>51</v>
      </c>
      <c r="C50" s="37">
        <v>15</v>
      </c>
      <c r="D50" s="37">
        <v>4</v>
      </c>
      <c r="E50" s="37">
        <v>2</v>
      </c>
      <c r="F50" s="37">
        <v>0</v>
      </c>
    </row>
    <row r="51" spans="1:6">
      <c r="A51" s="12">
        <v>95</v>
      </c>
      <c r="B51" s="2" t="s">
        <v>52</v>
      </c>
      <c r="C51" s="37">
        <v>41</v>
      </c>
      <c r="D51" s="37">
        <v>5</v>
      </c>
      <c r="E51" s="37">
        <v>1</v>
      </c>
      <c r="F51" s="37">
        <v>0</v>
      </c>
    </row>
    <row r="52" spans="1:6">
      <c r="A52" s="12">
        <v>97</v>
      </c>
      <c r="B52" s="2" t="s">
        <v>53</v>
      </c>
      <c r="C52" s="36">
        <v>45</v>
      </c>
      <c r="D52" s="37">
        <v>11</v>
      </c>
      <c r="E52" s="37">
        <v>0</v>
      </c>
      <c r="F52" s="37">
        <v>0</v>
      </c>
    </row>
    <row r="53" spans="1:6">
      <c r="A53" s="12">
        <v>77</v>
      </c>
      <c r="B53" s="43" t="s">
        <v>54</v>
      </c>
      <c r="C53" s="45">
        <v>68</v>
      </c>
      <c r="D53" s="45">
        <v>24</v>
      </c>
      <c r="E53" s="45">
        <v>0</v>
      </c>
      <c r="F53" s="45">
        <v>0</v>
      </c>
    </row>
    <row r="54" spans="1:6">
      <c r="C54" s="37"/>
      <c r="D54" s="51"/>
      <c r="E54" s="37"/>
      <c r="F54" s="37"/>
    </row>
    <row r="55" spans="1:6" ht="13.5" customHeight="1">
      <c r="B55" s="12" t="s">
        <v>55</v>
      </c>
    </row>
    <row r="56" spans="1:6" ht="13.5" customHeight="1">
      <c r="B56" s="219" t="s">
        <v>56</v>
      </c>
      <c r="C56" s="220"/>
      <c r="D56" s="220"/>
      <c r="E56" s="220"/>
      <c r="F56" s="220"/>
    </row>
    <row r="57" spans="1:6" ht="15" customHeight="1">
      <c r="B57" s="220"/>
      <c r="C57" s="220"/>
      <c r="D57" s="220"/>
      <c r="E57" s="220"/>
      <c r="F57" s="220"/>
    </row>
    <row r="58" spans="1:6" ht="13.5" customHeight="1">
      <c r="B58" s="220"/>
      <c r="C58" s="220"/>
      <c r="D58" s="220"/>
      <c r="E58" s="220"/>
      <c r="F58" s="220"/>
    </row>
    <row r="59" spans="1:6" ht="12.75" customHeight="1">
      <c r="B59" s="220"/>
      <c r="C59" s="220"/>
      <c r="D59" s="220"/>
      <c r="E59" s="220"/>
      <c r="F59" s="220"/>
    </row>
    <row r="60" spans="1:6" ht="15.75" customHeight="1">
      <c r="B60" s="220"/>
      <c r="C60" s="220"/>
      <c r="D60" s="220"/>
      <c r="E60" s="220"/>
      <c r="F60" s="220"/>
    </row>
    <row r="61" spans="1:6" ht="67.5" customHeight="1">
      <c r="B61" s="220"/>
      <c r="C61" s="220"/>
      <c r="D61" s="220"/>
      <c r="E61" s="220"/>
      <c r="F61" s="220"/>
    </row>
    <row r="62" spans="1:6" ht="9.75" customHeight="1">
      <c r="B62" s="53"/>
      <c r="C62" s="54"/>
      <c r="D62" s="54"/>
      <c r="E62" s="54"/>
      <c r="F62" s="54"/>
    </row>
    <row r="63" spans="1:6">
      <c r="B63" s="24" t="s">
        <v>57</v>
      </c>
    </row>
    <row r="65" spans="2:2">
      <c r="B65" s="27"/>
    </row>
  </sheetData>
  <mergeCells count="5">
    <mergeCell ref="B1:F1"/>
    <mergeCell ref="C2:C3"/>
    <mergeCell ref="D2:E2"/>
    <mergeCell ref="F2:F3"/>
    <mergeCell ref="B56:F61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F65"/>
  <sheetViews>
    <sheetView showGridLines="0" zoomScale="85" workbookViewId="0">
      <pane xSplit="2" ySplit="3" topLeftCell="C4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RowHeight="12.75"/>
  <cols>
    <col min="1" max="1" width="3.140625" style="1" hidden="1" customWidth="1"/>
    <col min="2" max="2" width="31.7109375" style="2" customWidth="1"/>
    <col min="3" max="4" width="15.28515625" style="2" customWidth="1"/>
    <col min="5" max="5" width="16.5703125" style="2" customWidth="1"/>
    <col min="6" max="6" width="15" style="2" customWidth="1"/>
    <col min="7" max="256" width="9.140625" style="2"/>
    <col min="257" max="257" width="0" style="2" hidden="1" customWidth="1"/>
    <col min="258" max="258" width="31.7109375" style="2" customWidth="1"/>
    <col min="259" max="260" width="15.28515625" style="2" customWidth="1"/>
    <col min="261" max="261" width="16.5703125" style="2" customWidth="1"/>
    <col min="262" max="262" width="15" style="2" customWidth="1"/>
    <col min="263" max="512" width="9.140625" style="2"/>
    <col min="513" max="513" width="0" style="2" hidden="1" customWidth="1"/>
    <col min="514" max="514" width="31.7109375" style="2" customWidth="1"/>
    <col min="515" max="516" width="15.28515625" style="2" customWidth="1"/>
    <col min="517" max="517" width="16.5703125" style="2" customWidth="1"/>
    <col min="518" max="518" width="15" style="2" customWidth="1"/>
    <col min="519" max="768" width="9.140625" style="2"/>
    <col min="769" max="769" width="0" style="2" hidden="1" customWidth="1"/>
    <col min="770" max="770" width="31.7109375" style="2" customWidth="1"/>
    <col min="771" max="772" width="15.28515625" style="2" customWidth="1"/>
    <col min="773" max="773" width="16.5703125" style="2" customWidth="1"/>
    <col min="774" max="774" width="15" style="2" customWidth="1"/>
    <col min="775" max="1024" width="9.140625" style="2"/>
    <col min="1025" max="1025" width="0" style="2" hidden="1" customWidth="1"/>
    <col min="1026" max="1026" width="31.7109375" style="2" customWidth="1"/>
    <col min="1027" max="1028" width="15.28515625" style="2" customWidth="1"/>
    <col min="1029" max="1029" width="16.5703125" style="2" customWidth="1"/>
    <col min="1030" max="1030" width="15" style="2" customWidth="1"/>
    <col min="1031" max="1280" width="9.140625" style="2"/>
    <col min="1281" max="1281" width="0" style="2" hidden="1" customWidth="1"/>
    <col min="1282" max="1282" width="31.7109375" style="2" customWidth="1"/>
    <col min="1283" max="1284" width="15.28515625" style="2" customWidth="1"/>
    <col min="1285" max="1285" width="16.5703125" style="2" customWidth="1"/>
    <col min="1286" max="1286" width="15" style="2" customWidth="1"/>
    <col min="1287" max="1536" width="9.140625" style="2"/>
    <col min="1537" max="1537" width="0" style="2" hidden="1" customWidth="1"/>
    <col min="1538" max="1538" width="31.7109375" style="2" customWidth="1"/>
    <col min="1539" max="1540" width="15.28515625" style="2" customWidth="1"/>
    <col min="1541" max="1541" width="16.5703125" style="2" customWidth="1"/>
    <col min="1542" max="1542" width="15" style="2" customWidth="1"/>
    <col min="1543" max="1792" width="9.140625" style="2"/>
    <col min="1793" max="1793" width="0" style="2" hidden="1" customWidth="1"/>
    <col min="1794" max="1794" width="31.7109375" style="2" customWidth="1"/>
    <col min="1795" max="1796" width="15.28515625" style="2" customWidth="1"/>
    <col min="1797" max="1797" width="16.5703125" style="2" customWidth="1"/>
    <col min="1798" max="1798" width="15" style="2" customWidth="1"/>
    <col min="1799" max="2048" width="9.140625" style="2"/>
    <col min="2049" max="2049" width="0" style="2" hidden="1" customWidth="1"/>
    <col min="2050" max="2050" width="31.7109375" style="2" customWidth="1"/>
    <col min="2051" max="2052" width="15.28515625" style="2" customWidth="1"/>
    <col min="2053" max="2053" width="16.5703125" style="2" customWidth="1"/>
    <col min="2054" max="2054" width="15" style="2" customWidth="1"/>
    <col min="2055" max="2304" width="9.140625" style="2"/>
    <col min="2305" max="2305" width="0" style="2" hidden="1" customWidth="1"/>
    <col min="2306" max="2306" width="31.7109375" style="2" customWidth="1"/>
    <col min="2307" max="2308" width="15.28515625" style="2" customWidth="1"/>
    <col min="2309" max="2309" width="16.5703125" style="2" customWidth="1"/>
    <col min="2310" max="2310" width="15" style="2" customWidth="1"/>
    <col min="2311" max="2560" width="9.140625" style="2"/>
    <col min="2561" max="2561" width="0" style="2" hidden="1" customWidth="1"/>
    <col min="2562" max="2562" width="31.7109375" style="2" customWidth="1"/>
    <col min="2563" max="2564" width="15.28515625" style="2" customWidth="1"/>
    <col min="2565" max="2565" width="16.5703125" style="2" customWidth="1"/>
    <col min="2566" max="2566" width="15" style="2" customWidth="1"/>
    <col min="2567" max="2816" width="9.140625" style="2"/>
    <col min="2817" max="2817" width="0" style="2" hidden="1" customWidth="1"/>
    <col min="2818" max="2818" width="31.7109375" style="2" customWidth="1"/>
    <col min="2819" max="2820" width="15.28515625" style="2" customWidth="1"/>
    <col min="2821" max="2821" width="16.5703125" style="2" customWidth="1"/>
    <col min="2822" max="2822" width="15" style="2" customWidth="1"/>
    <col min="2823" max="3072" width="9.140625" style="2"/>
    <col min="3073" max="3073" width="0" style="2" hidden="1" customWidth="1"/>
    <col min="3074" max="3074" width="31.7109375" style="2" customWidth="1"/>
    <col min="3075" max="3076" width="15.28515625" style="2" customWidth="1"/>
    <col min="3077" max="3077" width="16.5703125" style="2" customWidth="1"/>
    <col min="3078" max="3078" width="15" style="2" customWidth="1"/>
    <col min="3079" max="3328" width="9.140625" style="2"/>
    <col min="3329" max="3329" width="0" style="2" hidden="1" customWidth="1"/>
    <col min="3330" max="3330" width="31.7109375" style="2" customWidth="1"/>
    <col min="3331" max="3332" width="15.28515625" style="2" customWidth="1"/>
    <col min="3333" max="3333" width="16.5703125" style="2" customWidth="1"/>
    <col min="3334" max="3334" width="15" style="2" customWidth="1"/>
    <col min="3335" max="3584" width="9.140625" style="2"/>
    <col min="3585" max="3585" width="0" style="2" hidden="1" customWidth="1"/>
    <col min="3586" max="3586" width="31.7109375" style="2" customWidth="1"/>
    <col min="3587" max="3588" width="15.28515625" style="2" customWidth="1"/>
    <col min="3589" max="3589" width="16.5703125" style="2" customWidth="1"/>
    <col min="3590" max="3590" width="15" style="2" customWidth="1"/>
    <col min="3591" max="3840" width="9.140625" style="2"/>
    <col min="3841" max="3841" width="0" style="2" hidden="1" customWidth="1"/>
    <col min="3842" max="3842" width="31.7109375" style="2" customWidth="1"/>
    <col min="3843" max="3844" width="15.28515625" style="2" customWidth="1"/>
    <col min="3845" max="3845" width="16.5703125" style="2" customWidth="1"/>
    <col min="3846" max="3846" width="15" style="2" customWidth="1"/>
    <col min="3847" max="4096" width="9.140625" style="2"/>
    <col min="4097" max="4097" width="0" style="2" hidden="1" customWidth="1"/>
    <col min="4098" max="4098" width="31.7109375" style="2" customWidth="1"/>
    <col min="4099" max="4100" width="15.28515625" style="2" customWidth="1"/>
    <col min="4101" max="4101" width="16.5703125" style="2" customWidth="1"/>
    <col min="4102" max="4102" width="15" style="2" customWidth="1"/>
    <col min="4103" max="4352" width="9.140625" style="2"/>
    <col min="4353" max="4353" width="0" style="2" hidden="1" customWidth="1"/>
    <col min="4354" max="4354" width="31.7109375" style="2" customWidth="1"/>
    <col min="4355" max="4356" width="15.28515625" style="2" customWidth="1"/>
    <col min="4357" max="4357" width="16.5703125" style="2" customWidth="1"/>
    <col min="4358" max="4358" width="15" style="2" customWidth="1"/>
    <col min="4359" max="4608" width="9.140625" style="2"/>
    <col min="4609" max="4609" width="0" style="2" hidden="1" customWidth="1"/>
    <col min="4610" max="4610" width="31.7109375" style="2" customWidth="1"/>
    <col min="4611" max="4612" width="15.28515625" style="2" customWidth="1"/>
    <col min="4613" max="4613" width="16.5703125" style="2" customWidth="1"/>
    <col min="4614" max="4614" width="15" style="2" customWidth="1"/>
    <col min="4615" max="4864" width="9.140625" style="2"/>
    <col min="4865" max="4865" width="0" style="2" hidden="1" customWidth="1"/>
    <col min="4866" max="4866" width="31.7109375" style="2" customWidth="1"/>
    <col min="4867" max="4868" width="15.28515625" style="2" customWidth="1"/>
    <col min="4869" max="4869" width="16.5703125" style="2" customWidth="1"/>
    <col min="4870" max="4870" width="15" style="2" customWidth="1"/>
    <col min="4871" max="5120" width="9.140625" style="2"/>
    <col min="5121" max="5121" width="0" style="2" hidden="1" customWidth="1"/>
    <col min="5122" max="5122" width="31.7109375" style="2" customWidth="1"/>
    <col min="5123" max="5124" width="15.28515625" style="2" customWidth="1"/>
    <col min="5125" max="5125" width="16.5703125" style="2" customWidth="1"/>
    <col min="5126" max="5126" width="15" style="2" customWidth="1"/>
    <col min="5127" max="5376" width="9.140625" style="2"/>
    <col min="5377" max="5377" width="0" style="2" hidden="1" customWidth="1"/>
    <col min="5378" max="5378" width="31.7109375" style="2" customWidth="1"/>
    <col min="5379" max="5380" width="15.28515625" style="2" customWidth="1"/>
    <col min="5381" max="5381" width="16.5703125" style="2" customWidth="1"/>
    <col min="5382" max="5382" width="15" style="2" customWidth="1"/>
    <col min="5383" max="5632" width="9.140625" style="2"/>
    <col min="5633" max="5633" width="0" style="2" hidden="1" customWidth="1"/>
    <col min="5634" max="5634" width="31.7109375" style="2" customWidth="1"/>
    <col min="5635" max="5636" width="15.28515625" style="2" customWidth="1"/>
    <col min="5637" max="5637" width="16.5703125" style="2" customWidth="1"/>
    <col min="5638" max="5638" width="15" style="2" customWidth="1"/>
    <col min="5639" max="5888" width="9.140625" style="2"/>
    <col min="5889" max="5889" width="0" style="2" hidden="1" customWidth="1"/>
    <col min="5890" max="5890" width="31.7109375" style="2" customWidth="1"/>
    <col min="5891" max="5892" width="15.28515625" style="2" customWidth="1"/>
    <col min="5893" max="5893" width="16.5703125" style="2" customWidth="1"/>
    <col min="5894" max="5894" width="15" style="2" customWidth="1"/>
    <col min="5895" max="6144" width="9.140625" style="2"/>
    <col min="6145" max="6145" width="0" style="2" hidden="1" customWidth="1"/>
    <col min="6146" max="6146" width="31.7109375" style="2" customWidth="1"/>
    <col min="6147" max="6148" width="15.28515625" style="2" customWidth="1"/>
    <col min="6149" max="6149" width="16.5703125" style="2" customWidth="1"/>
    <col min="6150" max="6150" width="15" style="2" customWidth="1"/>
    <col min="6151" max="6400" width="9.140625" style="2"/>
    <col min="6401" max="6401" width="0" style="2" hidden="1" customWidth="1"/>
    <col min="6402" max="6402" width="31.7109375" style="2" customWidth="1"/>
    <col min="6403" max="6404" width="15.28515625" style="2" customWidth="1"/>
    <col min="6405" max="6405" width="16.5703125" style="2" customWidth="1"/>
    <col min="6406" max="6406" width="15" style="2" customWidth="1"/>
    <col min="6407" max="6656" width="9.140625" style="2"/>
    <col min="6657" max="6657" width="0" style="2" hidden="1" customWidth="1"/>
    <col min="6658" max="6658" width="31.7109375" style="2" customWidth="1"/>
    <col min="6659" max="6660" width="15.28515625" style="2" customWidth="1"/>
    <col min="6661" max="6661" width="16.5703125" style="2" customWidth="1"/>
    <col min="6662" max="6662" width="15" style="2" customWidth="1"/>
    <col min="6663" max="6912" width="9.140625" style="2"/>
    <col min="6913" max="6913" width="0" style="2" hidden="1" customWidth="1"/>
    <col min="6914" max="6914" width="31.7109375" style="2" customWidth="1"/>
    <col min="6915" max="6916" width="15.28515625" style="2" customWidth="1"/>
    <col min="6917" max="6917" width="16.5703125" style="2" customWidth="1"/>
    <col min="6918" max="6918" width="15" style="2" customWidth="1"/>
    <col min="6919" max="7168" width="9.140625" style="2"/>
    <col min="7169" max="7169" width="0" style="2" hidden="1" customWidth="1"/>
    <col min="7170" max="7170" width="31.7109375" style="2" customWidth="1"/>
    <col min="7171" max="7172" width="15.28515625" style="2" customWidth="1"/>
    <col min="7173" max="7173" width="16.5703125" style="2" customWidth="1"/>
    <col min="7174" max="7174" width="15" style="2" customWidth="1"/>
    <col min="7175" max="7424" width="9.140625" style="2"/>
    <col min="7425" max="7425" width="0" style="2" hidden="1" customWidth="1"/>
    <col min="7426" max="7426" width="31.7109375" style="2" customWidth="1"/>
    <col min="7427" max="7428" width="15.28515625" style="2" customWidth="1"/>
    <col min="7429" max="7429" width="16.5703125" style="2" customWidth="1"/>
    <col min="7430" max="7430" width="15" style="2" customWidth="1"/>
    <col min="7431" max="7680" width="9.140625" style="2"/>
    <col min="7681" max="7681" width="0" style="2" hidden="1" customWidth="1"/>
    <col min="7682" max="7682" width="31.7109375" style="2" customWidth="1"/>
    <col min="7683" max="7684" width="15.28515625" style="2" customWidth="1"/>
    <col min="7685" max="7685" width="16.5703125" style="2" customWidth="1"/>
    <col min="7686" max="7686" width="15" style="2" customWidth="1"/>
    <col min="7687" max="7936" width="9.140625" style="2"/>
    <col min="7937" max="7937" width="0" style="2" hidden="1" customWidth="1"/>
    <col min="7938" max="7938" width="31.7109375" style="2" customWidth="1"/>
    <col min="7939" max="7940" width="15.28515625" style="2" customWidth="1"/>
    <col min="7941" max="7941" width="16.5703125" style="2" customWidth="1"/>
    <col min="7942" max="7942" width="15" style="2" customWidth="1"/>
    <col min="7943" max="8192" width="9.140625" style="2"/>
    <col min="8193" max="8193" width="0" style="2" hidden="1" customWidth="1"/>
    <col min="8194" max="8194" width="31.7109375" style="2" customWidth="1"/>
    <col min="8195" max="8196" width="15.28515625" style="2" customWidth="1"/>
    <col min="8197" max="8197" width="16.5703125" style="2" customWidth="1"/>
    <col min="8198" max="8198" width="15" style="2" customWidth="1"/>
    <col min="8199" max="8448" width="9.140625" style="2"/>
    <col min="8449" max="8449" width="0" style="2" hidden="1" customWidth="1"/>
    <col min="8450" max="8450" width="31.7109375" style="2" customWidth="1"/>
    <col min="8451" max="8452" width="15.28515625" style="2" customWidth="1"/>
    <col min="8453" max="8453" width="16.5703125" style="2" customWidth="1"/>
    <col min="8454" max="8454" width="15" style="2" customWidth="1"/>
    <col min="8455" max="8704" width="9.140625" style="2"/>
    <col min="8705" max="8705" width="0" style="2" hidden="1" customWidth="1"/>
    <col min="8706" max="8706" width="31.7109375" style="2" customWidth="1"/>
    <col min="8707" max="8708" width="15.28515625" style="2" customWidth="1"/>
    <col min="8709" max="8709" width="16.5703125" style="2" customWidth="1"/>
    <col min="8710" max="8710" width="15" style="2" customWidth="1"/>
    <col min="8711" max="8960" width="9.140625" style="2"/>
    <col min="8961" max="8961" width="0" style="2" hidden="1" customWidth="1"/>
    <col min="8962" max="8962" width="31.7109375" style="2" customWidth="1"/>
    <col min="8963" max="8964" width="15.28515625" style="2" customWidth="1"/>
    <col min="8965" max="8965" width="16.5703125" style="2" customWidth="1"/>
    <col min="8966" max="8966" width="15" style="2" customWidth="1"/>
    <col min="8967" max="9216" width="9.140625" style="2"/>
    <col min="9217" max="9217" width="0" style="2" hidden="1" customWidth="1"/>
    <col min="9218" max="9218" width="31.7109375" style="2" customWidth="1"/>
    <col min="9219" max="9220" width="15.28515625" style="2" customWidth="1"/>
    <col min="9221" max="9221" width="16.5703125" style="2" customWidth="1"/>
    <col min="9222" max="9222" width="15" style="2" customWidth="1"/>
    <col min="9223" max="9472" width="9.140625" style="2"/>
    <col min="9473" max="9473" width="0" style="2" hidden="1" customWidth="1"/>
    <col min="9474" max="9474" width="31.7109375" style="2" customWidth="1"/>
    <col min="9475" max="9476" width="15.28515625" style="2" customWidth="1"/>
    <col min="9477" max="9477" width="16.5703125" style="2" customWidth="1"/>
    <col min="9478" max="9478" width="15" style="2" customWidth="1"/>
    <col min="9479" max="9728" width="9.140625" style="2"/>
    <col min="9729" max="9729" width="0" style="2" hidden="1" customWidth="1"/>
    <col min="9730" max="9730" width="31.7109375" style="2" customWidth="1"/>
    <col min="9731" max="9732" width="15.28515625" style="2" customWidth="1"/>
    <col min="9733" max="9733" width="16.5703125" style="2" customWidth="1"/>
    <col min="9734" max="9734" width="15" style="2" customWidth="1"/>
    <col min="9735" max="9984" width="9.140625" style="2"/>
    <col min="9985" max="9985" width="0" style="2" hidden="1" customWidth="1"/>
    <col min="9986" max="9986" width="31.7109375" style="2" customWidth="1"/>
    <col min="9987" max="9988" width="15.28515625" style="2" customWidth="1"/>
    <col min="9989" max="9989" width="16.5703125" style="2" customWidth="1"/>
    <col min="9990" max="9990" width="15" style="2" customWidth="1"/>
    <col min="9991" max="10240" width="9.140625" style="2"/>
    <col min="10241" max="10241" width="0" style="2" hidden="1" customWidth="1"/>
    <col min="10242" max="10242" width="31.7109375" style="2" customWidth="1"/>
    <col min="10243" max="10244" width="15.28515625" style="2" customWidth="1"/>
    <col min="10245" max="10245" width="16.5703125" style="2" customWidth="1"/>
    <col min="10246" max="10246" width="15" style="2" customWidth="1"/>
    <col min="10247" max="10496" width="9.140625" style="2"/>
    <col min="10497" max="10497" width="0" style="2" hidden="1" customWidth="1"/>
    <col min="10498" max="10498" width="31.7109375" style="2" customWidth="1"/>
    <col min="10499" max="10500" width="15.28515625" style="2" customWidth="1"/>
    <col min="10501" max="10501" width="16.5703125" style="2" customWidth="1"/>
    <col min="10502" max="10502" width="15" style="2" customWidth="1"/>
    <col min="10503" max="10752" width="9.140625" style="2"/>
    <col min="10753" max="10753" width="0" style="2" hidden="1" customWidth="1"/>
    <col min="10754" max="10754" width="31.7109375" style="2" customWidth="1"/>
    <col min="10755" max="10756" width="15.28515625" style="2" customWidth="1"/>
    <col min="10757" max="10757" width="16.5703125" style="2" customWidth="1"/>
    <col min="10758" max="10758" width="15" style="2" customWidth="1"/>
    <col min="10759" max="11008" width="9.140625" style="2"/>
    <col min="11009" max="11009" width="0" style="2" hidden="1" customWidth="1"/>
    <col min="11010" max="11010" width="31.7109375" style="2" customWidth="1"/>
    <col min="11011" max="11012" width="15.28515625" style="2" customWidth="1"/>
    <col min="11013" max="11013" width="16.5703125" style="2" customWidth="1"/>
    <col min="11014" max="11014" width="15" style="2" customWidth="1"/>
    <col min="11015" max="11264" width="9.140625" style="2"/>
    <col min="11265" max="11265" width="0" style="2" hidden="1" customWidth="1"/>
    <col min="11266" max="11266" width="31.7109375" style="2" customWidth="1"/>
    <col min="11267" max="11268" width="15.28515625" style="2" customWidth="1"/>
    <col min="11269" max="11269" width="16.5703125" style="2" customWidth="1"/>
    <col min="11270" max="11270" width="15" style="2" customWidth="1"/>
    <col min="11271" max="11520" width="9.140625" style="2"/>
    <col min="11521" max="11521" width="0" style="2" hidden="1" customWidth="1"/>
    <col min="11522" max="11522" width="31.7109375" style="2" customWidth="1"/>
    <col min="11523" max="11524" width="15.28515625" style="2" customWidth="1"/>
    <col min="11525" max="11525" width="16.5703125" style="2" customWidth="1"/>
    <col min="11526" max="11526" width="15" style="2" customWidth="1"/>
    <col min="11527" max="11776" width="9.140625" style="2"/>
    <col min="11777" max="11777" width="0" style="2" hidden="1" customWidth="1"/>
    <col min="11778" max="11778" width="31.7109375" style="2" customWidth="1"/>
    <col min="11779" max="11780" width="15.28515625" style="2" customWidth="1"/>
    <col min="11781" max="11781" width="16.5703125" style="2" customWidth="1"/>
    <col min="11782" max="11782" width="15" style="2" customWidth="1"/>
    <col min="11783" max="12032" width="9.140625" style="2"/>
    <col min="12033" max="12033" width="0" style="2" hidden="1" customWidth="1"/>
    <col min="12034" max="12034" width="31.7109375" style="2" customWidth="1"/>
    <col min="12035" max="12036" width="15.28515625" style="2" customWidth="1"/>
    <col min="12037" max="12037" width="16.5703125" style="2" customWidth="1"/>
    <col min="12038" max="12038" width="15" style="2" customWidth="1"/>
    <col min="12039" max="12288" width="9.140625" style="2"/>
    <col min="12289" max="12289" width="0" style="2" hidden="1" customWidth="1"/>
    <col min="12290" max="12290" width="31.7109375" style="2" customWidth="1"/>
    <col min="12291" max="12292" width="15.28515625" style="2" customWidth="1"/>
    <col min="12293" max="12293" width="16.5703125" style="2" customWidth="1"/>
    <col min="12294" max="12294" width="15" style="2" customWidth="1"/>
    <col min="12295" max="12544" width="9.140625" style="2"/>
    <col min="12545" max="12545" width="0" style="2" hidden="1" customWidth="1"/>
    <col min="12546" max="12546" width="31.7109375" style="2" customWidth="1"/>
    <col min="12547" max="12548" width="15.28515625" style="2" customWidth="1"/>
    <col min="12549" max="12549" width="16.5703125" style="2" customWidth="1"/>
    <col min="12550" max="12550" width="15" style="2" customWidth="1"/>
    <col min="12551" max="12800" width="9.140625" style="2"/>
    <col min="12801" max="12801" width="0" style="2" hidden="1" customWidth="1"/>
    <col min="12802" max="12802" width="31.7109375" style="2" customWidth="1"/>
    <col min="12803" max="12804" width="15.28515625" style="2" customWidth="1"/>
    <col min="12805" max="12805" width="16.5703125" style="2" customWidth="1"/>
    <col min="12806" max="12806" width="15" style="2" customWidth="1"/>
    <col min="12807" max="13056" width="9.140625" style="2"/>
    <col min="13057" max="13057" width="0" style="2" hidden="1" customWidth="1"/>
    <col min="13058" max="13058" width="31.7109375" style="2" customWidth="1"/>
    <col min="13059" max="13060" width="15.28515625" style="2" customWidth="1"/>
    <col min="13061" max="13061" width="16.5703125" style="2" customWidth="1"/>
    <col min="13062" max="13062" width="15" style="2" customWidth="1"/>
    <col min="13063" max="13312" width="9.140625" style="2"/>
    <col min="13313" max="13313" width="0" style="2" hidden="1" customWidth="1"/>
    <col min="13314" max="13314" width="31.7109375" style="2" customWidth="1"/>
    <col min="13315" max="13316" width="15.28515625" style="2" customWidth="1"/>
    <col min="13317" max="13317" width="16.5703125" style="2" customWidth="1"/>
    <col min="13318" max="13318" width="15" style="2" customWidth="1"/>
    <col min="13319" max="13568" width="9.140625" style="2"/>
    <col min="13569" max="13569" width="0" style="2" hidden="1" customWidth="1"/>
    <col min="13570" max="13570" width="31.7109375" style="2" customWidth="1"/>
    <col min="13571" max="13572" width="15.28515625" style="2" customWidth="1"/>
    <col min="13573" max="13573" width="16.5703125" style="2" customWidth="1"/>
    <col min="13574" max="13574" width="15" style="2" customWidth="1"/>
    <col min="13575" max="13824" width="9.140625" style="2"/>
    <col min="13825" max="13825" width="0" style="2" hidden="1" customWidth="1"/>
    <col min="13826" max="13826" width="31.7109375" style="2" customWidth="1"/>
    <col min="13827" max="13828" width="15.28515625" style="2" customWidth="1"/>
    <col min="13829" max="13829" width="16.5703125" style="2" customWidth="1"/>
    <col min="13830" max="13830" width="15" style="2" customWidth="1"/>
    <col min="13831" max="14080" width="9.140625" style="2"/>
    <col min="14081" max="14081" width="0" style="2" hidden="1" customWidth="1"/>
    <col min="14082" max="14082" width="31.7109375" style="2" customWidth="1"/>
    <col min="14083" max="14084" width="15.28515625" style="2" customWidth="1"/>
    <col min="14085" max="14085" width="16.5703125" style="2" customWidth="1"/>
    <col min="14086" max="14086" width="15" style="2" customWidth="1"/>
    <col min="14087" max="14336" width="9.140625" style="2"/>
    <col min="14337" max="14337" width="0" style="2" hidden="1" customWidth="1"/>
    <col min="14338" max="14338" width="31.7109375" style="2" customWidth="1"/>
    <col min="14339" max="14340" width="15.28515625" style="2" customWidth="1"/>
    <col min="14341" max="14341" width="16.5703125" style="2" customWidth="1"/>
    <col min="14342" max="14342" width="15" style="2" customWidth="1"/>
    <col min="14343" max="14592" width="9.140625" style="2"/>
    <col min="14593" max="14593" width="0" style="2" hidden="1" customWidth="1"/>
    <col min="14594" max="14594" width="31.7109375" style="2" customWidth="1"/>
    <col min="14595" max="14596" width="15.28515625" style="2" customWidth="1"/>
    <col min="14597" max="14597" width="16.5703125" style="2" customWidth="1"/>
    <col min="14598" max="14598" width="15" style="2" customWidth="1"/>
    <col min="14599" max="14848" width="9.140625" style="2"/>
    <col min="14849" max="14849" width="0" style="2" hidden="1" customWidth="1"/>
    <col min="14850" max="14850" width="31.7109375" style="2" customWidth="1"/>
    <col min="14851" max="14852" width="15.28515625" style="2" customWidth="1"/>
    <col min="14853" max="14853" width="16.5703125" style="2" customWidth="1"/>
    <col min="14854" max="14854" width="15" style="2" customWidth="1"/>
    <col min="14855" max="15104" width="9.140625" style="2"/>
    <col min="15105" max="15105" width="0" style="2" hidden="1" customWidth="1"/>
    <col min="15106" max="15106" width="31.7109375" style="2" customWidth="1"/>
    <col min="15107" max="15108" width="15.28515625" style="2" customWidth="1"/>
    <col min="15109" max="15109" width="16.5703125" style="2" customWidth="1"/>
    <col min="15110" max="15110" width="15" style="2" customWidth="1"/>
    <col min="15111" max="15360" width="9.140625" style="2"/>
    <col min="15361" max="15361" width="0" style="2" hidden="1" customWidth="1"/>
    <col min="15362" max="15362" width="31.7109375" style="2" customWidth="1"/>
    <col min="15363" max="15364" width="15.28515625" style="2" customWidth="1"/>
    <col min="15365" max="15365" width="16.5703125" style="2" customWidth="1"/>
    <col min="15366" max="15366" width="15" style="2" customWidth="1"/>
    <col min="15367" max="15616" width="9.140625" style="2"/>
    <col min="15617" max="15617" width="0" style="2" hidden="1" customWidth="1"/>
    <col min="15618" max="15618" width="31.7109375" style="2" customWidth="1"/>
    <col min="15619" max="15620" width="15.28515625" style="2" customWidth="1"/>
    <col min="15621" max="15621" width="16.5703125" style="2" customWidth="1"/>
    <col min="15622" max="15622" width="15" style="2" customWidth="1"/>
    <col min="15623" max="15872" width="9.140625" style="2"/>
    <col min="15873" max="15873" width="0" style="2" hidden="1" customWidth="1"/>
    <col min="15874" max="15874" width="31.7109375" style="2" customWidth="1"/>
    <col min="15875" max="15876" width="15.28515625" style="2" customWidth="1"/>
    <col min="15877" max="15877" width="16.5703125" style="2" customWidth="1"/>
    <col min="15878" max="15878" width="15" style="2" customWidth="1"/>
    <col min="15879" max="16128" width="9.140625" style="2"/>
    <col min="16129" max="16129" width="0" style="2" hidden="1" customWidth="1"/>
    <col min="16130" max="16130" width="31.7109375" style="2" customWidth="1"/>
    <col min="16131" max="16132" width="15.28515625" style="2" customWidth="1"/>
    <col min="16133" max="16133" width="16.5703125" style="2" customWidth="1"/>
    <col min="16134" max="16134" width="15" style="2" customWidth="1"/>
    <col min="16135" max="16384" width="9.140625" style="2"/>
  </cols>
  <sheetData>
    <row r="1" spans="1:6" ht="50.25" customHeight="1">
      <c r="B1" s="226" t="s">
        <v>64</v>
      </c>
      <c r="C1" s="227"/>
      <c r="D1" s="227"/>
      <c r="E1" s="227"/>
      <c r="F1" s="228"/>
    </row>
    <row r="2" spans="1:6" ht="15.75" customHeight="1">
      <c r="C2" s="210" t="s">
        <v>1</v>
      </c>
      <c r="D2" s="212" t="s">
        <v>2</v>
      </c>
      <c r="E2" s="212"/>
      <c r="F2" s="210" t="s">
        <v>5</v>
      </c>
    </row>
    <row r="3" spans="1:6" ht="39" customHeight="1">
      <c r="A3" s="4"/>
      <c r="C3" s="211"/>
      <c r="D3" s="31" t="s">
        <v>3</v>
      </c>
      <c r="E3" s="31" t="s">
        <v>4</v>
      </c>
      <c r="F3" s="211"/>
    </row>
    <row r="4" spans="1:6" ht="28.5" customHeight="1">
      <c r="A4" s="4"/>
      <c r="B4" s="11" t="s">
        <v>6</v>
      </c>
      <c r="C4" s="49">
        <v>619</v>
      </c>
      <c r="D4" s="49">
        <v>94</v>
      </c>
      <c r="E4" s="49">
        <v>15</v>
      </c>
      <c r="F4" s="49">
        <v>0</v>
      </c>
    </row>
    <row r="5" spans="1:6" s="41" customFormat="1" ht="26.25" customHeight="1">
      <c r="A5" s="12"/>
      <c r="B5" s="11" t="s">
        <v>7</v>
      </c>
      <c r="C5" s="34">
        <v>433</v>
      </c>
      <c r="D5" s="34">
        <v>63</v>
      </c>
      <c r="E5" s="34">
        <v>11</v>
      </c>
      <c r="F5" s="34">
        <v>0</v>
      </c>
    </row>
    <row r="6" spans="1:6">
      <c r="A6" s="12">
        <v>51</v>
      </c>
      <c r="B6" s="2" t="s">
        <v>8</v>
      </c>
      <c r="C6" s="36">
        <v>14</v>
      </c>
      <c r="D6" s="36">
        <v>0</v>
      </c>
      <c r="E6" s="36">
        <v>0</v>
      </c>
      <c r="F6" s="36">
        <v>0</v>
      </c>
    </row>
    <row r="7" spans="1:6">
      <c r="A7" s="12">
        <v>52</v>
      </c>
      <c r="B7" s="2" t="s">
        <v>9</v>
      </c>
      <c r="C7" s="36">
        <v>14</v>
      </c>
      <c r="D7" s="36">
        <v>1</v>
      </c>
      <c r="E7" s="36">
        <v>0</v>
      </c>
      <c r="F7" s="36">
        <v>0</v>
      </c>
    </row>
    <row r="8" spans="1:6">
      <c r="A8" s="12">
        <v>86</v>
      </c>
      <c r="B8" s="2" t="s">
        <v>10</v>
      </c>
      <c r="C8" s="36">
        <v>12</v>
      </c>
      <c r="D8" s="36">
        <v>2</v>
      </c>
      <c r="E8" s="36">
        <v>0</v>
      </c>
      <c r="F8" s="36">
        <v>0</v>
      </c>
    </row>
    <row r="9" spans="1:6">
      <c r="A9" s="12">
        <v>53</v>
      </c>
      <c r="B9" s="2" t="s">
        <v>11</v>
      </c>
      <c r="C9" s="36">
        <v>4</v>
      </c>
      <c r="D9" s="36">
        <v>0</v>
      </c>
      <c r="E9" s="36">
        <v>0</v>
      </c>
      <c r="F9" s="36">
        <v>0</v>
      </c>
    </row>
    <row r="10" spans="1:6">
      <c r="A10" s="12">
        <v>54</v>
      </c>
      <c r="B10" s="2" t="s">
        <v>12</v>
      </c>
      <c r="C10" s="36">
        <v>21</v>
      </c>
      <c r="D10" s="36">
        <v>3</v>
      </c>
      <c r="E10" s="36">
        <v>1</v>
      </c>
      <c r="F10" s="36">
        <v>0</v>
      </c>
    </row>
    <row r="11" spans="1:6">
      <c r="A11" s="12">
        <v>55</v>
      </c>
      <c r="B11" s="2" t="s">
        <v>13</v>
      </c>
      <c r="C11" s="36">
        <v>9</v>
      </c>
      <c r="D11" s="36">
        <v>2</v>
      </c>
      <c r="E11" s="36">
        <v>0</v>
      </c>
      <c r="F11" s="36">
        <v>0</v>
      </c>
    </row>
    <row r="12" spans="1:6">
      <c r="A12" s="12">
        <v>56</v>
      </c>
      <c r="B12" s="2" t="s">
        <v>14</v>
      </c>
      <c r="C12" s="36">
        <v>18</v>
      </c>
      <c r="D12" s="36">
        <v>0</v>
      </c>
      <c r="E12" s="36">
        <v>2</v>
      </c>
      <c r="F12" s="36">
        <v>0</v>
      </c>
    </row>
    <row r="13" spans="1:6">
      <c r="A13" s="12">
        <v>57</v>
      </c>
      <c r="B13" s="2" t="s">
        <v>15</v>
      </c>
      <c r="C13" s="36">
        <v>5</v>
      </c>
      <c r="D13" s="36">
        <v>0</v>
      </c>
      <c r="E13" s="36">
        <v>0</v>
      </c>
      <c r="F13" s="36">
        <v>0</v>
      </c>
    </row>
    <row r="14" spans="1:6">
      <c r="A14" s="12">
        <v>59</v>
      </c>
      <c r="B14" s="2" t="s">
        <v>16</v>
      </c>
      <c r="C14" s="36">
        <v>6</v>
      </c>
      <c r="D14" s="36">
        <v>1</v>
      </c>
      <c r="E14" s="36">
        <v>0</v>
      </c>
      <c r="F14" s="36">
        <v>0</v>
      </c>
    </row>
    <row r="15" spans="1:6">
      <c r="A15" s="12">
        <v>60</v>
      </c>
      <c r="B15" s="2" t="s">
        <v>17</v>
      </c>
      <c r="C15" s="36">
        <v>8</v>
      </c>
      <c r="D15" s="36">
        <v>0</v>
      </c>
      <c r="E15" s="36">
        <v>0</v>
      </c>
      <c r="F15" s="36">
        <v>0</v>
      </c>
    </row>
    <row r="16" spans="1:6">
      <c r="A16" s="12">
        <v>61</v>
      </c>
      <c r="B16" s="38" t="s">
        <v>18</v>
      </c>
      <c r="C16" s="36">
        <v>2</v>
      </c>
      <c r="D16" s="36">
        <v>0</v>
      </c>
      <c r="E16" s="36">
        <v>0</v>
      </c>
      <c r="F16" s="36">
        <v>0</v>
      </c>
    </row>
    <row r="17" spans="1:6" s="186" customFormat="1">
      <c r="A17" s="12"/>
      <c r="B17" s="132" t="s">
        <v>125</v>
      </c>
      <c r="C17" s="165" t="s">
        <v>126</v>
      </c>
      <c r="D17" s="165" t="s">
        <v>126</v>
      </c>
      <c r="E17" s="165" t="s">
        <v>126</v>
      </c>
      <c r="F17" s="165" t="s">
        <v>126</v>
      </c>
    </row>
    <row r="18" spans="1:6">
      <c r="A18" s="12">
        <v>62</v>
      </c>
      <c r="B18" s="2" t="s">
        <v>19</v>
      </c>
      <c r="C18" s="36">
        <v>6</v>
      </c>
      <c r="D18" s="36">
        <v>1</v>
      </c>
      <c r="E18" s="36">
        <v>0</v>
      </c>
      <c r="F18" s="36">
        <v>0</v>
      </c>
    </row>
    <row r="19" spans="1:6">
      <c r="A19" s="12">
        <v>58</v>
      </c>
      <c r="B19" s="2" t="s">
        <v>20</v>
      </c>
      <c r="C19" s="36">
        <v>2</v>
      </c>
      <c r="D19" s="36">
        <v>0</v>
      </c>
      <c r="E19" s="36">
        <v>0</v>
      </c>
      <c r="F19" s="36">
        <v>0</v>
      </c>
    </row>
    <row r="20" spans="1:6">
      <c r="A20" s="12">
        <v>63</v>
      </c>
      <c r="B20" s="2" t="s">
        <v>21</v>
      </c>
      <c r="C20" s="36">
        <v>9</v>
      </c>
      <c r="D20" s="36">
        <v>1</v>
      </c>
      <c r="E20" s="36">
        <v>2</v>
      </c>
      <c r="F20" s="36">
        <v>0</v>
      </c>
    </row>
    <row r="21" spans="1:6">
      <c r="A21" s="12">
        <v>64</v>
      </c>
      <c r="B21" s="2" t="s">
        <v>22</v>
      </c>
      <c r="C21" s="36">
        <v>35</v>
      </c>
      <c r="D21" s="36">
        <v>4</v>
      </c>
      <c r="E21" s="36">
        <v>1</v>
      </c>
      <c r="F21" s="36">
        <v>0</v>
      </c>
    </row>
    <row r="22" spans="1:6">
      <c r="A22" s="12">
        <v>65</v>
      </c>
      <c r="B22" s="2" t="s">
        <v>23</v>
      </c>
      <c r="C22" s="36">
        <v>10</v>
      </c>
      <c r="D22" s="36">
        <v>3</v>
      </c>
      <c r="E22" s="36">
        <v>1</v>
      </c>
      <c r="F22" s="36">
        <v>0</v>
      </c>
    </row>
    <row r="23" spans="1:6">
      <c r="A23" s="12">
        <v>67</v>
      </c>
      <c r="B23" s="2" t="s">
        <v>24</v>
      </c>
      <c r="C23" s="36">
        <v>20</v>
      </c>
      <c r="D23" s="36">
        <v>3</v>
      </c>
      <c r="E23" s="36">
        <v>1</v>
      </c>
      <c r="F23" s="36">
        <v>0</v>
      </c>
    </row>
    <row r="24" spans="1:6">
      <c r="A24" s="12">
        <v>68</v>
      </c>
      <c r="B24" s="2" t="s">
        <v>25</v>
      </c>
      <c r="C24" s="36">
        <v>11</v>
      </c>
      <c r="D24" s="36">
        <v>1</v>
      </c>
      <c r="E24" s="36">
        <v>0</v>
      </c>
      <c r="F24" s="36">
        <v>0</v>
      </c>
    </row>
    <row r="25" spans="1:6">
      <c r="A25" s="12">
        <v>69</v>
      </c>
      <c r="B25" s="2" t="s">
        <v>26</v>
      </c>
      <c r="C25" s="36">
        <v>15</v>
      </c>
      <c r="D25" s="36">
        <v>2</v>
      </c>
      <c r="E25" s="36">
        <v>1</v>
      </c>
      <c r="F25" s="36">
        <v>0</v>
      </c>
    </row>
    <row r="26" spans="1:6">
      <c r="A26" s="12">
        <v>70</v>
      </c>
      <c r="B26" s="2" t="s">
        <v>27</v>
      </c>
      <c r="C26" s="36">
        <v>18</v>
      </c>
      <c r="D26" s="36">
        <v>3</v>
      </c>
      <c r="E26" s="36">
        <v>0</v>
      </c>
      <c r="F26" s="36">
        <v>0</v>
      </c>
    </row>
    <row r="27" spans="1:6">
      <c r="A27" s="12">
        <v>71</v>
      </c>
      <c r="B27" s="39" t="s">
        <v>28</v>
      </c>
      <c r="C27" s="36">
        <v>1</v>
      </c>
      <c r="D27" s="36">
        <v>0</v>
      </c>
      <c r="E27" s="36">
        <v>0</v>
      </c>
      <c r="F27" s="36">
        <v>0</v>
      </c>
    </row>
    <row r="28" spans="1:6">
      <c r="A28" s="12">
        <v>73</v>
      </c>
      <c r="B28" s="2" t="s">
        <v>29</v>
      </c>
      <c r="C28" s="40">
        <v>11</v>
      </c>
      <c r="D28" s="40">
        <v>4</v>
      </c>
      <c r="E28" s="40">
        <v>1</v>
      </c>
      <c r="F28" s="40">
        <v>0</v>
      </c>
    </row>
    <row r="29" spans="1:6">
      <c r="A29" s="12">
        <v>74</v>
      </c>
      <c r="B29" s="2" t="s">
        <v>30</v>
      </c>
      <c r="C29" s="36">
        <v>14</v>
      </c>
      <c r="D29" s="36">
        <v>2</v>
      </c>
      <c r="E29" s="36">
        <v>0</v>
      </c>
      <c r="F29" s="36">
        <v>0</v>
      </c>
    </row>
    <row r="30" spans="1:6">
      <c r="A30" s="12">
        <v>75</v>
      </c>
      <c r="B30" s="2" t="s">
        <v>31</v>
      </c>
      <c r="C30" s="36">
        <v>13</v>
      </c>
      <c r="D30" s="36">
        <v>1</v>
      </c>
      <c r="E30" s="36">
        <v>0</v>
      </c>
      <c r="F30" s="36">
        <v>0</v>
      </c>
    </row>
    <row r="31" spans="1:6">
      <c r="A31" s="12">
        <v>76</v>
      </c>
      <c r="B31" s="2" t="s">
        <v>32</v>
      </c>
      <c r="C31" s="36">
        <v>13</v>
      </c>
      <c r="D31" s="36">
        <v>1</v>
      </c>
      <c r="E31" s="36">
        <v>0</v>
      </c>
      <c r="F31" s="36">
        <v>0</v>
      </c>
    </row>
    <row r="32" spans="1:6">
      <c r="A32" s="12">
        <v>79</v>
      </c>
      <c r="B32" s="2" t="s">
        <v>33</v>
      </c>
      <c r="C32" s="36">
        <v>15</v>
      </c>
      <c r="D32" s="36">
        <v>1</v>
      </c>
      <c r="E32" s="36">
        <v>0</v>
      </c>
      <c r="F32" s="36">
        <v>0</v>
      </c>
    </row>
    <row r="33" spans="1:6">
      <c r="A33" s="12">
        <v>80</v>
      </c>
      <c r="B33" s="2" t="s">
        <v>34</v>
      </c>
      <c r="C33" s="36">
        <v>11</v>
      </c>
      <c r="D33" s="36">
        <v>4</v>
      </c>
      <c r="E33" s="36">
        <v>0</v>
      </c>
      <c r="F33" s="36">
        <v>0</v>
      </c>
    </row>
    <row r="34" spans="1:6">
      <c r="A34" s="12">
        <v>81</v>
      </c>
      <c r="B34" s="2" t="s">
        <v>35</v>
      </c>
      <c r="C34" s="36">
        <v>11</v>
      </c>
      <c r="D34" s="36">
        <v>1</v>
      </c>
      <c r="E34" s="36">
        <v>1</v>
      </c>
      <c r="F34" s="36">
        <v>0</v>
      </c>
    </row>
    <row r="35" spans="1:6">
      <c r="A35" s="12">
        <v>83</v>
      </c>
      <c r="B35" s="2" t="s">
        <v>36</v>
      </c>
      <c r="C35" s="36">
        <v>3</v>
      </c>
      <c r="D35" s="36">
        <v>1</v>
      </c>
      <c r="E35" s="36">
        <v>0</v>
      </c>
      <c r="F35" s="36">
        <v>0</v>
      </c>
    </row>
    <row r="36" spans="1:6">
      <c r="A36" s="12">
        <v>84</v>
      </c>
      <c r="B36" s="2" t="s">
        <v>37</v>
      </c>
      <c r="C36" s="36">
        <v>13</v>
      </c>
      <c r="D36" s="36">
        <v>4</v>
      </c>
      <c r="E36" s="36">
        <v>0</v>
      </c>
      <c r="F36" s="36">
        <v>0</v>
      </c>
    </row>
    <row r="37" spans="1:6">
      <c r="A37" s="12">
        <v>85</v>
      </c>
      <c r="B37" s="2" t="s">
        <v>38</v>
      </c>
      <c r="C37" s="36">
        <v>8</v>
      </c>
      <c r="D37" s="36">
        <v>2</v>
      </c>
      <c r="E37" s="36">
        <v>0</v>
      </c>
      <c r="F37" s="36">
        <v>0</v>
      </c>
    </row>
    <row r="38" spans="1:6">
      <c r="A38" s="12">
        <v>87</v>
      </c>
      <c r="B38" s="2" t="s">
        <v>39</v>
      </c>
      <c r="C38" s="36">
        <v>3</v>
      </c>
      <c r="D38" s="36">
        <v>1</v>
      </c>
      <c r="E38" s="36">
        <v>0</v>
      </c>
      <c r="F38" s="36">
        <v>0</v>
      </c>
    </row>
    <row r="39" spans="1:6">
      <c r="A39" s="12">
        <v>90</v>
      </c>
      <c r="B39" s="2" t="s">
        <v>40</v>
      </c>
      <c r="C39" s="36">
        <v>23</v>
      </c>
      <c r="D39" s="36">
        <v>5</v>
      </c>
      <c r="E39" s="36">
        <v>0</v>
      </c>
      <c r="F39" s="36">
        <v>0</v>
      </c>
    </row>
    <row r="40" spans="1:6">
      <c r="A40" s="12">
        <v>91</v>
      </c>
      <c r="B40" s="2" t="s">
        <v>41</v>
      </c>
      <c r="C40" s="36">
        <v>9</v>
      </c>
      <c r="D40" s="36">
        <v>1</v>
      </c>
      <c r="E40" s="36">
        <v>0</v>
      </c>
      <c r="F40" s="36">
        <v>0</v>
      </c>
    </row>
    <row r="41" spans="1:6">
      <c r="A41" s="12">
        <v>92</v>
      </c>
      <c r="B41" s="2" t="s">
        <v>42</v>
      </c>
      <c r="C41" s="36">
        <v>19</v>
      </c>
      <c r="D41" s="36">
        <v>1</v>
      </c>
      <c r="E41" s="36">
        <v>0</v>
      </c>
      <c r="F41" s="36">
        <v>0</v>
      </c>
    </row>
    <row r="42" spans="1:6">
      <c r="A42" s="12">
        <v>94</v>
      </c>
      <c r="B42" s="2" t="s">
        <v>43</v>
      </c>
      <c r="C42" s="36">
        <v>9</v>
      </c>
      <c r="D42" s="36">
        <v>3</v>
      </c>
      <c r="E42" s="36">
        <v>0</v>
      </c>
      <c r="F42" s="36">
        <v>0</v>
      </c>
    </row>
    <row r="43" spans="1:6">
      <c r="A43" s="12">
        <v>96</v>
      </c>
      <c r="B43" s="2" t="s">
        <v>44</v>
      </c>
      <c r="C43" s="36">
        <v>10</v>
      </c>
      <c r="D43" s="36">
        <v>1</v>
      </c>
      <c r="E43" s="36">
        <v>0</v>
      </c>
      <c r="F43" s="36">
        <v>0</v>
      </c>
    </row>
    <row r="44" spans="1:6">
      <c r="A44" s="12">
        <v>98</v>
      </c>
      <c r="B44" s="2" t="s">
        <v>45</v>
      </c>
      <c r="C44" s="36">
        <v>8</v>
      </c>
      <c r="D44" s="36">
        <v>3</v>
      </c>
      <c r="E44" s="36">
        <v>0</v>
      </c>
      <c r="F44" s="36">
        <v>0</v>
      </c>
    </row>
    <row r="45" spans="1:6">
      <c r="A45" s="12">
        <v>72</v>
      </c>
      <c r="B45" s="39" t="s">
        <v>46</v>
      </c>
      <c r="C45" s="36">
        <v>0</v>
      </c>
      <c r="D45" s="36">
        <v>0</v>
      </c>
      <c r="E45" s="36">
        <v>0</v>
      </c>
      <c r="F45" s="36">
        <v>0</v>
      </c>
    </row>
    <row r="46" spans="1:6" s="41" customFormat="1" ht="26.25" customHeight="1">
      <c r="A46" s="1"/>
      <c r="B46" s="11" t="s">
        <v>47</v>
      </c>
      <c r="C46" s="34">
        <v>186</v>
      </c>
      <c r="D46" s="34">
        <v>31</v>
      </c>
      <c r="E46" s="34">
        <v>4</v>
      </c>
      <c r="F46" s="34">
        <v>0</v>
      </c>
    </row>
    <row r="47" spans="1:6">
      <c r="A47" s="12">
        <v>66</v>
      </c>
      <c r="B47" s="2" t="s">
        <v>48</v>
      </c>
      <c r="C47" s="36">
        <v>24</v>
      </c>
      <c r="D47" s="36">
        <v>1</v>
      </c>
      <c r="E47" s="36">
        <v>0</v>
      </c>
      <c r="F47" s="36">
        <v>0</v>
      </c>
    </row>
    <row r="48" spans="1:6">
      <c r="A48" s="12">
        <v>78</v>
      </c>
      <c r="B48" s="2" t="s">
        <v>49</v>
      </c>
      <c r="C48" s="37">
        <v>15</v>
      </c>
      <c r="D48" s="37">
        <v>3</v>
      </c>
      <c r="E48" s="37">
        <v>0</v>
      </c>
      <c r="F48" s="37">
        <v>0</v>
      </c>
    </row>
    <row r="49" spans="1:6">
      <c r="A49" s="12">
        <v>89</v>
      </c>
      <c r="B49" s="2" t="s">
        <v>50</v>
      </c>
      <c r="C49" s="37">
        <v>24</v>
      </c>
      <c r="D49" s="37">
        <v>2</v>
      </c>
      <c r="E49" s="37">
        <v>3</v>
      </c>
      <c r="F49" s="37">
        <v>0</v>
      </c>
    </row>
    <row r="50" spans="1:6">
      <c r="A50" s="12">
        <v>93</v>
      </c>
      <c r="B50" s="2" t="s">
        <v>51</v>
      </c>
      <c r="C50" s="37">
        <v>22</v>
      </c>
      <c r="D50" s="37">
        <v>5</v>
      </c>
      <c r="E50" s="37">
        <v>1</v>
      </c>
      <c r="F50" s="37">
        <v>0</v>
      </c>
    </row>
    <row r="51" spans="1:6">
      <c r="A51" s="12">
        <v>95</v>
      </c>
      <c r="B51" s="2" t="s">
        <v>52</v>
      </c>
      <c r="C51" s="37">
        <v>36</v>
      </c>
      <c r="D51" s="37">
        <v>6</v>
      </c>
      <c r="E51" s="37">
        <v>0</v>
      </c>
      <c r="F51" s="37">
        <v>0</v>
      </c>
    </row>
    <row r="52" spans="1:6">
      <c r="A52" s="12">
        <v>97</v>
      </c>
      <c r="B52" s="2" t="s">
        <v>53</v>
      </c>
      <c r="C52" s="37">
        <v>35</v>
      </c>
      <c r="D52" s="37">
        <v>7</v>
      </c>
      <c r="E52" s="37">
        <v>0</v>
      </c>
      <c r="F52" s="37">
        <v>0</v>
      </c>
    </row>
    <row r="53" spans="1:6">
      <c r="A53" s="12">
        <v>77</v>
      </c>
      <c r="B53" s="43" t="s">
        <v>54</v>
      </c>
      <c r="C53" s="45">
        <v>30</v>
      </c>
      <c r="D53" s="45">
        <v>7</v>
      </c>
      <c r="E53" s="45">
        <v>0</v>
      </c>
      <c r="F53" s="45">
        <v>0</v>
      </c>
    </row>
    <row r="54" spans="1:6">
      <c r="C54" s="25"/>
      <c r="D54" s="25"/>
      <c r="E54" s="25"/>
      <c r="F54" s="25"/>
    </row>
    <row r="55" spans="1:6">
      <c r="B55" s="12" t="s">
        <v>55</v>
      </c>
    </row>
    <row r="56" spans="1:6" ht="23.25" customHeight="1">
      <c r="B56" s="201" t="s">
        <v>65</v>
      </c>
      <c r="C56" s="202"/>
      <c r="D56" s="202"/>
      <c r="E56" s="202"/>
      <c r="F56" s="202"/>
    </row>
    <row r="57" spans="1:6" ht="15" customHeight="1">
      <c r="B57" s="202"/>
      <c r="C57" s="202"/>
      <c r="D57" s="202"/>
      <c r="E57" s="202"/>
      <c r="F57" s="202"/>
    </row>
    <row r="58" spans="1:6" ht="13.5" customHeight="1">
      <c r="B58" s="202"/>
      <c r="C58" s="202"/>
      <c r="D58" s="202"/>
      <c r="E58" s="202"/>
      <c r="F58" s="202"/>
    </row>
    <row r="59" spans="1:6" ht="12.75" customHeight="1">
      <c r="B59" s="202"/>
      <c r="C59" s="202"/>
      <c r="D59" s="202"/>
      <c r="E59" s="202"/>
      <c r="F59" s="202"/>
    </row>
    <row r="60" spans="1:6" ht="15.75" customHeight="1">
      <c r="B60" s="202"/>
      <c r="C60" s="202"/>
      <c r="D60" s="202"/>
      <c r="E60" s="202"/>
      <c r="F60" s="202"/>
    </row>
    <row r="61" spans="1:6" ht="39" customHeight="1">
      <c r="B61" s="202"/>
      <c r="C61" s="202"/>
      <c r="D61" s="202"/>
      <c r="E61" s="202"/>
      <c r="F61" s="202"/>
    </row>
    <row r="62" spans="1:6" ht="15" customHeight="1">
      <c r="B62" s="53"/>
      <c r="C62" s="53"/>
      <c r="D62" s="53"/>
      <c r="E62" s="53"/>
      <c r="F62" s="53"/>
    </row>
    <row r="63" spans="1:6">
      <c r="B63" s="24" t="s">
        <v>57</v>
      </c>
    </row>
    <row r="65" spans="2:2">
      <c r="B65" s="27"/>
    </row>
  </sheetData>
  <mergeCells count="5">
    <mergeCell ref="B1:F1"/>
    <mergeCell ref="C2:C3"/>
    <mergeCell ref="D2:E2"/>
    <mergeCell ref="F2:F3"/>
    <mergeCell ref="B56:F6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K68"/>
  <sheetViews>
    <sheetView showGridLines="0" zoomScale="85" workbookViewId="0">
      <pane xSplit="2" ySplit="3" topLeftCell="C4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RowHeight="12.75"/>
  <cols>
    <col min="1" max="1" width="5.7109375" style="1" hidden="1" customWidth="1"/>
    <col min="2" max="2" width="28.7109375" style="2" customWidth="1"/>
    <col min="3" max="4" width="20" style="2" customWidth="1"/>
    <col min="5" max="5" width="15.140625" style="2" customWidth="1"/>
    <col min="6" max="6" width="17.7109375" style="2" customWidth="1"/>
    <col min="7" max="256" width="9.140625" style="2"/>
    <col min="257" max="257" width="0" style="2" hidden="1" customWidth="1"/>
    <col min="258" max="258" width="28.7109375" style="2" customWidth="1"/>
    <col min="259" max="260" width="20" style="2" customWidth="1"/>
    <col min="261" max="261" width="15.140625" style="2" customWidth="1"/>
    <col min="262" max="262" width="17.7109375" style="2" customWidth="1"/>
    <col min="263" max="512" width="9.140625" style="2"/>
    <col min="513" max="513" width="0" style="2" hidden="1" customWidth="1"/>
    <col min="514" max="514" width="28.7109375" style="2" customWidth="1"/>
    <col min="515" max="516" width="20" style="2" customWidth="1"/>
    <col min="517" max="517" width="15.140625" style="2" customWidth="1"/>
    <col min="518" max="518" width="17.7109375" style="2" customWidth="1"/>
    <col min="519" max="768" width="9.140625" style="2"/>
    <col min="769" max="769" width="0" style="2" hidden="1" customWidth="1"/>
    <col min="770" max="770" width="28.7109375" style="2" customWidth="1"/>
    <col min="771" max="772" width="20" style="2" customWidth="1"/>
    <col min="773" max="773" width="15.140625" style="2" customWidth="1"/>
    <col min="774" max="774" width="17.7109375" style="2" customWidth="1"/>
    <col min="775" max="1024" width="9.140625" style="2"/>
    <col min="1025" max="1025" width="0" style="2" hidden="1" customWidth="1"/>
    <col min="1026" max="1026" width="28.7109375" style="2" customWidth="1"/>
    <col min="1027" max="1028" width="20" style="2" customWidth="1"/>
    <col min="1029" max="1029" width="15.140625" style="2" customWidth="1"/>
    <col min="1030" max="1030" width="17.7109375" style="2" customWidth="1"/>
    <col min="1031" max="1280" width="9.140625" style="2"/>
    <col min="1281" max="1281" width="0" style="2" hidden="1" customWidth="1"/>
    <col min="1282" max="1282" width="28.7109375" style="2" customWidth="1"/>
    <col min="1283" max="1284" width="20" style="2" customWidth="1"/>
    <col min="1285" max="1285" width="15.140625" style="2" customWidth="1"/>
    <col min="1286" max="1286" width="17.7109375" style="2" customWidth="1"/>
    <col min="1287" max="1536" width="9.140625" style="2"/>
    <col min="1537" max="1537" width="0" style="2" hidden="1" customWidth="1"/>
    <col min="1538" max="1538" width="28.7109375" style="2" customWidth="1"/>
    <col min="1539" max="1540" width="20" style="2" customWidth="1"/>
    <col min="1541" max="1541" width="15.140625" style="2" customWidth="1"/>
    <col min="1542" max="1542" width="17.7109375" style="2" customWidth="1"/>
    <col min="1543" max="1792" width="9.140625" style="2"/>
    <col min="1793" max="1793" width="0" style="2" hidden="1" customWidth="1"/>
    <col min="1794" max="1794" width="28.7109375" style="2" customWidth="1"/>
    <col min="1795" max="1796" width="20" style="2" customWidth="1"/>
    <col min="1797" max="1797" width="15.140625" style="2" customWidth="1"/>
    <col min="1798" max="1798" width="17.7109375" style="2" customWidth="1"/>
    <col min="1799" max="2048" width="9.140625" style="2"/>
    <col min="2049" max="2049" width="0" style="2" hidden="1" customWidth="1"/>
    <col min="2050" max="2050" width="28.7109375" style="2" customWidth="1"/>
    <col min="2051" max="2052" width="20" style="2" customWidth="1"/>
    <col min="2053" max="2053" width="15.140625" style="2" customWidth="1"/>
    <col min="2054" max="2054" width="17.7109375" style="2" customWidth="1"/>
    <col min="2055" max="2304" width="9.140625" style="2"/>
    <col min="2305" max="2305" width="0" style="2" hidden="1" customWidth="1"/>
    <col min="2306" max="2306" width="28.7109375" style="2" customWidth="1"/>
    <col min="2307" max="2308" width="20" style="2" customWidth="1"/>
    <col min="2309" max="2309" width="15.140625" style="2" customWidth="1"/>
    <col min="2310" max="2310" width="17.7109375" style="2" customWidth="1"/>
    <col min="2311" max="2560" width="9.140625" style="2"/>
    <col min="2561" max="2561" width="0" style="2" hidden="1" customWidth="1"/>
    <col min="2562" max="2562" width="28.7109375" style="2" customWidth="1"/>
    <col min="2563" max="2564" width="20" style="2" customWidth="1"/>
    <col min="2565" max="2565" width="15.140625" style="2" customWidth="1"/>
    <col min="2566" max="2566" width="17.7109375" style="2" customWidth="1"/>
    <col min="2567" max="2816" width="9.140625" style="2"/>
    <col min="2817" max="2817" width="0" style="2" hidden="1" customWidth="1"/>
    <col min="2818" max="2818" width="28.7109375" style="2" customWidth="1"/>
    <col min="2819" max="2820" width="20" style="2" customWidth="1"/>
    <col min="2821" max="2821" width="15.140625" style="2" customWidth="1"/>
    <col min="2822" max="2822" width="17.7109375" style="2" customWidth="1"/>
    <col min="2823" max="3072" width="9.140625" style="2"/>
    <col min="3073" max="3073" width="0" style="2" hidden="1" customWidth="1"/>
    <col min="3074" max="3074" width="28.7109375" style="2" customWidth="1"/>
    <col min="3075" max="3076" width="20" style="2" customWidth="1"/>
    <col min="3077" max="3077" width="15.140625" style="2" customWidth="1"/>
    <col min="3078" max="3078" width="17.7109375" style="2" customWidth="1"/>
    <col min="3079" max="3328" width="9.140625" style="2"/>
    <col min="3329" max="3329" width="0" style="2" hidden="1" customWidth="1"/>
    <col min="3330" max="3330" width="28.7109375" style="2" customWidth="1"/>
    <col min="3331" max="3332" width="20" style="2" customWidth="1"/>
    <col min="3333" max="3333" width="15.140625" style="2" customWidth="1"/>
    <col min="3334" max="3334" width="17.7109375" style="2" customWidth="1"/>
    <col min="3335" max="3584" width="9.140625" style="2"/>
    <col min="3585" max="3585" width="0" style="2" hidden="1" customWidth="1"/>
    <col min="3586" max="3586" width="28.7109375" style="2" customWidth="1"/>
    <col min="3587" max="3588" width="20" style="2" customWidth="1"/>
    <col min="3589" max="3589" width="15.140625" style="2" customWidth="1"/>
    <col min="3590" max="3590" width="17.7109375" style="2" customWidth="1"/>
    <col min="3591" max="3840" width="9.140625" style="2"/>
    <col min="3841" max="3841" width="0" style="2" hidden="1" customWidth="1"/>
    <col min="3842" max="3842" width="28.7109375" style="2" customWidth="1"/>
    <col min="3843" max="3844" width="20" style="2" customWidth="1"/>
    <col min="3845" max="3845" width="15.140625" style="2" customWidth="1"/>
    <col min="3846" max="3846" width="17.7109375" style="2" customWidth="1"/>
    <col min="3847" max="4096" width="9.140625" style="2"/>
    <col min="4097" max="4097" width="0" style="2" hidden="1" customWidth="1"/>
    <col min="4098" max="4098" width="28.7109375" style="2" customWidth="1"/>
    <col min="4099" max="4100" width="20" style="2" customWidth="1"/>
    <col min="4101" max="4101" width="15.140625" style="2" customWidth="1"/>
    <col min="4102" max="4102" width="17.7109375" style="2" customWidth="1"/>
    <col min="4103" max="4352" width="9.140625" style="2"/>
    <col min="4353" max="4353" width="0" style="2" hidden="1" customWidth="1"/>
    <col min="4354" max="4354" width="28.7109375" style="2" customWidth="1"/>
    <col min="4355" max="4356" width="20" style="2" customWidth="1"/>
    <col min="4357" max="4357" width="15.140625" style="2" customWidth="1"/>
    <col min="4358" max="4358" width="17.7109375" style="2" customWidth="1"/>
    <col min="4359" max="4608" width="9.140625" style="2"/>
    <col min="4609" max="4609" width="0" style="2" hidden="1" customWidth="1"/>
    <col min="4610" max="4610" width="28.7109375" style="2" customWidth="1"/>
    <col min="4611" max="4612" width="20" style="2" customWidth="1"/>
    <col min="4613" max="4613" width="15.140625" style="2" customWidth="1"/>
    <col min="4614" max="4614" width="17.7109375" style="2" customWidth="1"/>
    <col min="4615" max="4864" width="9.140625" style="2"/>
    <col min="4865" max="4865" width="0" style="2" hidden="1" customWidth="1"/>
    <col min="4866" max="4866" width="28.7109375" style="2" customWidth="1"/>
    <col min="4867" max="4868" width="20" style="2" customWidth="1"/>
    <col min="4869" max="4869" width="15.140625" style="2" customWidth="1"/>
    <col min="4870" max="4870" width="17.7109375" style="2" customWidth="1"/>
    <col min="4871" max="5120" width="9.140625" style="2"/>
    <col min="5121" max="5121" width="0" style="2" hidden="1" customWidth="1"/>
    <col min="5122" max="5122" width="28.7109375" style="2" customWidth="1"/>
    <col min="5123" max="5124" width="20" style="2" customWidth="1"/>
    <col min="5125" max="5125" width="15.140625" style="2" customWidth="1"/>
    <col min="5126" max="5126" width="17.7109375" style="2" customWidth="1"/>
    <col min="5127" max="5376" width="9.140625" style="2"/>
    <col min="5377" max="5377" width="0" style="2" hidden="1" customWidth="1"/>
    <col min="5378" max="5378" width="28.7109375" style="2" customWidth="1"/>
    <col min="5379" max="5380" width="20" style="2" customWidth="1"/>
    <col min="5381" max="5381" width="15.140625" style="2" customWidth="1"/>
    <col min="5382" max="5382" width="17.7109375" style="2" customWidth="1"/>
    <col min="5383" max="5632" width="9.140625" style="2"/>
    <col min="5633" max="5633" width="0" style="2" hidden="1" customWidth="1"/>
    <col min="5634" max="5634" width="28.7109375" style="2" customWidth="1"/>
    <col min="5635" max="5636" width="20" style="2" customWidth="1"/>
    <col min="5637" max="5637" width="15.140625" style="2" customWidth="1"/>
    <col min="5638" max="5638" width="17.7109375" style="2" customWidth="1"/>
    <col min="5639" max="5888" width="9.140625" style="2"/>
    <col min="5889" max="5889" width="0" style="2" hidden="1" customWidth="1"/>
    <col min="5890" max="5890" width="28.7109375" style="2" customWidth="1"/>
    <col min="5891" max="5892" width="20" style="2" customWidth="1"/>
    <col min="5893" max="5893" width="15.140625" style="2" customWidth="1"/>
    <col min="5894" max="5894" width="17.7109375" style="2" customWidth="1"/>
    <col min="5895" max="6144" width="9.140625" style="2"/>
    <col min="6145" max="6145" width="0" style="2" hidden="1" customWidth="1"/>
    <col min="6146" max="6146" width="28.7109375" style="2" customWidth="1"/>
    <col min="6147" max="6148" width="20" style="2" customWidth="1"/>
    <col min="6149" max="6149" width="15.140625" style="2" customWidth="1"/>
    <col min="6150" max="6150" width="17.7109375" style="2" customWidth="1"/>
    <col min="6151" max="6400" width="9.140625" style="2"/>
    <col min="6401" max="6401" width="0" style="2" hidden="1" customWidth="1"/>
    <col min="6402" max="6402" width="28.7109375" style="2" customWidth="1"/>
    <col min="6403" max="6404" width="20" style="2" customWidth="1"/>
    <col min="6405" max="6405" width="15.140625" style="2" customWidth="1"/>
    <col min="6406" max="6406" width="17.7109375" style="2" customWidth="1"/>
    <col min="6407" max="6656" width="9.140625" style="2"/>
    <col min="6657" max="6657" width="0" style="2" hidden="1" customWidth="1"/>
    <col min="6658" max="6658" width="28.7109375" style="2" customWidth="1"/>
    <col min="6659" max="6660" width="20" style="2" customWidth="1"/>
    <col min="6661" max="6661" width="15.140625" style="2" customWidth="1"/>
    <col min="6662" max="6662" width="17.7109375" style="2" customWidth="1"/>
    <col min="6663" max="6912" width="9.140625" style="2"/>
    <col min="6913" max="6913" width="0" style="2" hidden="1" customWidth="1"/>
    <col min="6914" max="6914" width="28.7109375" style="2" customWidth="1"/>
    <col min="6915" max="6916" width="20" style="2" customWidth="1"/>
    <col min="6917" max="6917" width="15.140625" style="2" customWidth="1"/>
    <col min="6918" max="6918" width="17.7109375" style="2" customWidth="1"/>
    <col min="6919" max="7168" width="9.140625" style="2"/>
    <col min="7169" max="7169" width="0" style="2" hidden="1" customWidth="1"/>
    <col min="7170" max="7170" width="28.7109375" style="2" customWidth="1"/>
    <col min="7171" max="7172" width="20" style="2" customWidth="1"/>
    <col min="7173" max="7173" width="15.140625" style="2" customWidth="1"/>
    <col min="7174" max="7174" width="17.7109375" style="2" customWidth="1"/>
    <col min="7175" max="7424" width="9.140625" style="2"/>
    <col min="7425" max="7425" width="0" style="2" hidden="1" customWidth="1"/>
    <col min="7426" max="7426" width="28.7109375" style="2" customWidth="1"/>
    <col min="7427" max="7428" width="20" style="2" customWidth="1"/>
    <col min="7429" max="7429" width="15.140625" style="2" customWidth="1"/>
    <col min="7430" max="7430" width="17.7109375" style="2" customWidth="1"/>
    <col min="7431" max="7680" width="9.140625" style="2"/>
    <col min="7681" max="7681" width="0" style="2" hidden="1" customWidth="1"/>
    <col min="7682" max="7682" width="28.7109375" style="2" customWidth="1"/>
    <col min="7683" max="7684" width="20" style="2" customWidth="1"/>
    <col min="7685" max="7685" width="15.140625" style="2" customWidth="1"/>
    <col min="7686" max="7686" width="17.7109375" style="2" customWidth="1"/>
    <col min="7687" max="7936" width="9.140625" style="2"/>
    <col min="7937" max="7937" width="0" style="2" hidden="1" customWidth="1"/>
    <col min="7938" max="7938" width="28.7109375" style="2" customWidth="1"/>
    <col min="7939" max="7940" width="20" style="2" customWidth="1"/>
    <col min="7941" max="7941" width="15.140625" style="2" customWidth="1"/>
    <col min="7942" max="7942" width="17.7109375" style="2" customWidth="1"/>
    <col min="7943" max="8192" width="9.140625" style="2"/>
    <col min="8193" max="8193" width="0" style="2" hidden="1" customWidth="1"/>
    <col min="8194" max="8194" width="28.7109375" style="2" customWidth="1"/>
    <col min="8195" max="8196" width="20" style="2" customWidth="1"/>
    <col min="8197" max="8197" width="15.140625" style="2" customWidth="1"/>
    <col min="8198" max="8198" width="17.7109375" style="2" customWidth="1"/>
    <col min="8199" max="8448" width="9.140625" style="2"/>
    <col min="8449" max="8449" width="0" style="2" hidden="1" customWidth="1"/>
    <col min="8450" max="8450" width="28.7109375" style="2" customWidth="1"/>
    <col min="8451" max="8452" width="20" style="2" customWidth="1"/>
    <col min="8453" max="8453" width="15.140625" style="2" customWidth="1"/>
    <col min="8454" max="8454" width="17.7109375" style="2" customWidth="1"/>
    <col min="8455" max="8704" width="9.140625" style="2"/>
    <col min="8705" max="8705" width="0" style="2" hidden="1" customWidth="1"/>
    <col min="8706" max="8706" width="28.7109375" style="2" customWidth="1"/>
    <col min="8707" max="8708" width="20" style="2" customWidth="1"/>
    <col min="8709" max="8709" width="15.140625" style="2" customWidth="1"/>
    <col min="8710" max="8710" width="17.7109375" style="2" customWidth="1"/>
    <col min="8711" max="8960" width="9.140625" style="2"/>
    <col min="8961" max="8961" width="0" style="2" hidden="1" customWidth="1"/>
    <col min="8962" max="8962" width="28.7109375" style="2" customWidth="1"/>
    <col min="8963" max="8964" width="20" style="2" customWidth="1"/>
    <col min="8965" max="8965" width="15.140625" style="2" customWidth="1"/>
    <col min="8966" max="8966" width="17.7109375" style="2" customWidth="1"/>
    <col min="8967" max="9216" width="9.140625" style="2"/>
    <col min="9217" max="9217" width="0" style="2" hidden="1" customWidth="1"/>
    <col min="9218" max="9218" width="28.7109375" style="2" customWidth="1"/>
    <col min="9219" max="9220" width="20" style="2" customWidth="1"/>
    <col min="9221" max="9221" width="15.140625" style="2" customWidth="1"/>
    <col min="9222" max="9222" width="17.7109375" style="2" customWidth="1"/>
    <col min="9223" max="9472" width="9.140625" style="2"/>
    <col min="9473" max="9473" width="0" style="2" hidden="1" customWidth="1"/>
    <col min="9474" max="9474" width="28.7109375" style="2" customWidth="1"/>
    <col min="9475" max="9476" width="20" style="2" customWidth="1"/>
    <col min="9477" max="9477" width="15.140625" style="2" customWidth="1"/>
    <col min="9478" max="9478" width="17.7109375" style="2" customWidth="1"/>
    <col min="9479" max="9728" width="9.140625" style="2"/>
    <col min="9729" max="9729" width="0" style="2" hidden="1" customWidth="1"/>
    <col min="9730" max="9730" width="28.7109375" style="2" customWidth="1"/>
    <col min="9731" max="9732" width="20" style="2" customWidth="1"/>
    <col min="9733" max="9733" width="15.140625" style="2" customWidth="1"/>
    <col min="9734" max="9734" width="17.7109375" style="2" customWidth="1"/>
    <col min="9735" max="9984" width="9.140625" style="2"/>
    <col min="9985" max="9985" width="0" style="2" hidden="1" customWidth="1"/>
    <col min="9986" max="9986" width="28.7109375" style="2" customWidth="1"/>
    <col min="9987" max="9988" width="20" style="2" customWidth="1"/>
    <col min="9989" max="9989" width="15.140625" style="2" customWidth="1"/>
    <col min="9990" max="9990" width="17.7109375" style="2" customWidth="1"/>
    <col min="9991" max="10240" width="9.140625" style="2"/>
    <col min="10241" max="10241" width="0" style="2" hidden="1" customWidth="1"/>
    <col min="10242" max="10242" width="28.7109375" style="2" customWidth="1"/>
    <col min="10243" max="10244" width="20" style="2" customWidth="1"/>
    <col min="10245" max="10245" width="15.140625" style="2" customWidth="1"/>
    <col min="10246" max="10246" width="17.7109375" style="2" customWidth="1"/>
    <col min="10247" max="10496" width="9.140625" style="2"/>
    <col min="10497" max="10497" width="0" style="2" hidden="1" customWidth="1"/>
    <col min="10498" max="10498" width="28.7109375" style="2" customWidth="1"/>
    <col min="10499" max="10500" width="20" style="2" customWidth="1"/>
    <col min="10501" max="10501" width="15.140625" style="2" customWidth="1"/>
    <col min="10502" max="10502" width="17.7109375" style="2" customWidth="1"/>
    <col min="10503" max="10752" width="9.140625" style="2"/>
    <col min="10753" max="10753" width="0" style="2" hidden="1" customWidth="1"/>
    <col min="10754" max="10754" width="28.7109375" style="2" customWidth="1"/>
    <col min="10755" max="10756" width="20" style="2" customWidth="1"/>
    <col min="10757" max="10757" width="15.140625" style="2" customWidth="1"/>
    <col min="10758" max="10758" width="17.7109375" style="2" customWidth="1"/>
    <col min="10759" max="11008" width="9.140625" style="2"/>
    <col min="11009" max="11009" width="0" style="2" hidden="1" customWidth="1"/>
    <col min="11010" max="11010" width="28.7109375" style="2" customWidth="1"/>
    <col min="11011" max="11012" width="20" style="2" customWidth="1"/>
    <col min="11013" max="11013" width="15.140625" style="2" customWidth="1"/>
    <col min="11014" max="11014" width="17.7109375" style="2" customWidth="1"/>
    <col min="11015" max="11264" width="9.140625" style="2"/>
    <col min="11265" max="11265" width="0" style="2" hidden="1" customWidth="1"/>
    <col min="11266" max="11266" width="28.7109375" style="2" customWidth="1"/>
    <col min="11267" max="11268" width="20" style="2" customWidth="1"/>
    <col min="11269" max="11269" width="15.140625" style="2" customWidth="1"/>
    <col min="11270" max="11270" width="17.7109375" style="2" customWidth="1"/>
    <col min="11271" max="11520" width="9.140625" style="2"/>
    <col min="11521" max="11521" width="0" style="2" hidden="1" customWidth="1"/>
    <col min="11522" max="11522" width="28.7109375" style="2" customWidth="1"/>
    <col min="11523" max="11524" width="20" style="2" customWidth="1"/>
    <col min="11525" max="11525" width="15.140625" style="2" customWidth="1"/>
    <col min="11526" max="11526" width="17.7109375" style="2" customWidth="1"/>
    <col min="11527" max="11776" width="9.140625" style="2"/>
    <col min="11777" max="11777" width="0" style="2" hidden="1" customWidth="1"/>
    <col min="11778" max="11778" width="28.7109375" style="2" customWidth="1"/>
    <col min="11779" max="11780" width="20" style="2" customWidth="1"/>
    <col min="11781" max="11781" width="15.140625" style="2" customWidth="1"/>
    <col min="11782" max="11782" width="17.7109375" style="2" customWidth="1"/>
    <col min="11783" max="12032" width="9.140625" style="2"/>
    <col min="12033" max="12033" width="0" style="2" hidden="1" customWidth="1"/>
    <col min="12034" max="12034" width="28.7109375" style="2" customWidth="1"/>
    <col min="12035" max="12036" width="20" style="2" customWidth="1"/>
    <col min="12037" max="12037" width="15.140625" style="2" customWidth="1"/>
    <col min="12038" max="12038" width="17.7109375" style="2" customWidth="1"/>
    <col min="12039" max="12288" width="9.140625" style="2"/>
    <col min="12289" max="12289" width="0" style="2" hidden="1" customWidth="1"/>
    <col min="12290" max="12290" width="28.7109375" style="2" customWidth="1"/>
    <col min="12291" max="12292" width="20" style="2" customWidth="1"/>
    <col min="12293" max="12293" width="15.140625" style="2" customWidth="1"/>
    <col min="12294" max="12294" width="17.7109375" style="2" customWidth="1"/>
    <col min="12295" max="12544" width="9.140625" style="2"/>
    <col min="12545" max="12545" width="0" style="2" hidden="1" customWidth="1"/>
    <col min="12546" max="12546" width="28.7109375" style="2" customWidth="1"/>
    <col min="12547" max="12548" width="20" style="2" customWidth="1"/>
    <col min="12549" max="12549" width="15.140625" style="2" customWidth="1"/>
    <col min="12550" max="12550" width="17.7109375" style="2" customWidth="1"/>
    <col min="12551" max="12800" width="9.140625" style="2"/>
    <col min="12801" max="12801" width="0" style="2" hidden="1" customWidth="1"/>
    <col min="12802" max="12802" width="28.7109375" style="2" customWidth="1"/>
    <col min="12803" max="12804" width="20" style="2" customWidth="1"/>
    <col min="12805" max="12805" width="15.140625" style="2" customWidth="1"/>
    <col min="12806" max="12806" width="17.7109375" style="2" customWidth="1"/>
    <col min="12807" max="13056" width="9.140625" style="2"/>
    <col min="13057" max="13057" width="0" style="2" hidden="1" customWidth="1"/>
    <col min="13058" max="13058" width="28.7109375" style="2" customWidth="1"/>
    <col min="13059" max="13060" width="20" style="2" customWidth="1"/>
    <col min="13061" max="13061" width="15.140625" style="2" customWidth="1"/>
    <col min="13062" max="13062" width="17.7109375" style="2" customWidth="1"/>
    <col min="13063" max="13312" width="9.140625" style="2"/>
    <col min="13313" max="13313" width="0" style="2" hidden="1" customWidth="1"/>
    <col min="13314" max="13314" width="28.7109375" style="2" customWidth="1"/>
    <col min="13315" max="13316" width="20" style="2" customWidth="1"/>
    <col min="13317" max="13317" width="15.140625" style="2" customWidth="1"/>
    <col min="13318" max="13318" width="17.7109375" style="2" customWidth="1"/>
    <col min="13319" max="13568" width="9.140625" style="2"/>
    <col min="13569" max="13569" width="0" style="2" hidden="1" customWidth="1"/>
    <col min="13570" max="13570" width="28.7109375" style="2" customWidth="1"/>
    <col min="13571" max="13572" width="20" style="2" customWidth="1"/>
    <col min="13573" max="13573" width="15.140625" style="2" customWidth="1"/>
    <col min="13574" max="13574" width="17.7109375" style="2" customWidth="1"/>
    <col min="13575" max="13824" width="9.140625" style="2"/>
    <col min="13825" max="13825" width="0" style="2" hidden="1" customWidth="1"/>
    <col min="13826" max="13826" width="28.7109375" style="2" customWidth="1"/>
    <col min="13827" max="13828" width="20" style="2" customWidth="1"/>
    <col min="13829" max="13829" width="15.140625" style="2" customWidth="1"/>
    <col min="13830" max="13830" width="17.7109375" style="2" customWidth="1"/>
    <col min="13831" max="14080" width="9.140625" style="2"/>
    <col min="14081" max="14081" width="0" style="2" hidden="1" customWidth="1"/>
    <col min="14082" max="14082" width="28.7109375" style="2" customWidth="1"/>
    <col min="14083" max="14084" width="20" style="2" customWidth="1"/>
    <col min="14085" max="14085" width="15.140625" style="2" customWidth="1"/>
    <col min="14086" max="14086" width="17.7109375" style="2" customWidth="1"/>
    <col min="14087" max="14336" width="9.140625" style="2"/>
    <col min="14337" max="14337" width="0" style="2" hidden="1" customWidth="1"/>
    <col min="14338" max="14338" width="28.7109375" style="2" customWidth="1"/>
    <col min="14339" max="14340" width="20" style="2" customWidth="1"/>
    <col min="14341" max="14341" width="15.140625" style="2" customWidth="1"/>
    <col min="14342" max="14342" width="17.7109375" style="2" customWidth="1"/>
    <col min="14343" max="14592" width="9.140625" style="2"/>
    <col min="14593" max="14593" width="0" style="2" hidden="1" customWidth="1"/>
    <col min="14594" max="14594" width="28.7109375" style="2" customWidth="1"/>
    <col min="14595" max="14596" width="20" style="2" customWidth="1"/>
    <col min="14597" max="14597" width="15.140625" style="2" customWidth="1"/>
    <col min="14598" max="14598" width="17.7109375" style="2" customWidth="1"/>
    <col min="14599" max="14848" width="9.140625" style="2"/>
    <col min="14849" max="14849" width="0" style="2" hidden="1" customWidth="1"/>
    <col min="14850" max="14850" width="28.7109375" style="2" customWidth="1"/>
    <col min="14851" max="14852" width="20" style="2" customWidth="1"/>
    <col min="14853" max="14853" width="15.140625" style="2" customWidth="1"/>
    <col min="14854" max="14854" width="17.7109375" style="2" customWidth="1"/>
    <col min="14855" max="15104" width="9.140625" style="2"/>
    <col min="15105" max="15105" width="0" style="2" hidden="1" customWidth="1"/>
    <col min="15106" max="15106" width="28.7109375" style="2" customWidth="1"/>
    <col min="15107" max="15108" width="20" style="2" customWidth="1"/>
    <col min="15109" max="15109" width="15.140625" style="2" customWidth="1"/>
    <col min="15110" max="15110" width="17.7109375" style="2" customWidth="1"/>
    <col min="15111" max="15360" width="9.140625" style="2"/>
    <col min="15361" max="15361" width="0" style="2" hidden="1" customWidth="1"/>
    <col min="15362" max="15362" width="28.7109375" style="2" customWidth="1"/>
    <col min="15363" max="15364" width="20" style="2" customWidth="1"/>
    <col min="15365" max="15365" width="15.140625" style="2" customWidth="1"/>
    <col min="15366" max="15366" width="17.7109375" style="2" customWidth="1"/>
    <col min="15367" max="15616" width="9.140625" style="2"/>
    <col min="15617" max="15617" width="0" style="2" hidden="1" customWidth="1"/>
    <col min="15618" max="15618" width="28.7109375" style="2" customWidth="1"/>
    <col min="15619" max="15620" width="20" style="2" customWidth="1"/>
    <col min="15621" max="15621" width="15.140625" style="2" customWidth="1"/>
    <col min="15622" max="15622" width="17.7109375" style="2" customWidth="1"/>
    <col min="15623" max="15872" width="9.140625" style="2"/>
    <col min="15873" max="15873" width="0" style="2" hidden="1" customWidth="1"/>
    <col min="15874" max="15874" width="28.7109375" style="2" customWidth="1"/>
    <col min="15875" max="15876" width="20" style="2" customWidth="1"/>
    <col min="15877" max="15877" width="15.140625" style="2" customWidth="1"/>
    <col min="15878" max="15878" width="17.7109375" style="2" customWidth="1"/>
    <col min="15879" max="16128" width="9.140625" style="2"/>
    <col min="16129" max="16129" width="0" style="2" hidden="1" customWidth="1"/>
    <col min="16130" max="16130" width="28.7109375" style="2" customWidth="1"/>
    <col min="16131" max="16132" width="20" style="2" customWidth="1"/>
    <col min="16133" max="16133" width="15.140625" style="2" customWidth="1"/>
    <col min="16134" max="16134" width="17.7109375" style="2" customWidth="1"/>
    <col min="16135" max="16384" width="9.140625" style="2"/>
  </cols>
  <sheetData>
    <row r="1" spans="1:11" ht="60" customHeight="1">
      <c r="B1" s="226"/>
      <c r="C1" s="227"/>
      <c r="D1" s="227"/>
      <c r="E1" s="227"/>
      <c r="F1" s="228"/>
    </row>
    <row r="2" spans="1:11" ht="14.25">
      <c r="B2" s="209"/>
      <c r="C2" s="210" t="s">
        <v>1</v>
      </c>
      <c r="D2" s="212" t="s">
        <v>2</v>
      </c>
      <c r="E2" s="212"/>
    </row>
    <row r="3" spans="1:11" ht="27">
      <c r="A3" s="4"/>
      <c r="B3" s="209"/>
      <c r="C3" s="211"/>
      <c r="D3" s="5" t="s">
        <v>3</v>
      </c>
      <c r="E3" s="5" t="s">
        <v>4</v>
      </c>
      <c r="F3" s="5" t="s">
        <v>5</v>
      </c>
    </row>
    <row r="4" spans="1:11" ht="24" customHeight="1">
      <c r="A4" s="4"/>
      <c r="B4" s="6" t="s">
        <v>6</v>
      </c>
      <c r="C4" s="7">
        <f>C5+C46</f>
        <v>2602</v>
      </c>
      <c r="D4" s="7">
        <f>D5+D46</f>
        <v>471</v>
      </c>
      <c r="E4" s="7">
        <f>E5+E46</f>
        <v>49</v>
      </c>
      <c r="F4" s="7">
        <f>F5+F46</f>
        <v>1</v>
      </c>
      <c r="H4" s="8"/>
      <c r="I4" s="8"/>
      <c r="J4" s="8"/>
      <c r="K4" s="8"/>
    </row>
    <row r="5" spans="1:11" s="11" customFormat="1" ht="25.5" customHeight="1">
      <c r="A5" s="9"/>
      <c r="B5" s="10" t="s">
        <v>7</v>
      </c>
      <c r="C5" s="7">
        <f>SUM(C6:C45)</f>
        <v>1904</v>
      </c>
      <c r="D5" s="7">
        <f>SUM(D6:D45)</f>
        <v>277</v>
      </c>
      <c r="E5" s="7">
        <f>SUM(E6:E45)</f>
        <v>34</v>
      </c>
      <c r="F5" s="7">
        <f>SUM(F6:F45)</f>
        <v>1</v>
      </c>
      <c r="H5" s="8"/>
      <c r="I5" s="8"/>
      <c r="J5" s="8"/>
      <c r="K5" s="8"/>
    </row>
    <row r="6" spans="1:11" ht="12.75" customHeight="1">
      <c r="A6" s="12">
        <v>51</v>
      </c>
      <c r="B6" s="13" t="s">
        <v>8</v>
      </c>
      <c r="C6" s="14">
        <f>'(2015-16b)'!C7+'(2015-16b)'!D7+'(2015-16c)'!C6+'(2015-16d)'!C6</f>
        <v>83</v>
      </c>
      <c r="D6" s="14">
        <f>'(2015-16b)'!E7+'(2015-16b)'!F7+'(2015-16c)'!D6+'(2015-16d)'!D6</f>
        <v>18</v>
      </c>
      <c r="E6" s="14">
        <f>'(2015-16b)'!G7+'(2015-16b)'!H7+'(2015-16c)'!E6+'(2015-16d)'!E6</f>
        <v>1</v>
      </c>
      <c r="F6" s="14">
        <f>'(2015-16b)'!I7+'(2015-16b)'!J7+'(2015-16c)'!F6+'(2015-16d)'!F6</f>
        <v>0</v>
      </c>
      <c r="H6" s="8"/>
      <c r="I6" s="8"/>
      <c r="J6" s="8"/>
      <c r="K6" s="8"/>
    </row>
    <row r="7" spans="1:11" ht="12.75" customHeight="1">
      <c r="A7" s="12">
        <v>52</v>
      </c>
      <c r="B7" s="13" t="s">
        <v>9</v>
      </c>
      <c r="C7" s="14">
        <f>'(2015-16b)'!C8+'(2015-16b)'!D8+'(2015-16c)'!C7+'(2015-16d)'!C7</f>
        <v>75</v>
      </c>
      <c r="D7" s="14">
        <f>'(2015-16b)'!E8+'(2015-16b)'!F8+'(2015-16c)'!D7+'(2015-16d)'!D7</f>
        <v>10</v>
      </c>
      <c r="E7" s="14">
        <f>'(2015-16b)'!G8+'(2015-16b)'!H8+'(2015-16c)'!E7+'(2015-16d)'!E7</f>
        <v>7</v>
      </c>
      <c r="F7" s="14">
        <f>'(2015-16b)'!I8+'(2015-16b)'!J8+'(2015-16c)'!F7+'(2015-16d)'!F7</f>
        <v>0</v>
      </c>
      <c r="H7" s="8"/>
      <c r="I7" s="8"/>
      <c r="J7" s="8"/>
      <c r="K7" s="8"/>
    </row>
    <row r="8" spans="1:11">
      <c r="A8" s="12">
        <v>86</v>
      </c>
      <c r="B8" s="13" t="s">
        <v>10</v>
      </c>
      <c r="C8" s="14">
        <f>'(2015-16b)'!C9+'(2015-16b)'!D9+'(2015-16c)'!C8+'(2015-16d)'!C8</f>
        <v>64</v>
      </c>
      <c r="D8" s="14">
        <f>'(2015-16b)'!E9+'(2015-16b)'!F9+'(2015-16c)'!D8+'(2015-16d)'!D8</f>
        <v>12</v>
      </c>
      <c r="E8" s="14">
        <f>'(2015-16b)'!G9+'(2015-16b)'!H9+'(2015-16c)'!E8+'(2015-16d)'!E8</f>
        <v>0</v>
      </c>
      <c r="F8" s="14">
        <f>'(2015-16b)'!I9+'(2015-16b)'!J9+'(2015-16c)'!F8+'(2015-16d)'!F8</f>
        <v>0</v>
      </c>
      <c r="H8" s="8"/>
      <c r="I8" s="8"/>
      <c r="J8" s="8"/>
      <c r="K8" s="8"/>
    </row>
    <row r="9" spans="1:11" ht="12.75" customHeight="1">
      <c r="A9" s="12">
        <v>53</v>
      </c>
      <c r="B9" s="13" t="s">
        <v>11</v>
      </c>
      <c r="C9" s="14">
        <f>'(2015-16b)'!C10+'(2015-16b)'!D10+'(2015-16c)'!C9+'(2015-16d)'!C9</f>
        <v>21</v>
      </c>
      <c r="D9" s="14">
        <f>'(2015-16b)'!E10+'(2015-16b)'!F10+'(2015-16c)'!D9+'(2015-16d)'!D9</f>
        <v>2</v>
      </c>
      <c r="E9" s="14">
        <f>'(2015-16b)'!G10+'(2015-16b)'!H10+'(2015-16c)'!E9+'(2015-16d)'!E9</f>
        <v>0</v>
      </c>
      <c r="F9" s="14">
        <f>'(2015-16b)'!I10+'(2015-16b)'!J10+'(2015-16c)'!F9+'(2015-16d)'!F9</f>
        <v>0</v>
      </c>
      <c r="H9" s="8"/>
      <c r="I9" s="8"/>
      <c r="J9" s="8"/>
      <c r="K9" s="8"/>
    </row>
    <row r="10" spans="1:11" ht="12.75" customHeight="1">
      <c r="A10" s="12">
        <v>54</v>
      </c>
      <c r="B10" s="13" t="s">
        <v>12</v>
      </c>
      <c r="C10" s="14">
        <f>'(2015-16b)'!C11+'(2015-16b)'!D11+'(2015-16c)'!C10+'(2015-16d)'!C10</f>
        <v>98</v>
      </c>
      <c r="D10" s="14">
        <f>'(2015-16b)'!E11+'(2015-16b)'!F11+'(2015-16c)'!D10+'(2015-16d)'!D10</f>
        <v>2</v>
      </c>
      <c r="E10" s="14">
        <f>'(2015-16b)'!G11+'(2015-16b)'!H11+'(2015-16c)'!E10+'(2015-16d)'!E10</f>
        <v>0</v>
      </c>
      <c r="F10" s="14">
        <f>'(2015-16b)'!I11+'(2015-16b)'!J11+'(2015-16c)'!F10+'(2015-16d)'!F10</f>
        <v>0</v>
      </c>
      <c r="H10" s="8"/>
      <c r="I10" s="8"/>
      <c r="J10" s="8"/>
      <c r="K10" s="8"/>
    </row>
    <row r="11" spans="1:11" ht="12.75" customHeight="1">
      <c r="A11" s="12">
        <v>55</v>
      </c>
      <c r="B11" s="13" t="s">
        <v>13</v>
      </c>
      <c r="C11" s="14">
        <f>'(2015-16b)'!C12+'(2015-16b)'!D12+'(2015-16c)'!C11+'(2015-16d)'!C11</f>
        <v>41</v>
      </c>
      <c r="D11" s="14">
        <f>'(2015-16b)'!E12+'(2015-16b)'!F12+'(2015-16c)'!D11+'(2015-16d)'!D11</f>
        <v>2</v>
      </c>
      <c r="E11" s="14">
        <f>'(2015-16b)'!G12+'(2015-16b)'!H12+'(2015-16c)'!E11+'(2015-16d)'!E11</f>
        <v>0</v>
      </c>
      <c r="F11" s="14">
        <f>'(2015-16b)'!I12+'(2015-16b)'!J12+'(2015-16c)'!F11+'(2015-16d)'!F11</f>
        <v>0</v>
      </c>
      <c r="H11" s="8"/>
      <c r="I11" s="8"/>
      <c r="J11" s="8"/>
      <c r="K11" s="8"/>
    </row>
    <row r="12" spans="1:11" ht="12.75" customHeight="1">
      <c r="A12" s="12">
        <v>56</v>
      </c>
      <c r="B12" s="13" t="s">
        <v>14</v>
      </c>
      <c r="C12" s="14">
        <f>'(2015-16b)'!C13+'(2015-16b)'!D13+'(2015-16c)'!C12+'(2015-16d)'!C12</f>
        <v>17</v>
      </c>
      <c r="D12" s="14">
        <f>'(2015-16b)'!E13+'(2015-16b)'!F13+'(2015-16c)'!D12+'(2015-16d)'!D12</f>
        <v>3</v>
      </c>
      <c r="E12" s="14">
        <f>'(2015-16b)'!G13+'(2015-16b)'!H13+'(2015-16c)'!E12+'(2015-16d)'!E12</f>
        <v>1</v>
      </c>
      <c r="F12" s="14">
        <f>'(2015-16b)'!I13+'(2015-16b)'!J13+'(2015-16c)'!F12+'(2015-16d)'!F12</f>
        <v>0</v>
      </c>
      <c r="H12" s="8"/>
      <c r="I12" s="8"/>
      <c r="J12" s="8"/>
      <c r="K12" s="8"/>
    </row>
    <row r="13" spans="1:11" ht="12.75" customHeight="1">
      <c r="A13" s="12">
        <v>57</v>
      </c>
      <c r="B13" s="13" t="s">
        <v>15</v>
      </c>
      <c r="C13" s="14">
        <f>'(2015-16b)'!C14+'(2015-16b)'!D14+'(2015-16c)'!C13+'(2015-16d)'!C13</f>
        <v>31</v>
      </c>
      <c r="D13" s="14">
        <f>'(2015-16b)'!E14+'(2015-16b)'!F14+'(2015-16c)'!D13+'(2015-16d)'!D13</f>
        <v>3</v>
      </c>
      <c r="E13" s="14">
        <f>'(2015-16b)'!G14+'(2015-16b)'!H14+'(2015-16c)'!E13+'(2015-16d)'!E13</f>
        <v>0</v>
      </c>
      <c r="F13" s="14">
        <f>'(2015-16b)'!I14+'(2015-16b)'!J14+'(2015-16c)'!F13+'(2015-16d)'!F13</f>
        <v>0</v>
      </c>
      <c r="H13" s="8"/>
      <c r="I13" s="8"/>
      <c r="J13" s="8"/>
      <c r="K13" s="8"/>
    </row>
    <row r="14" spans="1:11" ht="12.75" customHeight="1">
      <c r="A14" s="12">
        <v>59</v>
      </c>
      <c r="B14" s="13" t="s">
        <v>16</v>
      </c>
      <c r="C14" s="14">
        <f>'(2015-16b)'!C15+'(2015-16b)'!D15+'(2015-16c)'!C14+'(2015-16d)'!C14</f>
        <v>22</v>
      </c>
      <c r="D14" s="14">
        <f>'(2015-16b)'!E15+'(2015-16b)'!F15+'(2015-16c)'!D14+'(2015-16d)'!D14</f>
        <v>1</v>
      </c>
      <c r="E14" s="14">
        <f>'(2015-16b)'!G15+'(2015-16b)'!H15+'(2015-16c)'!E14+'(2015-16d)'!E14</f>
        <v>3</v>
      </c>
      <c r="F14" s="14">
        <f>'(2015-16b)'!I15+'(2015-16b)'!J15+'(2015-16c)'!F14+'(2015-16d)'!F14</f>
        <v>0</v>
      </c>
      <c r="H14" s="8"/>
      <c r="I14" s="8"/>
      <c r="J14" s="8"/>
      <c r="K14" s="8"/>
    </row>
    <row r="15" spans="1:11" ht="12.75" customHeight="1">
      <c r="A15" s="12">
        <v>60</v>
      </c>
      <c r="B15" s="13" t="s">
        <v>17</v>
      </c>
      <c r="C15" s="14">
        <f>'(2015-16b)'!C16+'(2015-16b)'!D16+'(2015-16c)'!C15+'(2015-16d)'!C15</f>
        <v>25</v>
      </c>
      <c r="D15" s="14">
        <f>'(2015-16b)'!E16+'(2015-16b)'!F16+'(2015-16c)'!D15+'(2015-16d)'!D15</f>
        <v>2</v>
      </c>
      <c r="E15" s="14">
        <f>'(2015-16b)'!G16+'(2015-16b)'!H16+'(2015-16c)'!E15+'(2015-16d)'!E15</f>
        <v>1</v>
      </c>
      <c r="F15" s="14">
        <f>'(2015-16b)'!I16+'(2015-16b)'!J16+'(2015-16c)'!F15+'(2015-16d)'!F15</f>
        <v>0</v>
      </c>
      <c r="H15" s="8"/>
      <c r="I15" s="8"/>
      <c r="J15" s="8"/>
      <c r="K15" s="8"/>
    </row>
    <row r="16" spans="1:11" ht="12.75" customHeight="1">
      <c r="A16" s="12">
        <v>61</v>
      </c>
      <c r="B16" s="15" t="s">
        <v>18</v>
      </c>
      <c r="C16" s="14">
        <f>'(2015-16b)'!C17+'(2015-16b)'!D17+'(2015-16c)'!C16+'(2015-16d)'!C16</f>
        <v>60</v>
      </c>
      <c r="D16" s="14">
        <f>'(2015-16b)'!E17+'(2015-16b)'!F17+'(2015-16c)'!D16+'(2015-16d)'!D16</f>
        <v>16</v>
      </c>
      <c r="E16" s="14">
        <f>'(2015-16b)'!G17+'(2015-16b)'!H17+'(2015-16c)'!E16+'(2015-16d)'!E16</f>
        <v>1</v>
      </c>
      <c r="F16" s="14">
        <f>'(2015-16b)'!I17+'(2015-16b)'!J17+'(2015-16c)'!F16+'(2015-16d)'!F16</f>
        <v>0</v>
      </c>
      <c r="H16" s="8"/>
      <c r="I16" s="8"/>
      <c r="J16" s="8"/>
      <c r="K16" s="8"/>
    </row>
    <row r="17" spans="1:11" s="186" customFormat="1" ht="12.75" customHeight="1">
      <c r="A17" s="12"/>
      <c r="B17" s="132" t="s">
        <v>125</v>
      </c>
      <c r="C17" s="131" t="s">
        <v>126</v>
      </c>
      <c r="D17" s="131" t="s">
        <v>126</v>
      </c>
      <c r="E17" s="131" t="s">
        <v>126</v>
      </c>
      <c r="F17" s="131" t="s">
        <v>126</v>
      </c>
      <c r="H17" s="8"/>
      <c r="I17" s="8"/>
      <c r="J17" s="8"/>
      <c r="K17" s="8"/>
    </row>
    <row r="18" spans="1:11" ht="12.75" customHeight="1">
      <c r="A18" s="12">
        <v>62</v>
      </c>
      <c r="B18" s="13" t="s">
        <v>19</v>
      </c>
      <c r="C18" s="14">
        <f>'(2015-16b)'!C19+'(2015-16b)'!D19+'(2015-16c)'!C18+'(2015-16d)'!C18</f>
        <v>50</v>
      </c>
      <c r="D18" s="14">
        <f>'(2015-16b)'!E19+'(2015-16b)'!F19+'(2015-16c)'!D18+'(2015-16d)'!D18</f>
        <v>1</v>
      </c>
      <c r="E18" s="14">
        <f>'(2015-16b)'!G19+'(2015-16b)'!H19+'(2015-16c)'!E18+'(2015-16d)'!E18</f>
        <v>1</v>
      </c>
      <c r="F18" s="14">
        <f>'(2015-16b)'!I19+'(2015-16b)'!J19+'(2015-16c)'!F18+'(2015-16d)'!F18</f>
        <v>0</v>
      </c>
      <c r="H18" s="8"/>
      <c r="I18" s="8"/>
      <c r="J18" s="8"/>
      <c r="K18" s="8"/>
    </row>
    <row r="19" spans="1:11" ht="12.75" customHeight="1">
      <c r="A19" s="12">
        <v>58</v>
      </c>
      <c r="B19" s="13" t="s">
        <v>20</v>
      </c>
      <c r="C19" s="14">
        <f>'(2015-16b)'!C20+'(2015-16b)'!D20+'(2015-16c)'!C19+'(2015-16d)'!C19</f>
        <v>16</v>
      </c>
      <c r="D19" s="14">
        <f>'(2015-16b)'!E20+'(2015-16b)'!F20+'(2015-16c)'!D19+'(2015-16d)'!D19</f>
        <v>3</v>
      </c>
      <c r="E19" s="14">
        <f>'(2015-16b)'!G20+'(2015-16b)'!H20+'(2015-16c)'!E19+'(2015-16d)'!E19</f>
        <v>0</v>
      </c>
      <c r="F19" s="14">
        <f>'(2015-16b)'!I20+'(2015-16b)'!J20+'(2015-16c)'!F19+'(2015-16d)'!F19</f>
        <v>0</v>
      </c>
      <c r="H19" s="8"/>
      <c r="I19" s="8"/>
      <c r="J19" s="8"/>
      <c r="K19" s="8"/>
    </row>
    <row r="20" spans="1:11" ht="12.75" customHeight="1">
      <c r="A20" s="12">
        <v>63</v>
      </c>
      <c r="B20" s="13" t="s">
        <v>21</v>
      </c>
      <c r="C20" s="14">
        <f>'(2015-16b)'!C21+'(2015-16b)'!D21+'(2015-16c)'!C20+'(2015-16d)'!C20</f>
        <v>82</v>
      </c>
      <c r="D20" s="14">
        <f>'(2015-16b)'!E21+'(2015-16b)'!F21+'(2015-16c)'!D20+'(2015-16d)'!D20</f>
        <v>8</v>
      </c>
      <c r="E20" s="14">
        <f>'(2015-16b)'!G21+'(2015-16b)'!H21+'(2015-16c)'!E20+'(2015-16d)'!E20</f>
        <v>3</v>
      </c>
      <c r="F20" s="14">
        <f>'(2015-16b)'!I21+'(2015-16b)'!J21+'(2015-16c)'!F20+'(2015-16d)'!F20</f>
        <v>1</v>
      </c>
      <c r="H20" s="8"/>
      <c r="I20" s="8"/>
      <c r="J20" s="8"/>
      <c r="K20" s="8"/>
    </row>
    <row r="21" spans="1:11" ht="12.75" customHeight="1">
      <c r="A21" s="12">
        <v>64</v>
      </c>
      <c r="B21" s="13" t="s">
        <v>22</v>
      </c>
      <c r="C21" s="14">
        <f>'(2015-16b)'!C22+'(2015-16b)'!D22+'(2015-16c)'!C21+'(2015-16d)'!C21</f>
        <v>104</v>
      </c>
      <c r="D21" s="14">
        <f>'(2015-16b)'!E22+'(2015-16b)'!F22+'(2015-16c)'!D21+'(2015-16d)'!D21</f>
        <v>24</v>
      </c>
      <c r="E21" s="14">
        <f>'(2015-16b)'!G22+'(2015-16b)'!H22+'(2015-16c)'!E21+'(2015-16d)'!E21</f>
        <v>1</v>
      </c>
      <c r="F21" s="14">
        <f>'(2015-16b)'!I22+'(2015-16b)'!J22+'(2015-16c)'!F21+'(2015-16d)'!F21</f>
        <v>0</v>
      </c>
      <c r="H21" s="8"/>
      <c r="I21" s="8"/>
      <c r="J21" s="8"/>
      <c r="K21" s="8"/>
    </row>
    <row r="22" spans="1:11">
      <c r="A22" s="12">
        <v>65</v>
      </c>
      <c r="B22" s="13" t="s">
        <v>23</v>
      </c>
      <c r="C22" s="14">
        <f>'(2015-16b)'!C23+'(2015-16b)'!D23+'(2015-16c)'!C22+'(2015-16d)'!C22</f>
        <v>32</v>
      </c>
      <c r="D22" s="14">
        <f>'(2015-16b)'!E23+'(2015-16b)'!F23+'(2015-16c)'!D22+'(2015-16d)'!D22</f>
        <v>2</v>
      </c>
      <c r="E22" s="14">
        <f>'(2015-16b)'!G23+'(2015-16b)'!H23+'(2015-16c)'!E22+'(2015-16d)'!E22</f>
        <v>1</v>
      </c>
      <c r="F22" s="14">
        <f>'(2015-16b)'!I23+'(2015-16b)'!J23+'(2015-16c)'!F22+'(2015-16d)'!F22</f>
        <v>0</v>
      </c>
      <c r="H22" s="8"/>
      <c r="I22" s="8"/>
      <c r="J22" s="8"/>
      <c r="K22" s="8"/>
    </row>
    <row r="23" spans="1:11" ht="12.75" customHeight="1">
      <c r="A23" s="12">
        <v>67</v>
      </c>
      <c r="B23" s="13" t="s">
        <v>24</v>
      </c>
      <c r="C23" s="14">
        <f>'(2015-16b)'!C24+'(2015-16b)'!D24+'(2015-16c)'!C23+'(2015-16d)'!C23</f>
        <v>107</v>
      </c>
      <c r="D23" s="14">
        <f>'(2015-16b)'!E24+'(2015-16b)'!F24+'(2015-16c)'!D23+'(2015-16d)'!D23</f>
        <v>22</v>
      </c>
      <c r="E23" s="14">
        <f>'(2015-16b)'!G24+'(2015-16b)'!H24+'(2015-16c)'!E23+'(2015-16d)'!E23</f>
        <v>0</v>
      </c>
      <c r="F23" s="14">
        <f>'(2015-16b)'!I24+'(2015-16b)'!J24+'(2015-16c)'!F23+'(2015-16d)'!F23</f>
        <v>0</v>
      </c>
      <c r="H23" s="8"/>
      <c r="I23" s="8"/>
      <c r="J23" s="8"/>
      <c r="K23" s="8"/>
    </row>
    <row r="24" spans="1:11">
      <c r="A24" s="12">
        <v>68</v>
      </c>
      <c r="B24" s="13" t="s">
        <v>25</v>
      </c>
      <c r="C24" s="14">
        <f>'(2015-16b)'!C25+'(2015-16b)'!D25+'(2015-16c)'!C24+'(2015-16d)'!C24</f>
        <v>38</v>
      </c>
      <c r="D24" s="14">
        <f>'(2015-16b)'!E25+'(2015-16b)'!F25+'(2015-16c)'!D24+'(2015-16d)'!D24</f>
        <v>5</v>
      </c>
      <c r="E24" s="14">
        <f>'(2015-16b)'!G25+'(2015-16b)'!H25+'(2015-16c)'!E24+'(2015-16d)'!E24</f>
        <v>0</v>
      </c>
      <c r="F24" s="14">
        <f>'(2015-16b)'!I25+'(2015-16b)'!J25+'(2015-16c)'!F24+'(2015-16d)'!F24</f>
        <v>0</v>
      </c>
      <c r="H24" s="8"/>
      <c r="I24" s="8"/>
      <c r="J24" s="8"/>
      <c r="K24" s="8"/>
    </row>
    <row r="25" spans="1:11">
      <c r="A25" s="12">
        <v>69</v>
      </c>
      <c r="B25" s="13" t="s">
        <v>26</v>
      </c>
      <c r="C25" s="14">
        <f>'(2015-16b)'!C26+'(2015-16b)'!D26+'(2015-16c)'!C25+'(2015-16d)'!C25</f>
        <v>65</v>
      </c>
      <c r="D25" s="14">
        <f>'(2015-16b)'!E26+'(2015-16b)'!F26+'(2015-16c)'!D25+'(2015-16d)'!D25</f>
        <v>13</v>
      </c>
      <c r="E25" s="14">
        <f>'(2015-16b)'!G26+'(2015-16b)'!H26+'(2015-16c)'!E25+'(2015-16d)'!E25</f>
        <v>1</v>
      </c>
      <c r="F25" s="14">
        <f>'(2015-16b)'!I26+'(2015-16b)'!J26+'(2015-16c)'!F25+'(2015-16d)'!F25</f>
        <v>0</v>
      </c>
      <c r="H25" s="8"/>
      <c r="I25" s="8"/>
      <c r="J25" s="8"/>
      <c r="K25" s="8"/>
    </row>
    <row r="26" spans="1:11">
      <c r="A26" s="12">
        <v>70</v>
      </c>
      <c r="B26" s="13" t="s">
        <v>27</v>
      </c>
      <c r="C26" s="14">
        <f>'(2015-16b)'!C27+'(2015-16b)'!D27+'(2015-16c)'!C26+'(2015-16d)'!C26</f>
        <v>93</v>
      </c>
      <c r="D26" s="14">
        <f>'(2015-16b)'!E27+'(2015-16b)'!F27+'(2015-16c)'!D26+'(2015-16d)'!D26</f>
        <v>7</v>
      </c>
      <c r="E26" s="14">
        <f>'(2015-16b)'!G27+'(2015-16b)'!H27+'(2015-16c)'!E26+'(2015-16d)'!E26</f>
        <v>4</v>
      </c>
      <c r="F26" s="14">
        <f>'(2015-16b)'!I27+'(2015-16b)'!J27+'(2015-16c)'!F26+'(2015-16d)'!F26</f>
        <v>0</v>
      </c>
      <c r="H26" s="8"/>
      <c r="I26" s="8"/>
      <c r="J26" s="8"/>
      <c r="K26" s="8"/>
    </row>
    <row r="27" spans="1:11">
      <c r="A27" s="12">
        <v>71</v>
      </c>
      <c r="B27" s="16" t="s">
        <v>28</v>
      </c>
      <c r="C27" s="14">
        <f>'(2015-16b)'!C28+'(2015-16b)'!D28+'(2015-16c)'!C27+'(2015-16d)'!C27</f>
        <v>12</v>
      </c>
      <c r="D27" s="14">
        <f>'(2015-16b)'!E28+'(2015-16b)'!F28+'(2015-16c)'!D27+'(2015-16d)'!D27</f>
        <v>2</v>
      </c>
      <c r="E27" s="14">
        <f>'(2015-16b)'!G28+'(2015-16b)'!H28+'(2015-16c)'!E27+'(2015-16d)'!E27</f>
        <v>0</v>
      </c>
      <c r="F27" s="14">
        <f>'(2015-16b)'!I28+'(2015-16b)'!J28+'(2015-16c)'!F27+'(2015-16d)'!F27</f>
        <v>0</v>
      </c>
      <c r="H27" s="8"/>
      <c r="I27" s="8"/>
      <c r="J27" s="8"/>
      <c r="K27" s="8"/>
    </row>
    <row r="28" spans="1:11">
      <c r="A28" s="12">
        <v>73</v>
      </c>
      <c r="B28" s="13" t="s">
        <v>29</v>
      </c>
      <c r="C28" s="14">
        <f>'(2015-16b)'!C29+'(2015-16b)'!D29+'(2015-16c)'!C28+'(2015-16d)'!C28</f>
        <v>57</v>
      </c>
      <c r="D28" s="14">
        <f>'(2015-16b)'!E29+'(2015-16b)'!F29+'(2015-16c)'!D28+'(2015-16d)'!D28</f>
        <v>12</v>
      </c>
      <c r="E28" s="14">
        <f>'(2015-16b)'!G29+'(2015-16b)'!H29+'(2015-16c)'!E28+'(2015-16d)'!E28</f>
        <v>0</v>
      </c>
      <c r="F28" s="14">
        <f>'(2015-16b)'!I29+'(2015-16b)'!J29+'(2015-16c)'!F28+'(2015-16d)'!F28</f>
        <v>0</v>
      </c>
      <c r="H28" s="8"/>
      <c r="I28" s="8"/>
      <c r="J28" s="8"/>
      <c r="K28" s="8"/>
    </row>
    <row r="29" spans="1:11">
      <c r="A29" s="12">
        <v>74</v>
      </c>
      <c r="B29" s="13" t="s">
        <v>30</v>
      </c>
      <c r="C29" s="14">
        <f>'(2015-16b)'!C30+'(2015-16b)'!D30+'(2015-16c)'!C29+'(2015-16d)'!C29</f>
        <v>52</v>
      </c>
      <c r="D29" s="14">
        <f>'(2015-16b)'!E30+'(2015-16b)'!F30+'(2015-16c)'!D29+'(2015-16d)'!D29</f>
        <v>18</v>
      </c>
      <c r="E29" s="14">
        <f>'(2015-16b)'!G30+'(2015-16b)'!H30+'(2015-16c)'!E29+'(2015-16d)'!E29</f>
        <v>0</v>
      </c>
      <c r="F29" s="14">
        <f>'(2015-16b)'!I30+'(2015-16b)'!J30+'(2015-16c)'!F29+'(2015-16d)'!F29</f>
        <v>0</v>
      </c>
      <c r="H29" s="8"/>
      <c r="I29" s="8"/>
      <c r="J29" s="8"/>
      <c r="K29" s="8"/>
    </row>
    <row r="30" spans="1:11">
      <c r="A30" s="12">
        <v>75</v>
      </c>
      <c r="B30" s="13" t="s">
        <v>31</v>
      </c>
      <c r="C30" s="14">
        <f>'(2015-16b)'!C31+'(2015-16b)'!D31+'(2015-16c)'!C30+'(2015-16d)'!C30</f>
        <v>39</v>
      </c>
      <c r="D30" s="14">
        <f>'(2015-16b)'!E31+'(2015-16b)'!F31+'(2015-16c)'!D30+'(2015-16d)'!D30</f>
        <v>2</v>
      </c>
      <c r="E30" s="14">
        <f>'(2015-16b)'!G31+'(2015-16b)'!H31+'(2015-16c)'!E30+'(2015-16d)'!E30</f>
        <v>2</v>
      </c>
      <c r="F30" s="14">
        <f>'(2015-16b)'!I31+'(2015-16b)'!J31+'(2015-16c)'!F30+'(2015-16d)'!F30</f>
        <v>0</v>
      </c>
      <c r="H30" s="8"/>
      <c r="I30" s="8"/>
      <c r="J30" s="8"/>
      <c r="K30" s="8"/>
    </row>
    <row r="31" spans="1:11">
      <c r="A31" s="12">
        <v>76</v>
      </c>
      <c r="B31" s="13" t="s">
        <v>32</v>
      </c>
      <c r="C31" s="14">
        <f>'(2015-16b)'!C32+'(2015-16b)'!D32+'(2015-16c)'!C31+'(2015-16d)'!C31</f>
        <v>51</v>
      </c>
      <c r="D31" s="14">
        <f>'(2015-16b)'!E32+'(2015-16b)'!F32+'(2015-16c)'!D31+'(2015-16d)'!D31</f>
        <v>7</v>
      </c>
      <c r="E31" s="14">
        <f>'(2015-16b)'!G32+'(2015-16b)'!H32+'(2015-16c)'!E31+'(2015-16d)'!E31</f>
        <v>0</v>
      </c>
      <c r="F31" s="14">
        <f>'(2015-16b)'!I32+'(2015-16b)'!J32+'(2015-16c)'!F31+'(2015-16d)'!F31</f>
        <v>0</v>
      </c>
      <c r="H31" s="8"/>
      <c r="I31" s="8"/>
      <c r="J31" s="8"/>
      <c r="K31" s="8"/>
    </row>
    <row r="32" spans="1:11">
      <c r="A32" s="12">
        <v>79</v>
      </c>
      <c r="B32" s="13" t="s">
        <v>33</v>
      </c>
      <c r="C32" s="14">
        <f>'(2015-16b)'!C33+'(2015-16b)'!D33+'(2015-16c)'!C32+'(2015-16d)'!C32</f>
        <v>76</v>
      </c>
      <c r="D32" s="14">
        <f>'(2015-16b)'!E33+'(2015-16b)'!F33+'(2015-16c)'!D32+'(2015-16d)'!D32</f>
        <v>22</v>
      </c>
      <c r="E32" s="14">
        <f>'(2015-16b)'!G33+'(2015-16b)'!H33+'(2015-16c)'!E32+'(2015-16d)'!E32</f>
        <v>0</v>
      </c>
      <c r="F32" s="14">
        <f>'(2015-16b)'!I33+'(2015-16b)'!J33+'(2015-16c)'!F32+'(2015-16d)'!F32</f>
        <v>0</v>
      </c>
      <c r="H32" s="8"/>
      <c r="I32" s="8"/>
      <c r="J32" s="8"/>
      <c r="K32" s="8"/>
    </row>
    <row r="33" spans="1:11">
      <c r="A33" s="12">
        <v>80</v>
      </c>
      <c r="B33" s="13" t="s">
        <v>34</v>
      </c>
      <c r="C33" s="14">
        <f>'(2015-16b)'!C34+'(2015-16b)'!D34+'(2015-16c)'!C33+'(2015-16d)'!C33</f>
        <v>63</v>
      </c>
      <c r="D33" s="14">
        <f>'(2015-16b)'!E34+'(2015-16b)'!F34+'(2015-16c)'!D33+'(2015-16d)'!D33</f>
        <v>6</v>
      </c>
      <c r="E33" s="14">
        <f>'(2015-16b)'!G34+'(2015-16b)'!H34+'(2015-16c)'!E33+'(2015-16d)'!E33</f>
        <v>2</v>
      </c>
      <c r="F33" s="14">
        <f>'(2015-16b)'!I34+'(2015-16b)'!J34+'(2015-16c)'!F33+'(2015-16d)'!F33</f>
        <v>0</v>
      </c>
      <c r="H33" s="8"/>
      <c r="I33" s="8"/>
      <c r="J33" s="8"/>
      <c r="K33" s="8"/>
    </row>
    <row r="34" spans="1:11">
      <c r="A34" s="12">
        <v>81</v>
      </c>
      <c r="B34" s="13" t="s">
        <v>35</v>
      </c>
      <c r="C34" s="14">
        <f>'(2015-16b)'!C35+'(2015-16b)'!D35+'(2015-16c)'!C34+'(2015-16d)'!C34</f>
        <v>63</v>
      </c>
      <c r="D34" s="14">
        <f>'(2015-16b)'!E35+'(2015-16b)'!F35+'(2015-16c)'!D34+'(2015-16d)'!D34</f>
        <v>4</v>
      </c>
      <c r="E34" s="14">
        <f>'(2015-16b)'!G35+'(2015-16b)'!H35+'(2015-16c)'!E34+'(2015-16d)'!E34</f>
        <v>0</v>
      </c>
      <c r="F34" s="14">
        <f>'(2015-16b)'!I35+'(2015-16b)'!J35+'(2015-16c)'!F34+'(2015-16d)'!F34</f>
        <v>0</v>
      </c>
      <c r="H34" s="8"/>
      <c r="I34" s="8"/>
      <c r="J34" s="8"/>
      <c r="K34" s="8"/>
    </row>
    <row r="35" spans="1:11">
      <c r="A35" s="12">
        <v>83</v>
      </c>
      <c r="B35" s="13" t="s">
        <v>36</v>
      </c>
      <c r="C35" s="14">
        <f>'(2015-16b)'!C36+'(2015-16b)'!D36+'(2015-16c)'!C35+'(2015-16d)'!C35</f>
        <v>22</v>
      </c>
      <c r="D35" s="14">
        <f>'(2015-16b)'!E36+'(2015-16b)'!F36+'(2015-16c)'!D35+'(2015-16d)'!D35</f>
        <v>4</v>
      </c>
      <c r="E35" s="14">
        <f>'(2015-16b)'!G36+'(2015-16b)'!H36+'(2015-16c)'!E35+'(2015-16d)'!E35</f>
        <v>0</v>
      </c>
      <c r="F35" s="14">
        <f>'(2015-16b)'!I36+'(2015-16b)'!J36+'(2015-16c)'!F35+'(2015-16d)'!F35</f>
        <v>0</v>
      </c>
      <c r="H35" s="8"/>
      <c r="I35" s="8"/>
      <c r="J35" s="8"/>
      <c r="K35" s="8"/>
    </row>
    <row r="36" spans="1:11">
      <c r="A36" s="12">
        <v>84</v>
      </c>
      <c r="B36" s="13" t="s">
        <v>37</v>
      </c>
      <c r="C36" s="14">
        <f>'(2015-16b)'!C37+'(2015-16b)'!D37+'(2015-16c)'!C36+'(2015-16d)'!C36</f>
        <v>27</v>
      </c>
      <c r="D36" s="14">
        <f>'(2015-16b)'!E37+'(2015-16b)'!F37+'(2015-16c)'!D36+'(2015-16d)'!D36</f>
        <v>6</v>
      </c>
      <c r="E36" s="14">
        <f>'(2015-16b)'!G37+'(2015-16b)'!H37+'(2015-16c)'!E36+'(2015-16d)'!E36</f>
        <v>0</v>
      </c>
      <c r="F36" s="14">
        <f>'(2015-16b)'!I37+'(2015-16b)'!J37+'(2015-16c)'!F36+'(2015-16d)'!F36</f>
        <v>0</v>
      </c>
      <c r="H36" s="8"/>
      <c r="I36" s="8"/>
      <c r="J36" s="8"/>
      <c r="K36" s="8"/>
    </row>
    <row r="37" spans="1:11">
      <c r="A37" s="12">
        <v>85</v>
      </c>
      <c r="B37" s="13" t="s">
        <v>38</v>
      </c>
      <c r="C37" s="14">
        <f>'(2015-16b)'!C38+'(2015-16b)'!D38+'(2015-16c)'!C37+'(2015-16d)'!C37</f>
        <v>38</v>
      </c>
      <c r="D37" s="14">
        <f>'(2015-16b)'!E38+'(2015-16b)'!F38+'(2015-16c)'!D37+'(2015-16d)'!D37</f>
        <v>6</v>
      </c>
      <c r="E37" s="14">
        <f>'(2015-16b)'!G38+'(2015-16b)'!H38+'(2015-16c)'!E37+'(2015-16d)'!E37</f>
        <v>2</v>
      </c>
      <c r="F37" s="14">
        <f>'(2015-16b)'!I38+'(2015-16b)'!J38+'(2015-16c)'!F37+'(2015-16d)'!F37</f>
        <v>0</v>
      </c>
      <c r="H37" s="8"/>
      <c r="I37" s="8"/>
      <c r="J37" s="8"/>
      <c r="K37" s="8"/>
    </row>
    <row r="38" spans="1:11">
      <c r="A38" s="12">
        <v>87</v>
      </c>
      <c r="B38" s="13" t="s">
        <v>39</v>
      </c>
      <c r="C38" s="14">
        <f>'(2015-16b)'!C39+'(2015-16b)'!D39+'(2015-16c)'!C38+'(2015-16d)'!C38</f>
        <v>21</v>
      </c>
      <c r="D38" s="14">
        <f>'(2015-16b)'!E39+'(2015-16b)'!F39+'(2015-16c)'!D38+'(2015-16d)'!D38</f>
        <v>1</v>
      </c>
      <c r="E38" s="14">
        <f>'(2015-16b)'!G39+'(2015-16b)'!H39+'(2015-16c)'!E38+'(2015-16d)'!E38</f>
        <v>0</v>
      </c>
      <c r="F38" s="14">
        <f>'(2015-16b)'!I39+'(2015-16b)'!J39+'(2015-16c)'!F38+'(2015-16d)'!F38</f>
        <v>0</v>
      </c>
      <c r="H38" s="8"/>
      <c r="I38" s="8"/>
      <c r="J38" s="8"/>
      <c r="K38" s="8"/>
    </row>
    <row r="39" spans="1:11">
      <c r="A39" s="12">
        <v>90</v>
      </c>
      <c r="B39" s="13" t="s">
        <v>40</v>
      </c>
      <c r="C39" s="14">
        <f>'(2015-16b)'!C40+'(2015-16b)'!D40+'(2015-16c)'!C39+'(2015-16d)'!C39</f>
        <v>47</v>
      </c>
      <c r="D39" s="14">
        <f>'(2015-16b)'!E40+'(2015-16b)'!F40+'(2015-16c)'!D39+'(2015-16d)'!D39</f>
        <v>9</v>
      </c>
      <c r="E39" s="14">
        <f>'(2015-16b)'!G40+'(2015-16b)'!H40+'(2015-16c)'!E39+'(2015-16d)'!E39</f>
        <v>0</v>
      </c>
      <c r="F39" s="14">
        <f>'(2015-16b)'!I40+'(2015-16b)'!J40+'(2015-16c)'!F39+'(2015-16d)'!F39</f>
        <v>0</v>
      </c>
      <c r="H39" s="8"/>
      <c r="I39" s="8"/>
      <c r="J39" s="8"/>
      <c r="K39" s="8"/>
    </row>
    <row r="40" spans="1:11">
      <c r="A40" s="12">
        <v>91</v>
      </c>
      <c r="B40" s="13" t="s">
        <v>41</v>
      </c>
      <c r="C40" s="14">
        <f>'(2015-16b)'!C41+'(2015-16b)'!D41+'(2015-16c)'!C40+'(2015-16d)'!C40</f>
        <v>61</v>
      </c>
      <c r="D40" s="14">
        <f>'(2015-16b)'!E41+'(2015-16b)'!F41+'(2015-16c)'!D40+'(2015-16d)'!D40</f>
        <v>6</v>
      </c>
      <c r="E40" s="14">
        <f>'(2015-16b)'!G41+'(2015-16b)'!H41+'(2015-16c)'!E40+'(2015-16d)'!E40</f>
        <v>0</v>
      </c>
      <c r="F40" s="14">
        <f>'(2015-16b)'!I41+'(2015-16b)'!J41+'(2015-16c)'!F40+'(2015-16d)'!F40</f>
        <v>0</v>
      </c>
      <c r="H40" s="8"/>
      <c r="I40" s="8"/>
      <c r="J40" s="8"/>
      <c r="K40" s="8"/>
    </row>
    <row r="41" spans="1:11">
      <c r="A41" s="12">
        <v>92</v>
      </c>
      <c r="B41" s="13" t="s">
        <v>42</v>
      </c>
      <c r="C41" s="14">
        <f>'(2015-16b)'!C42+'(2015-16b)'!D42+'(2015-16c)'!C41+'(2015-16d)'!C41</f>
        <v>44</v>
      </c>
      <c r="D41" s="14">
        <f>'(2015-16b)'!E42+'(2015-16b)'!F42+'(2015-16c)'!D41+'(2015-16d)'!D41</f>
        <v>7</v>
      </c>
      <c r="E41" s="14">
        <f>'(2015-16b)'!G42+'(2015-16b)'!H42+'(2015-16c)'!E41+'(2015-16d)'!E41</f>
        <v>1</v>
      </c>
      <c r="F41" s="14">
        <f>'(2015-16b)'!I42+'(2015-16b)'!J42+'(2015-16c)'!F41+'(2015-16d)'!F41</f>
        <v>0</v>
      </c>
      <c r="H41" s="8"/>
      <c r="I41" s="8"/>
      <c r="J41" s="8"/>
      <c r="K41" s="8"/>
    </row>
    <row r="42" spans="1:11">
      <c r="A42" s="12">
        <v>94</v>
      </c>
      <c r="B42" s="13" t="s">
        <v>43</v>
      </c>
      <c r="C42" s="14">
        <f>'(2015-16b)'!C43+'(2015-16b)'!D43+'(2015-16c)'!C42+'(2015-16d)'!C42</f>
        <v>35</v>
      </c>
      <c r="D42" s="14">
        <f>'(2015-16b)'!E43+'(2015-16b)'!F43+'(2015-16c)'!D42+'(2015-16d)'!D42</f>
        <v>5</v>
      </c>
      <c r="E42" s="14">
        <f>'(2015-16b)'!G43+'(2015-16b)'!H43+'(2015-16c)'!E42+'(2015-16d)'!E42</f>
        <v>0</v>
      </c>
      <c r="F42" s="14">
        <f>'(2015-16b)'!I43+'(2015-16b)'!J43+'(2015-16c)'!F42+'(2015-16d)'!F42</f>
        <v>0</v>
      </c>
      <c r="H42" s="8"/>
      <c r="I42" s="8"/>
      <c r="J42" s="8"/>
      <c r="K42" s="8"/>
    </row>
    <row r="43" spans="1:11">
      <c r="A43" s="12">
        <v>96</v>
      </c>
      <c r="B43" s="13" t="s">
        <v>44</v>
      </c>
      <c r="C43" s="14">
        <f>'(2015-16b)'!C44+'(2015-16b)'!D44+'(2015-16c)'!C43+'(2015-16d)'!C43</f>
        <v>42</v>
      </c>
      <c r="D43" s="14">
        <f>'(2015-16b)'!E44+'(2015-16b)'!F44+'(2015-16c)'!D43+'(2015-16d)'!D43</f>
        <v>3</v>
      </c>
      <c r="E43" s="14">
        <f>'(2015-16b)'!G44+'(2015-16b)'!H44+'(2015-16c)'!E43+'(2015-16d)'!E43</f>
        <v>1</v>
      </c>
      <c r="F43" s="14">
        <f>'(2015-16b)'!I44+'(2015-16b)'!J44+'(2015-16c)'!F43+'(2015-16d)'!F43</f>
        <v>0</v>
      </c>
      <c r="H43" s="8"/>
      <c r="I43" s="8"/>
      <c r="J43" s="8"/>
      <c r="K43" s="8"/>
    </row>
    <row r="44" spans="1:11">
      <c r="A44" s="12">
        <v>98</v>
      </c>
      <c r="B44" s="13" t="s">
        <v>45</v>
      </c>
      <c r="C44" s="14">
        <f>'(2015-16b)'!C45+'(2015-16b)'!D45+'(2015-16c)'!C44+'(2015-16d)'!C44</f>
        <v>30</v>
      </c>
      <c r="D44" s="14">
        <f>'(2015-16b)'!E45+'(2015-16b)'!F45+'(2015-16c)'!D44+'(2015-16d)'!D44</f>
        <v>1</v>
      </c>
      <c r="E44" s="14">
        <f>'(2015-16b)'!G45+'(2015-16b)'!H45+'(2015-16c)'!E44+'(2015-16d)'!E44</f>
        <v>1</v>
      </c>
      <c r="F44" s="14">
        <f>'(2015-16b)'!I45+'(2015-16b)'!J45+'(2015-16c)'!F44+'(2015-16d)'!F44</f>
        <v>0</v>
      </c>
      <c r="H44" s="8"/>
      <c r="I44" s="8"/>
      <c r="J44" s="8"/>
      <c r="K44" s="8"/>
    </row>
    <row r="45" spans="1:11">
      <c r="A45" s="12">
        <v>72</v>
      </c>
      <c r="B45" s="16" t="s">
        <v>46</v>
      </c>
      <c r="C45" s="14">
        <f>'(2015-16b)'!C46+'(2015-16b)'!D46+'(2015-16c)'!C45+'(2015-16d)'!C45</f>
        <v>0</v>
      </c>
      <c r="D45" s="14">
        <f>'(2015-16b)'!E46+'(2015-16b)'!F46+'(2015-16c)'!D45+'(2015-16d)'!D45</f>
        <v>0</v>
      </c>
      <c r="E45" s="14">
        <f>'(2015-16b)'!G46+'(2015-16b)'!H46+'(2015-16c)'!E45+'(2015-16d)'!E45</f>
        <v>0</v>
      </c>
      <c r="F45" s="14">
        <f>'(2015-16b)'!I46+'(2015-16b)'!J46+'(2015-16c)'!F45+'(2015-16d)'!F45</f>
        <v>0</v>
      </c>
      <c r="H45" s="8"/>
      <c r="I45" s="8"/>
      <c r="J45" s="8"/>
      <c r="K45" s="8"/>
    </row>
    <row r="46" spans="1:11" s="11" customFormat="1" ht="25.5" customHeight="1">
      <c r="B46" s="6" t="s">
        <v>47</v>
      </c>
      <c r="C46" s="18">
        <f>SUM(C47:C53)</f>
        <v>698</v>
      </c>
      <c r="D46" s="18">
        <f>SUM(D47:D53)</f>
        <v>194</v>
      </c>
      <c r="E46" s="18">
        <f>SUM(E47:E53)</f>
        <v>15</v>
      </c>
      <c r="F46" s="18">
        <f>SUM(F47:F53)</f>
        <v>0</v>
      </c>
      <c r="H46" s="8"/>
      <c r="I46" s="8"/>
      <c r="J46" s="8"/>
      <c r="K46" s="8"/>
    </row>
    <row r="47" spans="1:11" ht="12.75" customHeight="1">
      <c r="A47" s="12">
        <v>66</v>
      </c>
      <c r="B47" s="19" t="s">
        <v>48</v>
      </c>
      <c r="C47" s="14">
        <f>'(2015-16b)'!C48+'(2015-16b)'!D48+'(2015-16c)'!C47+'(2015-16d)'!C47</f>
        <v>119</v>
      </c>
      <c r="D47" s="14">
        <f>'(2015-16b)'!E48+'(2015-16b)'!F48+'(2015-16c)'!D47+'(2015-16d)'!D47</f>
        <v>22</v>
      </c>
      <c r="E47" s="14">
        <f>'(2015-16b)'!G48+'(2015-16b)'!H48+'(2015-16c)'!E47+'(2015-16d)'!E47</f>
        <v>0</v>
      </c>
      <c r="F47" s="14">
        <f>'(2015-16b)'!I48+'(2015-16b)'!J48+'(2015-16c)'!F47+'(2015-16d)'!F47</f>
        <v>0</v>
      </c>
      <c r="H47" s="8"/>
      <c r="I47" s="8"/>
      <c r="J47" s="8"/>
      <c r="K47" s="8"/>
    </row>
    <row r="48" spans="1:11" ht="12.75" customHeight="1">
      <c r="A48" s="12">
        <v>78</v>
      </c>
      <c r="B48" s="13" t="s">
        <v>49</v>
      </c>
      <c r="C48" s="14">
        <f>'(2015-16b)'!C49+'(2015-16b)'!D49+'(2015-16c)'!C48+'(2015-16d)'!C48</f>
        <v>52</v>
      </c>
      <c r="D48" s="14">
        <f>'(2015-16b)'!E49+'(2015-16b)'!F49+'(2015-16c)'!D48+'(2015-16d)'!D48</f>
        <v>14</v>
      </c>
      <c r="E48" s="14">
        <f>'(2015-16b)'!G49+'(2015-16b)'!H49+'(2015-16c)'!E48+'(2015-16d)'!E48</f>
        <v>0</v>
      </c>
      <c r="F48" s="14">
        <f>'(2015-16b)'!I49+'(2015-16b)'!J49+'(2015-16c)'!F48+'(2015-16d)'!F48</f>
        <v>0</v>
      </c>
      <c r="H48" s="8"/>
      <c r="I48" s="8"/>
      <c r="J48" s="8"/>
      <c r="K48" s="8"/>
    </row>
    <row r="49" spans="1:11" ht="12.75" customHeight="1">
      <c r="A49" s="12">
        <v>89</v>
      </c>
      <c r="B49" s="13" t="s">
        <v>50</v>
      </c>
      <c r="C49" s="14">
        <f>'(2015-16b)'!C50+'(2015-16b)'!D50+'(2015-16c)'!C49+'(2015-16d)'!C49</f>
        <v>98</v>
      </c>
      <c r="D49" s="14">
        <f>'(2015-16b)'!E50+'(2015-16b)'!F50+'(2015-16c)'!D49+'(2015-16d)'!D49</f>
        <v>8</v>
      </c>
      <c r="E49" s="14">
        <f>'(2015-16b)'!G50+'(2015-16b)'!H50+'(2015-16c)'!E49+'(2015-16d)'!E49</f>
        <v>8</v>
      </c>
      <c r="F49" s="14">
        <f>'(2015-16b)'!I50+'(2015-16b)'!J50+'(2015-16c)'!F49+'(2015-16d)'!F49</f>
        <v>0</v>
      </c>
      <c r="H49" s="8"/>
      <c r="I49" s="8"/>
      <c r="J49" s="8"/>
      <c r="K49" s="8"/>
    </row>
    <row r="50" spans="1:11" ht="12.75" customHeight="1">
      <c r="A50" s="12">
        <v>93</v>
      </c>
      <c r="B50" s="13" t="s">
        <v>51</v>
      </c>
      <c r="C50" s="14">
        <f>'(2015-16b)'!C51+'(2015-16b)'!D51+'(2015-16c)'!C50+'(2015-16d)'!C50</f>
        <v>36</v>
      </c>
      <c r="D50" s="14">
        <f>'(2015-16b)'!E51+'(2015-16b)'!F51+'(2015-16c)'!D50+'(2015-16d)'!D50</f>
        <v>9</v>
      </c>
      <c r="E50" s="14">
        <f>'(2015-16b)'!G51+'(2015-16b)'!H51+'(2015-16c)'!E50+'(2015-16d)'!E50</f>
        <v>0</v>
      </c>
      <c r="F50" s="14">
        <f>'(2015-16b)'!I51+'(2015-16b)'!J51+'(2015-16c)'!F50+'(2015-16d)'!F50</f>
        <v>0</v>
      </c>
      <c r="H50" s="8"/>
      <c r="I50" s="8"/>
      <c r="J50" s="8"/>
      <c r="K50" s="8"/>
    </row>
    <row r="51" spans="1:11" ht="12.75" customHeight="1">
      <c r="A51" s="12">
        <v>95</v>
      </c>
      <c r="B51" s="13" t="s">
        <v>52</v>
      </c>
      <c r="C51" s="14">
        <f>'(2015-16b)'!C52+'(2015-16b)'!D52+'(2015-16c)'!C51+'(2015-16d)'!C51</f>
        <v>94</v>
      </c>
      <c r="D51" s="14">
        <f>'(2015-16b)'!E52+'(2015-16b)'!F52+'(2015-16c)'!D51+'(2015-16d)'!D51</f>
        <v>18</v>
      </c>
      <c r="E51" s="14">
        <f>'(2015-16b)'!G52+'(2015-16b)'!H52+'(2015-16c)'!E51+'(2015-16d)'!E51</f>
        <v>3</v>
      </c>
      <c r="F51" s="14">
        <f>'(2015-16b)'!I52+'(2015-16b)'!J52+'(2015-16c)'!F51+'(2015-16d)'!F51</f>
        <v>0</v>
      </c>
      <c r="H51" s="8"/>
      <c r="I51" s="8"/>
      <c r="J51" s="8"/>
      <c r="K51" s="8"/>
    </row>
    <row r="52" spans="1:11" ht="12.75" customHeight="1">
      <c r="A52" s="12">
        <v>97</v>
      </c>
      <c r="B52" s="13" t="s">
        <v>53</v>
      </c>
      <c r="C52" s="14">
        <f>'(2015-16b)'!C53+'(2015-16b)'!D53+'(2015-16c)'!C52+'(2015-16d)'!C52</f>
        <v>102</v>
      </c>
      <c r="D52" s="14">
        <f>'(2015-16b)'!E53+'(2015-16b)'!F53+'(2015-16c)'!D52+'(2015-16d)'!D52</f>
        <v>25</v>
      </c>
      <c r="E52" s="14">
        <f>'(2015-16b)'!G53+'(2015-16b)'!H53+'(2015-16c)'!E52+'(2015-16d)'!E52</f>
        <v>1</v>
      </c>
      <c r="F52" s="14">
        <f>'(2015-16b)'!I53+'(2015-16b)'!J53+'(2015-16c)'!F52+'(2015-16d)'!F52</f>
        <v>0</v>
      </c>
      <c r="H52" s="8"/>
      <c r="I52" s="8"/>
      <c r="J52" s="8"/>
      <c r="K52" s="8"/>
    </row>
    <row r="53" spans="1:11" ht="12.75" customHeight="1">
      <c r="A53" s="12">
        <v>77</v>
      </c>
      <c r="B53" s="20" t="s">
        <v>54</v>
      </c>
      <c r="C53" s="14">
        <f>'(2015-16b)'!C54+'(2015-16b)'!D54+'(2015-16c)'!C53+'(2015-16d)'!C53</f>
        <v>197</v>
      </c>
      <c r="D53" s="14">
        <f>'(2015-16b)'!E54+'(2015-16b)'!F54+'(2015-16c)'!D53+'(2015-16d)'!D53</f>
        <v>98</v>
      </c>
      <c r="E53" s="14">
        <f>'(2015-16b)'!G54+'(2015-16b)'!H54+'(2015-16c)'!E53+'(2015-16d)'!E53</f>
        <v>3</v>
      </c>
      <c r="F53" s="14">
        <f>'(2015-16b)'!I54+'(2015-16b)'!J54+'(2015-16c)'!F53+'(2015-16d)'!F53</f>
        <v>0</v>
      </c>
      <c r="H53" s="8"/>
      <c r="I53" s="8"/>
      <c r="J53" s="8"/>
      <c r="K53" s="8"/>
    </row>
    <row r="55" spans="1:11" ht="12.75" customHeight="1">
      <c r="B55" s="12" t="s">
        <v>55</v>
      </c>
      <c r="C55" s="22"/>
    </row>
    <row r="56" spans="1:11" ht="12.75" customHeight="1">
      <c r="B56" s="201" t="s">
        <v>56</v>
      </c>
      <c r="C56" s="202"/>
      <c r="D56" s="202"/>
      <c r="E56" s="202"/>
      <c r="F56" s="202"/>
    </row>
    <row r="57" spans="1:11" ht="12.75" customHeight="1">
      <c r="B57" s="202"/>
      <c r="C57" s="202"/>
      <c r="D57" s="202"/>
      <c r="E57" s="202"/>
      <c r="F57" s="202"/>
    </row>
    <row r="58" spans="1:11" ht="12.75" customHeight="1">
      <c r="B58" s="202"/>
      <c r="C58" s="202"/>
      <c r="D58" s="202"/>
      <c r="E58" s="202"/>
      <c r="F58" s="202"/>
    </row>
    <row r="59" spans="1:11" ht="12.75" customHeight="1">
      <c r="B59" s="202"/>
      <c r="C59" s="202"/>
      <c r="D59" s="202"/>
      <c r="E59" s="202"/>
      <c r="F59" s="202"/>
    </row>
    <row r="60" spans="1:11" ht="12.75" customHeight="1">
      <c r="B60" s="202"/>
      <c r="C60" s="202"/>
      <c r="D60" s="202"/>
      <c r="E60" s="202"/>
      <c r="F60" s="202"/>
    </row>
    <row r="61" spans="1:11" ht="12.75" customHeight="1">
      <c r="B61" s="202"/>
      <c r="C61" s="202"/>
      <c r="D61" s="202"/>
      <c r="E61" s="202"/>
      <c r="F61" s="202"/>
    </row>
    <row r="62" spans="1:11" ht="39" customHeight="1">
      <c r="B62" s="202"/>
      <c r="C62" s="202"/>
      <c r="D62" s="202"/>
      <c r="E62" s="202"/>
      <c r="F62" s="202"/>
    </row>
    <row r="63" spans="1:11" ht="12.75" customHeight="1">
      <c r="B63" s="23"/>
      <c r="C63" s="23"/>
      <c r="D63" s="23"/>
      <c r="E63" s="23"/>
      <c r="F63" s="23"/>
    </row>
    <row r="64" spans="1:11" ht="12.75" customHeight="1">
      <c r="B64" s="24" t="s">
        <v>57</v>
      </c>
      <c r="C64" s="25"/>
      <c r="D64" s="25"/>
      <c r="E64" s="25"/>
    </row>
    <row r="65" spans="2:5">
      <c r="B65" s="26"/>
      <c r="C65" s="25"/>
      <c r="D65" s="25"/>
      <c r="E65" s="25"/>
    </row>
    <row r="66" spans="2:5">
      <c r="C66" s="25"/>
      <c r="D66" s="25"/>
      <c r="E66" s="25"/>
    </row>
    <row r="67" spans="2:5">
      <c r="B67" s="27"/>
      <c r="C67" s="25"/>
      <c r="D67" s="25"/>
      <c r="E67" s="25"/>
    </row>
    <row r="68" spans="2:5">
      <c r="C68" s="25"/>
      <c r="D68" s="25"/>
      <c r="E68" s="25"/>
    </row>
  </sheetData>
  <mergeCells count="5">
    <mergeCell ref="B1:F1"/>
    <mergeCell ref="B2:B3"/>
    <mergeCell ref="C2:C3"/>
    <mergeCell ref="D2:E2"/>
    <mergeCell ref="B56:F6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L68"/>
  <sheetViews>
    <sheetView showGridLines="0" zoomScale="85" workbookViewId="0">
      <pane xSplit="2" ySplit="4" topLeftCell="C5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RowHeight="12.75"/>
  <cols>
    <col min="1" max="1" width="4.7109375" style="28" hidden="1" customWidth="1"/>
    <col min="2" max="2" width="24.7109375" style="2" customWidth="1"/>
    <col min="3" max="3" width="11" style="2" customWidth="1"/>
    <col min="4" max="4" width="11.85546875" style="2" customWidth="1"/>
    <col min="5" max="10" width="11" style="2" customWidth="1"/>
    <col min="11" max="256" width="9.140625" style="2"/>
    <col min="257" max="257" width="0" style="2" hidden="1" customWidth="1"/>
    <col min="258" max="258" width="24.7109375" style="2" customWidth="1"/>
    <col min="259" max="259" width="11" style="2" customWidth="1"/>
    <col min="260" max="260" width="11.85546875" style="2" customWidth="1"/>
    <col min="261" max="266" width="11" style="2" customWidth="1"/>
    <col min="267" max="512" width="9.140625" style="2"/>
    <col min="513" max="513" width="0" style="2" hidden="1" customWidth="1"/>
    <col min="514" max="514" width="24.7109375" style="2" customWidth="1"/>
    <col min="515" max="515" width="11" style="2" customWidth="1"/>
    <col min="516" max="516" width="11.85546875" style="2" customWidth="1"/>
    <col min="517" max="522" width="11" style="2" customWidth="1"/>
    <col min="523" max="768" width="9.140625" style="2"/>
    <col min="769" max="769" width="0" style="2" hidden="1" customWidth="1"/>
    <col min="770" max="770" width="24.7109375" style="2" customWidth="1"/>
    <col min="771" max="771" width="11" style="2" customWidth="1"/>
    <col min="772" max="772" width="11.85546875" style="2" customWidth="1"/>
    <col min="773" max="778" width="11" style="2" customWidth="1"/>
    <col min="779" max="1024" width="9.140625" style="2"/>
    <col min="1025" max="1025" width="0" style="2" hidden="1" customWidth="1"/>
    <col min="1026" max="1026" width="24.7109375" style="2" customWidth="1"/>
    <col min="1027" max="1027" width="11" style="2" customWidth="1"/>
    <col min="1028" max="1028" width="11.85546875" style="2" customWidth="1"/>
    <col min="1029" max="1034" width="11" style="2" customWidth="1"/>
    <col min="1035" max="1280" width="9.140625" style="2"/>
    <col min="1281" max="1281" width="0" style="2" hidden="1" customWidth="1"/>
    <col min="1282" max="1282" width="24.7109375" style="2" customWidth="1"/>
    <col min="1283" max="1283" width="11" style="2" customWidth="1"/>
    <col min="1284" max="1284" width="11.85546875" style="2" customWidth="1"/>
    <col min="1285" max="1290" width="11" style="2" customWidth="1"/>
    <col min="1291" max="1536" width="9.140625" style="2"/>
    <col min="1537" max="1537" width="0" style="2" hidden="1" customWidth="1"/>
    <col min="1538" max="1538" width="24.7109375" style="2" customWidth="1"/>
    <col min="1539" max="1539" width="11" style="2" customWidth="1"/>
    <col min="1540" max="1540" width="11.85546875" style="2" customWidth="1"/>
    <col min="1541" max="1546" width="11" style="2" customWidth="1"/>
    <col min="1547" max="1792" width="9.140625" style="2"/>
    <col min="1793" max="1793" width="0" style="2" hidden="1" customWidth="1"/>
    <col min="1794" max="1794" width="24.7109375" style="2" customWidth="1"/>
    <col min="1795" max="1795" width="11" style="2" customWidth="1"/>
    <col min="1796" max="1796" width="11.85546875" style="2" customWidth="1"/>
    <col min="1797" max="1802" width="11" style="2" customWidth="1"/>
    <col min="1803" max="2048" width="9.140625" style="2"/>
    <col min="2049" max="2049" width="0" style="2" hidden="1" customWidth="1"/>
    <col min="2050" max="2050" width="24.7109375" style="2" customWidth="1"/>
    <col min="2051" max="2051" width="11" style="2" customWidth="1"/>
    <col min="2052" max="2052" width="11.85546875" style="2" customWidth="1"/>
    <col min="2053" max="2058" width="11" style="2" customWidth="1"/>
    <col min="2059" max="2304" width="9.140625" style="2"/>
    <col min="2305" max="2305" width="0" style="2" hidden="1" customWidth="1"/>
    <col min="2306" max="2306" width="24.7109375" style="2" customWidth="1"/>
    <col min="2307" max="2307" width="11" style="2" customWidth="1"/>
    <col min="2308" max="2308" width="11.85546875" style="2" customWidth="1"/>
    <col min="2309" max="2314" width="11" style="2" customWidth="1"/>
    <col min="2315" max="2560" width="9.140625" style="2"/>
    <col min="2561" max="2561" width="0" style="2" hidden="1" customWidth="1"/>
    <col min="2562" max="2562" width="24.7109375" style="2" customWidth="1"/>
    <col min="2563" max="2563" width="11" style="2" customWidth="1"/>
    <col min="2564" max="2564" width="11.85546875" style="2" customWidth="1"/>
    <col min="2565" max="2570" width="11" style="2" customWidth="1"/>
    <col min="2571" max="2816" width="9.140625" style="2"/>
    <col min="2817" max="2817" width="0" style="2" hidden="1" customWidth="1"/>
    <col min="2818" max="2818" width="24.7109375" style="2" customWidth="1"/>
    <col min="2819" max="2819" width="11" style="2" customWidth="1"/>
    <col min="2820" max="2820" width="11.85546875" style="2" customWidth="1"/>
    <col min="2821" max="2826" width="11" style="2" customWidth="1"/>
    <col min="2827" max="3072" width="9.140625" style="2"/>
    <col min="3073" max="3073" width="0" style="2" hidden="1" customWidth="1"/>
    <col min="3074" max="3074" width="24.7109375" style="2" customWidth="1"/>
    <col min="3075" max="3075" width="11" style="2" customWidth="1"/>
    <col min="3076" max="3076" width="11.85546875" style="2" customWidth="1"/>
    <col min="3077" max="3082" width="11" style="2" customWidth="1"/>
    <col min="3083" max="3328" width="9.140625" style="2"/>
    <col min="3329" max="3329" width="0" style="2" hidden="1" customWidth="1"/>
    <col min="3330" max="3330" width="24.7109375" style="2" customWidth="1"/>
    <col min="3331" max="3331" width="11" style="2" customWidth="1"/>
    <col min="3332" max="3332" width="11.85546875" style="2" customWidth="1"/>
    <col min="3333" max="3338" width="11" style="2" customWidth="1"/>
    <col min="3339" max="3584" width="9.140625" style="2"/>
    <col min="3585" max="3585" width="0" style="2" hidden="1" customWidth="1"/>
    <col min="3586" max="3586" width="24.7109375" style="2" customWidth="1"/>
    <col min="3587" max="3587" width="11" style="2" customWidth="1"/>
    <col min="3588" max="3588" width="11.85546875" style="2" customWidth="1"/>
    <col min="3589" max="3594" width="11" style="2" customWidth="1"/>
    <col min="3595" max="3840" width="9.140625" style="2"/>
    <col min="3841" max="3841" width="0" style="2" hidden="1" customWidth="1"/>
    <col min="3842" max="3842" width="24.7109375" style="2" customWidth="1"/>
    <col min="3843" max="3843" width="11" style="2" customWidth="1"/>
    <col min="3844" max="3844" width="11.85546875" style="2" customWidth="1"/>
    <col min="3845" max="3850" width="11" style="2" customWidth="1"/>
    <col min="3851" max="4096" width="9.140625" style="2"/>
    <col min="4097" max="4097" width="0" style="2" hidden="1" customWidth="1"/>
    <col min="4098" max="4098" width="24.7109375" style="2" customWidth="1"/>
    <col min="4099" max="4099" width="11" style="2" customWidth="1"/>
    <col min="4100" max="4100" width="11.85546875" style="2" customWidth="1"/>
    <col min="4101" max="4106" width="11" style="2" customWidth="1"/>
    <col min="4107" max="4352" width="9.140625" style="2"/>
    <col min="4353" max="4353" width="0" style="2" hidden="1" customWidth="1"/>
    <col min="4354" max="4354" width="24.7109375" style="2" customWidth="1"/>
    <col min="4355" max="4355" width="11" style="2" customWidth="1"/>
    <col min="4356" max="4356" width="11.85546875" style="2" customWidth="1"/>
    <col min="4357" max="4362" width="11" style="2" customWidth="1"/>
    <col min="4363" max="4608" width="9.140625" style="2"/>
    <col min="4609" max="4609" width="0" style="2" hidden="1" customWidth="1"/>
    <col min="4610" max="4610" width="24.7109375" style="2" customWidth="1"/>
    <col min="4611" max="4611" width="11" style="2" customWidth="1"/>
    <col min="4612" max="4612" width="11.85546875" style="2" customWidth="1"/>
    <col min="4613" max="4618" width="11" style="2" customWidth="1"/>
    <col min="4619" max="4864" width="9.140625" style="2"/>
    <col min="4865" max="4865" width="0" style="2" hidden="1" customWidth="1"/>
    <col min="4866" max="4866" width="24.7109375" style="2" customWidth="1"/>
    <col min="4867" max="4867" width="11" style="2" customWidth="1"/>
    <col min="4868" max="4868" width="11.85546875" style="2" customWidth="1"/>
    <col min="4869" max="4874" width="11" style="2" customWidth="1"/>
    <col min="4875" max="5120" width="9.140625" style="2"/>
    <col min="5121" max="5121" width="0" style="2" hidden="1" customWidth="1"/>
    <col min="5122" max="5122" width="24.7109375" style="2" customWidth="1"/>
    <col min="5123" max="5123" width="11" style="2" customWidth="1"/>
    <col min="5124" max="5124" width="11.85546875" style="2" customWidth="1"/>
    <col min="5125" max="5130" width="11" style="2" customWidth="1"/>
    <col min="5131" max="5376" width="9.140625" style="2"/>
    <col min="5377" max="5377" width="0" style="2" hidden="1" customWidth="1"/>
    <col min="5378" max="5378" width="24.7109375" style="2" customWidth="1"/>
    <col min="5379" max="5379" width="11" style="2" customWidth="1"/>
    <col min="5380" max="5380" width="11.85546875" style="2" customWidth="1"/>
    <col min="5381" max="5386" width="11" style="2" customWidth="1"/>
    <col min="5387" max="5632" width="9.140625" style="2"/>
    <col min="5633" max="5633" width="0" style="2" hidden="1" customWidth="1"/>
    <col min="5634" max="5634" width="24.7109375" style="2" customWidth="1"/>
    <col min="5635" max="5635" width="11" style="2" customWidth="1"/>
    <col min="5636" max="5636" width="11.85546875" style="2" customWidth="1"/>
    <col min="5637" max="5642" width="11" style="2" customWidth="1"/>
    <col min="5643" max="5888" width="9.140625" style="2"/>
    <col min="5889" max="5889" width="0" style="2" hidden="1" customWidth="1"/>
    <col min="5890" max="5890" width="24.7109375" style="2" customWidth="1"/>
    <col min="5891" max="5891" width="11" style="2" customWidth="1"/>
    <col min="5892" max="5892" width="11.85546875" style="2" customWidth="1"/>
    <col min="5893" max="5898" width="11" style="2" customWidth="1"/>
    <col min="5899" max="6144" width="9.140625" style="2"/>
    <col min="6145" max="6145" width="0" style="2" hidden="1" customWidth="1"/>
    <col min="6146" max="6146" width="24.7109375" style="2" customWidth="1"/>
    <col min="6147" max="6147" width="11" style="2" customWidth="1"/>
    <col min="6148" max="6148" width="11.85546875" style="2" customWidth="1"/>
    <col min="6149" max="6154" width="11" style="2" customWidth="1"/>
    <col min="6155" max="6400" width="9.140625" style="2"/>
    <col min="6401" max="6401" width="0" style="2" hidden="1" customWidth="1"/>
    <col min="6402" max="6402" width="24.7109375" style="2" customWidth="1"/>
    <col min="6403" max="6403" width="11" style="2" customWidth="1"/>
    <col min="6404" max="6404" width="11.85546875" style="2" customWidth="1"/>
    <col min="6405" max="6410" width="11" style="2" customWidth="1"/>
    <col min="6411" max="6656" width="9.140625" style="2"/>
    <col min="6657" max="6657" width="0" style="2" hidden="1" customWidth="1"/>
    <col min="6658" max="6658" width="24.7109375" style="2" customWidth="1"/>
    <col min="6659" max="6659" width="11" style="2" customWidth="1"/>
    <col min="6660" max="6660" width="11.85546875" style="2" customWidth="1"/>
    <col min="6661" max="6666" width="11" style="2" customWidth="1"/>
    <col min="6667" max="6912" width="9.140625" style="2"/>
    <col min="6913" max="6913" width="0" style="2" hidden="1" customWidth="1"/>
    <col min="6914" max="6914" width="24.7109375" style="2" customWidth="1"/>
    <col min="6915" max="6915" width="11" style="2" customWidth="1"/>
    <col min="6916" max="6916" width="11.85546875" style="2" customWidth="1"/>
    <col min="6917" max="6922" width="11" style="2" customWidth="1"/>
    <col min="6923" max="7168" width="9.140625" style="2"/>
    <col min="7169" max="7169" width="0" style="2" hidden="1" customWidth="1"/>
    <col min="7170" max="7170" width="24.7109375" style="2" customWidth="1"/>
    <col min="7171" max="7171" width="11" style="2" customWidth="1"/>
    <col min="7172" max="7172" width="11.85546875" style="2" customWidth="1"/>
    <col min="7173" max="7178" width="11" style="2" customWidth="1"/>
    <col min="7179" max="7424" width="9.140625" style="2"/>
    <col min="7425" max="7425" width="0" style="2" hidden="1" customWidth="1"/>
    <col min="7426" max="7426" width="24.7109375" style="2" customWidth="1"/>
    <col min="7427" max="7427" width="11" style="2" customWidth="1"/>
    <col min="7428" max="7428" width="11.85546875" style="2" customWidth="1"/>
    <col min="7429" max="7434" width="11" style="2" customWidth="1"/>
    <col min="7435" max="7680" width="9.140625" style="2"/>
    <col min="7681" max="7681" width="0" style="2" hidden="1" customWidth="1"/>
    <col min="7682" max="7682" width="24.7109375" style="2" customWidth="1"/>
    <col min="7683" max="7683" width="11" style="2" customWidth="1"/>
    <col min="7684" max="7684" width="11.85546875" style="2" customWidth="1"/>
    <col min="7685" max="7690" width="11" style="2" customWidth="1"/>
    <col min="7691" max="7936" width="9.140625" style="2"/>
    <col min="7937" max="7937" width="0" style="2" hidden="1" customWidth="1"/>
    <col min="7938" max="7938" width="24.7109375" style="2" customWidth="1"/>
    <col min="7939" max="7939" width="11" style="2" customWidth="1"/>
    <col min="7940" max="7940" width="11.85546875" style="2" customWidth="1"/>
    <col min="7941" max="7946" width="11" style="2" customWidth="1"/>
    <col min="7947" max="8192" width="9.140625" style="2"/>
    <col min="8193" max="8193" width="0" style="2" hidden="1" customWidth="1"/>
    <col min="8194" max="8194" width="24.7109375" style="2" customWidth="1"/>
    <col min="8195" max="8195" width="11" style="2" customWidth="1"/>
    <col min="8196" max="8196" width="11.85546875" style="2" customWidth="1"/>
    <col min="8197" max="8202" width="11" style="2" customWidth="1"/>
    <col min="8203" max="8448" width="9.140625" style="2"/>
    <col min="8449" max="8449" width="0" style="2" hidden="1" customWidth="1"/>
    <col min="8450" max="8450" width="24.7109375" style="2" customWidth="1"/>
    <col min="8451" max="8451" width="11" style="2" customWidth="1"/>
    <col min="8452" max="8452" width="11.85546875" style="2" customWidth="1"/>
    <col min="8453" max="8458" width="11" style="2" customWidth="1"/>
    <col min="8459" max="8704" width="9.140625" style="2"/>
    <col min="8705" max="8705" width="0" style="2" hidden="1" customWidth="1"/>
    <col min="8706" max="8706" width="24.7109375" style="2" customWidth="1"/>
    <col min="8707" max="8707" width="11" style="2" customWidth="1"/>
    <col min="8708" max="8708" width="11.85546875" style="2" customWidth="1"/>
    <col min="8709" max="8714" width="11" style="2" customWidth="1"/>
    <col min="8715" max="8960" width="9.140625" style="2"/>
    <col min="8961" max="8961" width="0" style="2" hidden="1" customWidth="1"/>
    <col min="8962" max="8962" width="24.7109375" style="2" customWidth="1"/>
    <col min="8963" max="8963" width="11" style="2" customWidth="1"/>
    <col min="8964" max="8964" width="11.85546875" style="2" customWidth="1"/>
    <col min="8965" max="8970" width="11" style="2" customWidth="1"/>
    <col min="8971" max="9216" width="9.140625" style="2"/>
    <col min="9217" max="9217" width="0" style="2" hidden="1" customWidth="1"/>
    <col min="9218" max="9218" width="24.7109375" style="2" customWidth="1"/>
    <col min="9219" max="9219" width="11" style="2" customWidth="1"/>
    <col min="9220" max="9220" width="11.85546875" style="2" customWidth="1"/>
    <col min="9221" max="9226" width="11" style="2" customWidth="1"/>
    <col min="9227" max="9472" width="9.140625" style="2"/>
    <col min="9473" max="9473" width="0" style="2" hidden="1" customWidth="1"/>
    <col min="9474" max="9474" width="24.7109375" style="2" customWidth="1"/>
    <col min="9475" max="9475" width="11" style="2" customWidth="1"/>
    <col min="9476" max="9476" width="11.85546875" style="2" customWidth="1"/>
    <col min="9477" max="9482" width="11" style="2" customWidth="1"/>
    <col min="9483" max="9728" width="9.140625" style="2"/>
    <col min="9729" max="9729" width="0" style="2" hidden="1" customWidth="1"/>
    <col min="9730" max="9730" width="24.7109375" style="2" customWidth="1"/>
    <col min="9731" max="9731" width="11" style="2" customWidth="1"/>
    <col min="9732" max="9732" width="11.85546875" style="2" customWidth="1"/>
    <col min="9733" max="9738" width="11" style="2" customWidth="1"/>
    <col min="9739" max="9984" width="9.140625" style="2"/>
    <col min="9985" max="9985" width="0" style="2" hidden="1" customWidth="1"/>
    <col min="9986" max="9986" width="24.7109375" style="2" customWidth="1"/>
    <col min="9987" max="9987" width="11" style="2" customWidth="1"/>
    <col min="9988" max="9988" width="11.85546875" style="2" customWidth="1"/>
    <col min="9989" max="9994" width="11" style="2" customWidth="1"/>
    <col min="9995" max="10240" width="9.140625" style="2"/>
    <col min="10241" max="10241" width="0" style="2" hidden="1" customWidth="1"/>
    <col min="10242" max="10242" width="24.7109375" style="2" customWidth="1"/>
    <col min="10243" max="10243" width="11" style="2" customWidth="1"/>
    <col min="10244" max="10244" width="11.85546875" style="2" customWidth="1"/>
    <col min="10245" max="10250" width="11" style="2" customWidth="1"/>
    <col min="10251" max="10496" width="9.140625" style="2"/>
    <col min="10497" max="10497" width="0" style="2" hidden="1" customWidth="1"/>
    <col min="10498" max="10498" width="24.7109375" style="2" customWidth="1"/>
    <col min="10499" max="10499" width="11" style="2" customWidth="1"/>
    <col min="10500" max="10500" width="11.85546875" style="2" customWidth="1"/>
    <col min="10501" max="10506" width="11" style="2" customWidth="1"/>
    <col min="10507" max="10752" width="9.140625" style="2"/>
    <col min="10753" max="10753" width="0" style="2" hidden="1" customWidth="1"/>
    <col min="10754" max="10754" width="24.7109375" style="2" customWidth="1"/>
    <col min="10755" max="10755" width="11" style="2" customWidth="1"/>
    <col min="10756" max="10756" width="11.85546875" style="2" customWidth="1"/>
    <col min="10757" max="10762" width="11" style="2" customWidth="1"/>
    <col min="10763" max="11008" width="9.140625" style="2"/>
    <col min="11009" max="11009" width="0" style="2" hidden="1" customWidth="1"/>
    <col min="11010" max="11010" width="24.7109375" style="2" customWidth="1"/>
    <col min="11011" max="11011" width="11" style="2" customWidth="1"/>
    <col min="11012" max="11012" width="11.85546875" style="2" customWidth="1"/>
    <col min="11013" max="11018" width="11" style="2" customWidth="1"/>
    <col min="11019" max="11264" width="9.140625" style="2"/>
    <col min="11265" max="11265" width="0" style="2" hidden="1" customWidth="1"/>
    <col min="11266" max="11266" width="24.7109375" style="2" customWidth="1"/>
    <col min="11267" max="11267" width="11" style="2" customWidth="1"/>
    <col min="11268" max="11268" width="11.85546875" style="2" customWidth="1"/>
    <col min="11269" max="11274" width="11" style="2" customWidth="1"/>
    <col min="11275" max="11520" width="9.140625" style="2"/>
    <col min="11521" max="11521" width="0" style="2" hidden="1" customWidth="1"/>
    <col min="11522" max="11522" width="24.7109375" style="2" customWidth="1"/>
    <col min="11523" max="11523" width="11" style="2" customWidth="1"/>
    <col min="11524" max="11524" width="11.85546875" style="2" customWidth="1"/>
    <col min="11525" max="11530" width="11" style="2" customWidth="1"/>
    <col min="11531" max="11776" width="9.140625" style="2"/>
    <col min="11777" max="11777" width="0" style="2" hidden="1" customWidth="1"/>
    <col min="11778" max="11778" width="24.7109375" style="2" customWidth="1"/>
    <col min="11779" max="11779" width="11" style="2" customWidth="1"/>
    <col min="11780" max="11780" width="11.85546875" style="2" customWidth="1"/>
    <col min="11781" max="11786" width="11" style="2" customWidth="1"/>
    <col min="11787" max="12032" width="9.140625" style="2"/>
    <col min="12033" max="12033" width="0" style="2" hidden="1" customWidth="1"/>
    <col min="12034" max="12034" width="24.7109375" style="2" customWidth="1"/>
    <col min="12035" max="12035" width="11" style="2" customWidth="1"/>
    <col min="12036" max="12036" width="11.85546875" style="2" customWidth="1"/>
    <col min="12037" max="12042" width="11" style="2" customWidth="1"/>
    <col min="12043" max="12288" width="9.140625" style="2"/>
    <col min="12289" max="12289" width="0" style="2" hidden="1" customWidth="1"/>
    <col min="12290" max="12290" width="24.7109375" style="2" customWidth="1"/>
    <col min="12291" max="12291" width="11" style="2" customWidth="1"/>
    <col min="12292" max="12292" width="11.85546875" style="2" customWidth="1"/>
    <col min="12293" max="12298" width="11" style="2" customWidth="1"/>
    <col min="12299" max="12544" width="9.140625" style="2"/>
    <col min="12545" max="12545" width="0" style="2" hidden="1" customWidth="1"/>
    <col min="12546" max="12546" width="24.7109375" style="2" customWidth="1"/>
    <col min="12547" max="12547" width="11" style="2" customWidth="1"/>
    <col min="12548" max="12548" width="11.85546875" style="2" customWidth="1"/>
    <col min="12549" max="12554" width="11" style="2" customWidth="1"/>
    <col min="12555" max="12800" width="9.140625" style="2"/>
    <col min="12801" max="12801" width="0" style="2" hidden="1" customWidth="1"/>
    <col min="12802" max="12802" width="24.7109375" style="2" customWidth="1"/>
    <col min="12803" max="12803" width="11" style="2" customWidth="1"/>
    <col min="12804" max="12804" width="11.85546875" style="2" customWidth="1"/>
    <col min="12805" max="12810" width="11" style="2" customWidth="1"/>
    <col min="12811" max="13056" width="9.140625" style="2"/>
    <col min="13057" max="13057" width="0" style="2" hidden="1" customWidth="1"/>
    <col min="13058" max="13058" width="24.7109375" style="2" customWidth="1"/>
    <col min="13059" max="13059" width="11" style="2" customWidth="1"/>
    <col min="13060" max="13060" width="11.85546875" style="2" customWidth="1"/>
    <col min="13061" max="13066" width="11" style="2" customWidth="1"/>
    <col min="13067" max="13312" width="9.140625" style="2"/>
    <col min="13313" max="13313" width="0" style="2" hidden="1" customWidth="1"/>
    <col min="13314" max="13314" width="24.7109375" style="2" customWidth="1"/>
    <col min="13315" max="13315" width="11" style="2" customWidth="1"/>
    <col min="13316" max="13316" width="11.85546875" style="2" customWidth="1"/>
    <col min="13317" max="13322" width="11" style="2" customWidth="1"/>
    <col min="13323" max="13568" width="9.140625" style="2"/>
    <col min="13569" max="13569" width="0" style="2" hidden="1" customWidth="1"/>
    <col min="13570" max="13570" width="24.7109375" style="2" customWidth="1"/>
    <col min="13571" max="13571" width="11" style="2" customWidth="1"/>
    <col min="13572" max="13572" width="11.85546875" style="2" customWidth="1"/>
    <col min="13573" max="13578" width="11" style="2" customWidth="1"/>
    <col min="13579" max="13824" width="9.140625" style="2"/>
    <col min="13825" max="13825" width="0" style="2" hidden="1" customWidth="1"/>
    <col min="13826" max="13826" width="24.7109375" style="2" customWidth="1"/>
    <col min="13827" max="13827" width="11" style="2" customWidth="1"/>
    <col min="13828" max="13828" width="11.85546875" style="2" customWidth="1"/>
    <col min="13829" max="13834" width="11" style="2" customWidth="1"/>
    <col min="13835" max="14080" width="9.140625" style="2"/>
    <col min="14081" max="14081" width="0" style="2" hidden="1" customWidth="1"/>
    <col min="14082" max="14082" width="24.7109375" style="2" customWidth="1"/>
    <col min="14083" max="14083" width="11" style="2" customWidth="1"/>
    <col min="14084" max="14084" width="11.85546875" style="2" customWidth="1"/>
    <col min="14085" max="14090" width="11" style="2" customWidth="1"/>
    <col min="14091" max="14336" width="9.140625" style="2"/>
    <col min="14337" max="14337" width="0" style="2" hidden="1" customWidth="1"/>
    <col min="14338" max="14338" width="24.7109375" style="2" customWidth="1"/>
    <col min="14339" max="14339" width="11" style="2" customWidth="1"/>
    <col min="14340" max="14340" width="11.85546875" style="2" customWidth="1"/>
    <col min="14341" max="14346" width="11" style="2" customWidth="1"/>
    <col min="14347" max="14592" width="9.140625" style="2"/>
    <col min="14593" max="14593" width="0" style="2" hidden="1" customWidth="1"/>
    <col min="14594" max="14594" width="24.7109375" style="2" customWidth="1"/>
    <col min="14595" max="14595" width="11" style="2" customWidth="1"/>
    <col min="14596" max="14596" width="11.85546875" style="2" customWidth="1"/>
    <col min="14597" max="14602" width="11" style="2" customWidth="1"/>
    <col min="14603" max="14848" width="9.140625" style="2"/>
    <col min="14849" max="14849" width="0" style="2" hidden="1" customWidth="1"/>
    <col min="14850" max="14850" width="24.7109375" style="2" customWidth="1"/>
    <col min="14851" max="14851" width="11" style="2" customWidth="1"/>
    <col min="14852" max="14852" width="11.85546875" style="2" customWidth="1"/>
    <col min="14853" max="14858" width="11" style="2" customWidth="1"/>
    <col min="14859" max="15104" width="9.140625" style="2"/>
    <col min="15105" max="15105" width="0" style="2" hidden="1" customWidth="1"/>
    <col min="15106" max="15106" width="24.7109375" style="2" customWidth="1"/>
    <col min="15107" max="15107" width="11" style="2" customWidth="1"/>
    <col min="15108" max="15108" width="11.85546875" style="2" customWidth="1"/>
    <col min="15109" max="15114" width="11" style="2" customWidth="1"/>
    <col min="15115" max="15360" width="9.140625" style="2"/>
    <col min="15361" max="15361" width="0" style="2" hidden="1" customWidth="1"/>
    <col min="15362" max="15362" width="24.7109375" style="2" customWidth="1"/>
    <col min="15363" max="15363" width="11" style="2" customWidth="1"/>
    <col min="15364" max="15364" width="11.85546875" style="2" customWidth="1"/>
    <col min="15365" max="15370" width="11" style="2" customWidth="1"/>
    <col min="15371" max="15616" width="9.140625" style="2"/>
    <col min="15617" max="15617" width="0" style="2" hidden="1" customWidth="1"/>
    <col min="15618" max="15618" width="24.7109375" style="2" customWidth="1"/>
    <col min="15619" max="15619" width="11" style="2" customWidth="1"/>
    <col min="15620" max="15620" width="11.85546875" style="2" customWidth="1"/>
    <col min="15621" max="15626" width="11" style="2" customWidth="1"/>
    <col min="15627" max="15872" width="9.140625" style="2"/>
    <col min="15873" max="15873" width="0" style="2" hidden="1" customWidth="1"/>
    <col min="15874" max="15874" width="24.7109375" style="2" customWidth="1"/>
    <col min="15875" max="15875" width="11" style="2" customWidth="1"/>
    <col min="15876" max="15876" width="11.85546875" style="2" customWidth="1"/>
    <col min="15877" max="15882" width="11" style="2" customWidth="1"/>
    <col min="15883" max="16128" width="9.140625" style="2"/>
    <col min="16129" max="16129" width="0" style="2" hidden="1" customWidth="1"/>
    <col min="16130" max="16130" width="24.7109375" style="2" customWidth="1"/>
    <col min="16131" max="16131" width="11" style="2" customWidth="1"/>
    <col min="16132" max="16132" width="11.85546875" style="2" customWidth="1"/>
    <col min="16133" max="16138" width="11" style="2" customWidth="1"/>
    <col min="16139" max="16384" width="9.140625" style="2"/>
  </cols>
  <sheetData>
    <row r="1" spans="1:12" ht="48" customHeight="1">
      <c r="B1" s="208" t="s">
        <v>58</v>
      </c>
      <c r="C1" s="208"/>
      <c r="D1" s="208"/>
      <c r="E1" s="208"/>
      <c r="F1" s="208"/>
      <c r="G1" s="208"/>
      <c r="H1" s="208"/>
      <c r="I1" s="208"/>
      <c r="J1" s="208"/>
    </row>
    <row r="2" spans="1:12" ht="12.75" customHeight="1">
      <c r="B2" s="209"/>
      <c r="C2" s="214" t="s">
        <v>1</v>
      </c>
      <c r="D2" s="214"/>
      <c r="E2" s="216" t="s">
        <v>2</v>
      </c>
      <c r="F2" s="216"/>
      <c r="G2" s="216"/>
      <c r="H2" s="216"/>
      <c r="I2" s="217" t="s">
        <v>5</v>
      </c>
      <c r="J2" s="217"/>
    </row>
    <row r="3" spans="1:12" ht="30" customHeight="1">
      <c r="A3" s="29"/>
      <c r="B3" s="209"/>
      <c r="C3" s="215"/>
      <c r="D3" s="215"/>
      <c r="E3" s="30" t="s">
        <v>3</v>
      </c>
      <c r="F3" s="30"/>
      <c r="G3" s="30" t="s">
        <v>4</v>
      </c>
      <c r="H3" s="30"/>
      <c r="I3" s="215"/>
      <c r="J3" s="215"/>
    </row>
    <row r="4" spans="1:12" ht="45.75" customHeight="1">
      <c r="B4" s="213"/>
      <c r="C4" s="31" t="s">
        <v>59</v>
      </c>
      <c r="D4" s="32" t="s">
        <v>60</v>
      </c>
      <c r="E4" s="31" t="s">
        <v>59</v>
      </c>
      <c r="F4" s="32" t="s">
        <v>60</v>
      </c>
      <c r="G4" s="31" t="s">
        <v>59</v>
      </c>
      <c r="H4" s="32" t="s">
        <v>60</v>
      </c>
      <c r="I4" s="31" t="s">
        <v>59</v>
      </c>
      <c r="J4" s="32" t="s">
        <v>60</v>
      </c>
    </row>
    <row r="5" spans="1:12" ht="30" customHeight="1">
      <c r="B5" s="11" t="s">
        <v>6</v>
      </c>
      <c r="C5" s="18">
        <f>C6+C47</f>
        <v>693</v>
      </c>
      <c r="D5" s="18">
        <f t="shared" ref="D5:J5" si="0">D6+D47</f>
        <v>356</v>
      </c>
      <c r="E5" s="18">
        <f t="shared" si="0"/>
        <v>142</v>
      </c>
      <c r="F5" s="18">
        <f t="shared" si="0"/>
        <v>85</v>
      </c>
      <c r="G5" s="18">
        <f t="shared" si="0"/>
        <v>11</v>
      </c>
      <c r="H5" s="18">
        <f t="shared" si="0"/>
        <v>5</v>
      </c>
      <c r="I5" s="18">
        <f t="shared" si="0"/>
        <v>1</v>
      </c>
      <c r="J5" s="18">
        <f t="shared" si="0"/>
        <v>0</v>
      </c>
      <c r="L5" s="8"/>
    </row>
    <row r="6" spans="1:12" s="11" customFormat="1" ht="25.5" customHeight="1">
      <c r="A6" s="33"/>
      <c r="B6" s="11" t="s">
        <v>7</v>
      </c>
      <c r="C6" s="34">
        <f>SUM(C7:C46)</f>
        <v>456</v>
      </c>
      <c r="D6" s="34">
        <f t="shared" ref="D6:J6" si="1">SUM(D7:D46)</f>
        <v>248</v>
      </c>
      <c r="E6" s="34">
        <f t="shared" si="1"/>
        <v>69</v>
      </c>
      <c r="F6" s="34">
        <f t="shared" si="1"/>
        <v>37</v>
      </c>
      <c r="G6" s="34">
        <f t="shared" si="1"/>
        <v>7</v>
      </c>
      <c r="H6" s="34">
        <f t="shared" si="1"/>
        <v>3</v>
      </c>
      <c r="I6" s="34">
        <f t="shared" si="1"/>
        <v>1</v>
      </c>
      <c r="J6" s="34">
        <f t="shared" si="1"/>
        <v>0</v>
      </c>
    </row>
    <row r="7" spans="1:12" ht="12.75" customHeight="1">
      <c r="A7" s="35">
        <v>51</v>
      </c>
      <c r="B7" s="2" t="s">
        <v>8</v>
      </c>
      <c r="C7" s="36">
        <v>27</v>
      </c>
      <c r="D7" s="36">
        <v>6</v>
      </c>
      <c r="E7" s="36">
        <v>7</v>
      </c>
      <c r="F7" s="36">
        <v>1</v>
      </c>
      <c r="G7" s="36">
        <v>1</v>
      </c>
      <c r="H7" s="36">
        <v>0</v>
      </c>
      <c r="I7" s="36">
        <v>0</v>
      </c>
      <c r="J7" s="36">
        <v>0</v>
      </c>
    </row>
    <row r="8" spans="1:12" ht="12.75" customHeight="1">
      <c r="A8" s="35">
        <v>52</v>
      </c>
      <c r="B8" s="2" t="s">
        <v>9</v>
      </c>
      <c r="C8" s="36">
        <v>9</v>
      </c>
      <c r="D8" s="36">
        <v>7</v>
      </c>
      <c r="E8" s="36">
        <v>2</v>
      </c>
      <c r="F8" s="36">
        <v>1</v>
      </c>
      <c r="G8" s="36">
        <v>2</v>
      </c>
      <c r="H8" s="36">
        <v>0</v>
      </c>
      <c r="I8" s="36">
        <v>0</v>
      </c>
      <c r="J8" s="36">
        <v>0</v>
      </c>
    </row>
    <row r="9" spans="1:12" ht="12.75" customHeight="1">
      <c r="A9" s="35">
        <v>86</v>
      </c>
      <c r="B9" s="2" t="s">
        <v>10</v>
      </c>
      <c r="C9" s="36">
        <v>16</v>
      </c>
      <c r="D9" s="36">
        <v>5</v>
      </c>
      <c r="E9" s="36">
        <v>3</v>
      </c>
      <c r="F9" s="36">
        <v>3</v>
      </c>
      <c r="G9" s="36">
        <v>0</v>
      </c>
      <c r="H9" s="36">
        <v>0</v>
      </c>
      <c r="I9" s="36">
        <v>0</v>
      </c>
      <c r="J9" s="36">
        <v>0</v>
      </c>
    </row>
    <row r="10" spans="1:12" ht="12.75" customHeight="1">
      <c r="A10" s="35">
        <v>53</v>
      </c>
      <c r="B10" s="2" t="s">
        <v>11</v>
      </c>
      <c r="C10" s="36">
        <v>5</v>
      </c>
      <c r="D10" s="36">
        <v>2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</row>
    <row r="11" spans="1:12" ht="12.75" customHeight="1">
      <c r="A11" s="35">
        <v>54</v>
      </c>
      <c r="B11" s="2" t="s">
        <v>12</v>
      </c>
      <c r="C11" s="36">
        <v>17</v>
      </c>
      <c r="D11" s="36">
        <v>18</v>
      </c>
      <c r="E11" s="36">
        <v>0</v>
      </c>
      <c r="F11" s="36">
        <v>1</v>
      </c>
      <c r="G11" s="36">
        <v>0</v>
      </c>
      <c r="H11" s="36">
        <v>0</v>
      </c>
      <c r="I11" s="36">
        <v>0</v>
      </c>
      <c r="J11" s="36">
        <v>0</v>
      </c>
    </row>
    <row r="12" spans="1:12" ht="12.75" customHeight="1">
      <c r="A12" s="35">
        <v>55</v>
      </c>
      <c r="B12" s="2" t="s">
        <v>13</v>
      </c>
      <c r="C12" s="36">
        <v>10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</row>
    <row r="13" spans="1:12" ht="12.75" customHeight="1">
      <c r="A13" s="35">
        <v>56</v>
      </c>
      <c r="B13" s="2" t="s">
        <v>14</v>
      </c>
      <c r="C13" s="36">
        <v>6</v>
      </c>
      <c r="D13" s="36">
        <v>6</v>
      </c>
      <c r="E13" s="36">
        <v>2</v>
      </c>
      <c r="F13" s="36">
        <v>0</v>
      </c>
      <c r="G13" s="36">
        <v>1</v>
      </c>
      <c r="H13" s="36">
        <v>0</v>
      </c>
      <c r="I13" s="36">
        <v>0</v>
      </c>
      <c r="J13" s="36">
        <v>0</v>
      </c>
    </row>
    <row r="14" spans="1:12" ht="12.75" customHeight="1">
      <c r="A14" s="35">
        <v>57</v>
      </c>
      <c r="B14" s="2" t="s">
        <v>15</v>
      </c>
      <c r="C14" s="36">
        <v>8</v>
      </c>
      <c r="D14" s="36">
        <v>0</v>
      </c>
      <c r="E14" s="36">
        <v>1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</row>
    <row r="15" spans="1:12" ht="12.75" customHeight="1">
      <c r="A15" s="35">
        <v>59</v>
      </c>
      <c r="B15" s="2" t="s">
        <v>16</v>
      </c>
      <c r="C15" s="36">
        <v>1</v>
      </c>
      <c r="D15" s="36">
        <v>2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</row>
    <row r="16" spans="1:12" ht="12.75" customHeight="1">
      <c r="A16" s="35">
        <v>60</v>
      </c>
      <c r="B16" s="2" t="s">
        <v>17</v>
      </c>
      <c r="C16" s="36">
        <v>9</v>
      </c>
      <c r="D16" s="36">
        <v>4</v>
      </c>
      <c r="E16" s="36">
        <v>1</v>
      </c>
      <c r="F16" s="36">
        <v>1</v>
      </c>
      <c r="G16" s="36">
        <v>0</v>
      </c>
      <c r="H16" s="36">
        <v>0</v>
      </c>
      <c r="I16" s="36">
        <v>0</v>
      </c>
      <c r="J16" s="36">
        <v>0</v>
      </c>
    </row>
    <row r="17" spans="1:10" ht="12.75" customHeight="1">
      <c r="A17" s="35">
        <v>61</v>
      </c>
      <c r="B17" s="38" t="s">
        <v>18</v>
      </c>
      <c r="C17" s="36">
        <v>16</v>
      </c>
      <c r="D17" s="36">
        <v>7</v>
      </c>
      <c r="E17" s="36">
        <v>4</v>
      </c>
      <c r="F17" s="36">
        <v>1</v>
      </c>
      <c r="G17" s="36">
        <v>0</v>
      </c>
      <c r="H17" s="36">
        <v>1</v>
      </c>
      <c r="I17" s="36">
        <v>0</v>
      </c>
      <c r="J17" s="36">
        <v>0</v>
      </c>
    </row>
    <row r="18" spans="1:10" s="186" customFormat="1" ht="12.75" customHeight="1">
      <c r="A18" s="35"/>
      <c r="B18" s="132" t="s">
        <v>125</v>
      </c>
      <c r="C18" s="36" t="s">
        <v>126</v>
      </c>
      <c r="D18" s="36" t="s">
        <v>126</v>
      </c>
      <c r="E18" s="36" t="s">
        <v>126</v>
      </c>
      <c r="F18" s="36" t="s">
        <v>126</v>
      </c>
      <c r="G18" s="36" t="s">
        <v>126</v>
      </c>
      <c r="H18" s="36" t="s">
        <v>126</v>
      </c>
      <c r="I18" s="36" t="s">
        <v>126</v>
      </c>
      <c r="J18" s="36" t="s">
        <v>126</v>
      </c>
    </row>
    <row r="19" spans="1:10" ht="12.75" customHeight="1">
      <c r="A19" s="35">
        <v>62</v>
      </c>
      <c r="B19" s="2" t="s">
        <v>19</v>
      </c>
      <c r="C19" s="36">
        <v>14</v>
      </c>
      <c r="D19" s="36">
        <v>5</v>
      </c>
      <c r="E19" s="36">
        <v>1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</row>
    <row r="20" spans="1:10" ht="12.75" customHeight="1">
      <c r="A20" s="35">
        <v>58</v>
      </c>
      <c r="B20" s="2" t="s">
        <v>20</v>
      </c>
      <c r="C20" s="36">
        <v>4</v>
      </c>
      <c r="D20" s="36">
        <v>3</v>
      </c>
      <c r="E20" s="36">
        <v>0</v>
      </c>
      <c r="F20" s="36">
        <v>1</v>
      </c>
      <c r="G20" s="36">
        <v>0</v>
      </c>
      <c r="H20" s="36">
        <v>0</v>
      </c>
      <c r="I20" s="36">
        <v>0</v>
      </c>
      <c r="J20" s="36">
        <v>0</v>
      </c>
    </row>
    <row r="21" spans="1:10" ht="12.75" customHeight="1">
      <c r="A21" s="35">
        <v>63</v>
      </c>
      <c r="B21" s="2" t="s">
        <v>21</v>
      </c>
      <c r="C21" s="36">
        <v>20</v>
      </c>
      <c r="D21" s="36">
        <v>15</v>
      </c>
      <c r="E21" s="36">
        <v>1</v>
      </c>
      <c r="F21" s="36">
        <v>1</v>
      </c>
      <c r="G21" s="36">
        <v>0</v>
      </c>
      <c r="H21" s="36">
        <v>0</v>
      </c>
      <c r="I21" s="36">
        <v>1</v>
      </c>
      <c r="J21" s="36">
        <v>0</v>
      </c>
    </row>
    <row r="22" spans="1:10" ht="12.75" customHeight="1">
      <c r="A22" s="35">
        <v>64</v>
      </c>
      <c r="B22" s="2" t="s">
        <v>22</v>
      </c>
      <c r="C22" s="36">
        <v>37</v>
      </c>
      <c r="D22" s="36">
        <v>19</v>
      </c>
      <c r="E22" s="36">
        <v>5</v>
      </c>
      <c r="F22" s="36">
        <v>5</v>
      </c>
      <c r="G22" s="36">
        <v>0</v>
      </c>
      <c r="H22" s="36">
        <v>0</v>
      </c>
      <c r="I22" s="36">
        <v>0</v>
      </c>
      <c r="J22" s="36">
        <v>0</v>
      </c>
    </row>
    <row r="23" spans="1:10" ht="12.75" customHeight="1">
      <c r="A23" s="35">
        <v>65</v>
      </c>
      <c r="B23" s="2" t="s">
        <v>23</v>
      </c>
      <c r="C23" s="36">
        <v>2</v>
      </c>
      <c r="D23" s="36">
        <v>2</v>
      </c>
      <c r="E23" s="36">
        <v>1</v>
      </c>
      <c r="F23" s="36">
        <v>0</v>
      </c>
      <c r="G23" s="36">
        <v>1</v>
      </c>
      <c r="H23" s="36">
        <v>0</v>
      </c>
      <c r="I23" s="36">
        <v>0</v>
      </c>
      <c r="J23" s="36">
        <v>0</v>
      </c>
    </row>
    <row r="24" spans="1:10" ht="12.75" customHeight="1">
      <c r="A24" s="35">
        <v>67</v>
      </c>
      <c r="B24" s="2" t="s">
        <v>24</v>
      </c>
      <c r="C24" s="36">
        <v>24</v>
      </c>
      <c r="D24" s="36">
        <v>24</v>
      </c>
      <c r="E24" s="36">
        <v>7</v>
      </c>
      <c r="F24" s="36">
        <v>4</v>
      </c>
      <c r="G24" s="36">
        <v>0</v>
      </c>
      <c r="H24" s="36">
        <v>0</v>
      </c>
      <c r="I24" s="36">
        <v>0</v>
      </c>
      <c r="J24" s="36">
        <v>0</v>
      </c>
    </row>
    <row r="25" spans="1:10" ht="12.75" customHeight="1">
      <c r="A25" s="35">
        <v>68</v>
      </c>
      <c r="B25" s="2" t="s">
        <v>25</v>
      </c>
      <c r="C25" s="36">
        <v>7</v>
      </c>
      <c r="D25" s="36">
        <v>3</v>
      </c>
      <c r="E25" s="36">
        <v>2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</row>
    <row r="26" spans="1:10" ht="12.75" customHeight="1">
      <c r="A26" s="35">
        <v>69</v>
      </c>
      <c r="B26" s="2" t="s">
        <v>26</v>
      </c>
      <c r="C26" s="36">
        <v>11</v>
      </c>
      <c r="D26" s="36">
        <v>3</v>
      </c>
      <c r="E26" s="36">
        <v>1</v>
      </c>
      <c r="F26" s="36">
        <v>1</v>
      </c>
      <c r="G26" s="36">
        <v>0</v>
      </c>
      <c r="H26" s="36">
        <v>0</v>
      </c>
      <c r="I26" s="36">
        <v>0</v>
      </c>
      <c r="J26" s="36">
        <v>0</v>
      </c>
    </row>
    <row r="27" spans="1:10" ht="12.75" customHeight="1">
      <c r="A27" s="35">
        <v>70</v>
      </c>
      <c r="B27" s="2" t="s">
        <v>27</v>
      </c>
      <c r="C27" s="36">
        <v>21</v>
      </c>
      <c r="D27" s="36">
        <v>7</v>
      </c>
      <c r="E27" s="36">
        <v>1</v>
      </c>
      <c r="F27" s="36">
        <v>1</v>
      </c>
      <c r="G27" s="36">
        <v>1</v>
      </c>
      <c r="H27" s="36">
        <v>1</v>
      </c>
      <c r="I27" s="36">
        <v>0</v>
      </c>
      <c r="J27" s="36">
        <v>0</v>
      </c>
    </row>
    <row r="28" spans="1:10" ht="12.75" customHeight="1">
      <c r="A28" s="35">
        <v>71</v>
      </c>
      <c r="B28" s="39" t="s">
        <v>28</v>
      </c>
      <c r="C28" s="36">
        <v>4</v>
      </c>
      <c r="D28" s="36">
        <v>2</v>
      </c>
      <c r="E28" s="36">
        <v>2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</row>
    <row r="29" spans="1:10" ht="12.75" customHeight="1">
      <c r="A29" s="35">
        <v>73</v>
      </c>
      <c r="B29" s="2" t="s">
        <v>29</v>
      </c>
      <c r="C29" s="36">
        <v>19</v>
      </c>
      <c r="D29" s="36">
        <v>13</v>
      </c>
      <c r="E29" s="36">
        <v>3</v>
      </c>
      <c r="F29" s="36">
        <v>5</v>
      </c>
      <c r="G29" s="36">
        <v>0</v>
      </c>
      <c r="H29" s="36">
        <v>0</v>
      </c>
      <c r="I29" s="36">
        <v>0</v>
      </c>
      <c r="J29" s="36">
        <v>0</v>
      </c>
    </row>
    <row r="30" spans="1:10" ht="12.75" customHeight="1">
      <c r="A30" s="35">
        <v>74</v>
      </c>
      <c r="B30" s="2" t="s">
        <v>30</v>
      </c>
      <c r="C30" s="36">
        <v>15</v>
      </c>
      <c r="D30" s="36">
        <v>7</v>
      </c>
      <c r="E30" s="36">
        <v>4</v>
      </c>
      <c r="F30" s="36">
        <v>2</v>
      </c>
      <c r="G30" s="36">
        <v>0</v>
      </c>
      <c r="H30" s="36">
        <v>0</v>
      </c>
      <c r="I30" s="36">
        <v>0</v>
      </c>
      <c r="J30" s="36">
        <v>0</v>
      </c>
    </row>
    <row r="31" spans="1:10" ht="12.75" customHeight="1">
      <c r="A31" s="35">
        <v>75</v>
      </c>
      <c r="B31" s="2" t="s">
        <v>31</v>
      </c>
      <c r="C31" s="36">
        <v>12</v>
      </c>
      <c r="D31" s="36">
        <v>2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</row>
    <row r="32" spans="1:10" ht="12.75" customHeight="1">
      <c r="A32" s="35">
        <v>76</v>
      </c>
      <c r="B32" s="2" t="s">
        <v>32</v>
      </c>
      <c r="C32" s="36">
        <v>10</v>
      </c>
      <c r="D32" s="36">
        <v>19</v>
      </c>
      <c r="E32" s="36">
        <v>2</v>
      </c>
      <c r="F32" s="36">
        <v>1</v>
      </c>
      <c r="G32" s="36">
        <v>0</v>
      </c>
      <c r="H32" s="36">
        <v>0</v>
      </c>
      <c r="I32" s="36">
        <v>0</v>
      </c>
      <c r="J32" s="36">
        <v>0</v>
      </c>
    </row>
    <row r="33" spans="1:12" ht="12.75" customHeight="1">
      <c r="A33" s="35">
        <v>79</v>
      </c>
      <c r="B33" s="2" t="s">
        <v>33</v>
      </c>
      <c r="C33" s="36">
        <v>16</v>
      </c>
      <c r="D33" s="36">
        <v>8</v>
      </c>
      <c r="E33" s="36">
        <v>1</v>
      </c>
      <c r="F33" s="36">
        <v>4</v>
      </c>
      <c r="G33" s="36">
        <v>0</v>
      </c>
      <c r="H33" s="36">
        <v>0</v>
      </c>
      <c r="I33" s="36">
        <v>0</v>
      </c>
      <c r="J33" s="36">
        <v>0</v>
      </c>
    </row>
    <row r="34" spans="1:12" ht="12.75" customHeight="1">
      <c r="A34" s="35">
        <v>80</v>
      </c>
      <c r="B34" s="2" t="s">
        <v>34</v>
      </c>
      <c r="C34" s="36">
        <v>7</v>
      </c>
      <c r="D34" s="36">
        <v>6</v>
      </c>
      <c r="E34" s="36">
        <v>1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</row>
    <row r="35" spans="1:12" ht="12.75" customHeight="1">
      <c r="A35" s="35">
        <v>81</v>
      </c>
      <c r="B35" s="2" t="s">
        <v>35</v>
      </c>
      <c r="C35" s="36">
        <v>16</v>
      </c>
      <c r="D35" s="36">
        <v>10</v>
      </c>
      <c r="E35" s="36">
        <v>1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</row>
    <row r="36" spans="1:12" ht="12.75" customHeight="1">
      <c r="A36" s="35">
        <v>83</v>
      </c>
      <c r="B36" s="2" t="s">
        <v>36</v>
      </c>
      <c r="C36" s="36">
        <v>3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</row>
    <row r="37" spans="1:12" ht="12.75" customHeight="1">
      <c r="A37" s="35">
        <v>84</v>
      </c>
      <c r="B37" s="2" t="s">
        <v>37</v>
      </c>
      <c r="C37" s="36">
        <v>7</v>
      </c>
      <c r="D37" s="36">
        <v>5</v>
      </c>
      <c r="E37" s="36">
        <v>1</v>
      </c>
      <c r="F37" s="36">
        <v>1</v>
      </c>
      <c r="G37" s="36">
        <v>0</v>
      </c>
      <c r="H37" s="36">
        <v>0</v>
      </c>
      <c r="I37" s="36">
        <v>0</v>
      </c>
      <c r="J37" s="36">
        <v>0</v>
      </c>
    </row>
    <row r="38" spans="1:12" ht="12.75" customHeight="1">
      <c r="A38" s="35">
        <v>85</v>
      </c>
      <c r="B38" s="2" t="s">
        <v>38</v>
      </c>
      <c r="C38" s="36">
        <v>7</v>
      </c>
      <c r="D38" s="36">
        <v>2</v>
      </c>
      <c r="E38" s="36">
        <v>1</v>
      </c>
      <c r="F38" s="36">
        <v>0</v>
      </c>
      <c r="G38" s="36">
        <v>0</v>
      </c>
      <c r="H38" s="36">
        <v>1</v>
      </c>
      <c r="I38" s="36">
        <v>0</v>
      </c>
      <c r="J38" s="36">
        <v>0</v>
      </c>
    </row>
    <row r="39" spans="1:12" ht="12.75" customHeight="1">
      <c r="A39" s="35">
        <v>87</v>
      </c>
      <c r="B39" s="2" t="s">
        <v>39</v>
      </c>
      <c r="C39" s="36">
        <v>4</v>
      </c>
      <c r="D39" s="36">
        <v>7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</row>
    <row r="40" spans="1:12" ht="12.75" customHeight="1">
      <c r="A40" s="35">
        <v>90</v>
      </c>
      <c r="B40" s="2" t="s">
        <v>40</v>
      </c>
      <c r="C40" s="36">
        <v>17</v>
      </c>
      <c r="D40" s="36">
        <v>4</v>
      </c>
      <c r="E40" s="36">
        <v>5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</row>
    <row r="41" spans="1:12" ht="12.75" customHeight="1">
      <c r="A41" s="35">
        <v>91</v>
      </c>
      <c r="B41" s="2" t="s">
        <v>41</v>
      </c>
      <c r="C41" s="36">
        <v>18</v>
      </c>
      <c r="D41" s="36">
        <v>6</v>
      </c>
      <c r="E41" s="36">
        <v>4</v>
      </c>
      <c r="F41" s="36">
        <v>1</v>
      </c>
      <c r="G41" s="36">
        <v>0</v>
      </c>
      <c r="H41" s="36">
        <v>0</v>
      </c>
      <c r="I41" s="36">
        <v>0</v>
      </c>
      <c r="J41" s="36">
        <v>0</v>
      </c>
      <c r="K41" s="11"/>
    </row>
    <row r="42" spans="1:12" ht="12.75" customHeight="1">
      <c r="A42" s="35">
        <v>92</v>
      </c>
      <c r="B42" s="2" t="s">
        <v>42</v>
      </c>
      <c r="C42" s="36">
        <v>16</v>
      </c>
      <c r="D42" s="36">
        <v>2</v>
      </c>
      <c r="E42" s="36">
        <v>4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</row>
    <row r="43" spans="1:12" ht="12.75" customHeight="1">
      <c r="A43" s="35">
        <v>94</v>
      </c>
      <c r="B43" s="2" t="s">
        <v>43</v>
      </c>
      <c r="C43" s="36">
        <v>7</v>
      </c>
      <c r="D43" s="36">
        <v>1</v>
      </c>
      <c r="E43" s="36">
        <v>1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</row>
    <row r="44" spans="1:12" ht="12.75" customHeight="1">
      <c r="A44" s="35">
        <v>96</v>
      </c>
      <c r="B44" s="2" t="s">
        <v>44</v>
      </c>
      <c r="C44" s="36">
        <v>7</v>
      </c>
      <c r="D44" s="36">
        <v>12</v>
      </c>
      <c r="E44" s="36">
        <v>0</v>
      </c>
      <c r="F44" s="36">
        <v>1</v>
      </c>
      <c r="G44" s="36">
        <v>1</v>
      </c>
      <c r="H44" s="36">
        <v>0</v>
      </c>
      <c r="I44" s="36">
        <v>0</v>
      </c>
      <c r="J44" s="36">
        <v>0</v>
      </c>
      <c r="L44" s="11"/>
    </row>
    <row r="45" spans="1:12" ht="12.75" customHeight="1">
      <c r="A45" s="35">
        <v>98</v>
      </c>
      <c r="B45" s="2" t="s">
        <v>45</v>
      </c>
      <c r="C45" s="36">
        <v>7</v>
      </c>
      <c r="D45" s="36">
        <v>4</v>
      </c>
      <c r="E45" s="36">
        <v>0</v>
      </c>
      <c r="F45" s="36">
        <v>1</v>
      </c>
      <c r="G45" s="36">
        <v>0</v>
      </c>
      <c r="H45" s="36">
        <v>0</v>
      </c>
      <c r="I45" s="36">
        <v>0</v>
      </c>
      <c r="J45" s="36">
        <v>0</v>
      </c>
      <c r="L45" s="41"/>
    </row>
    <row r="46" spans="1:12" ht="12.75" customHeight="1">
      <c r="A46" s="35">
        <v>72</v>
      </c>
      <c r="B46" s="39" t="s">
        <v>46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</row>
    <row r="47" spans="1:12" s="11" customFormat="1" ht="25.5" customHeight="1">
      <c r="B47" s="11" t="s">
        <v>47</v>
      </c>
      <c r="C47" s="42">
        <f>SUM(C48:C54)</f>
        <v>237</v>
      </c>
      <c r="D47" s="42">
        <f t="shared" ref="D47:J47" si="2">SUM(D48:D54)</f>
        <v>108</v>
      </c>
      <c r="E47" s="42">
        <f t="shared" si="2"/>
        <v>73</v>
      </c>
      <c r="F47" s="42">
        <f t="shared" si="2"/>
        <v>48</v>
      </c>
      <c r="G47" s="42">
        <f t="shared" si="2"/>
        <v>4</v>
      </c>
      <c r="H47" s="42">
        <f t="shared" si="2"/>
        <v>2</v>
      </c>
      <c r="I47" s="42">
        <f t="shared" si="2"/>
        <v>0</v>
      </c>
      <c r="J47" s="42">
        <f t="shared" si="2"/>
        <v>0</v>
      </c>
    </row>
    <row r="48" spans="1:12" ht="12.75" customHeight="1">
      <c r="A48" s="35">
        <v>66</v>
      </c>
      <c r="B48" s="2" t="s">
        <v>48</v>
      </c>
      <c r="C48" s="36">
        <v>53</v>
      </c>
      <c r="D48" s="36">
        <v>5</v>
      </c>
      <c r="E48" s="36">
        <v>8</v>
      </c>
      <c r="F48" s="36">
        <v>3</v>
      </c>
      <c r="G48" s="36">
        <v>0</v>
      </c>
      <c r="H48" s="36">
        <v>0</v>
      </c>
      <c r="I48" s="36">
        <v>0</v>
      </c>
      <c r="J48" s="36">
        <v>0</v>
      </c>
    </row>
    <row r="49" spans="1:12" ht="12.75" customHeight="1">
      <c r="A49" s="35">
        <v>78</v>
      </c>
      <c r="B49" s="2" t="s">
        <v>49</v>
      </c>
      <c r="C49" s="36">
        <v>9</v>
      </c>
      <c r="D49" s="36">
        <v>7</v>
      </c>
      <c r="E49" s="36">
        <v>2</v>
      </c>
      <c r="F49" s="36">
        <v>4</v>
      </c>
      <c r="G49" s="36">
        <v>0</v>
      </c>
      <c r="H49" s="36">
        <v>0</v>
      </c>
      <c r="I49" s="36">
        <v>0</v>
      </c>
      <c r="J49" s="36">
        <v>0</v>
      </c>
    </row>
    <row r="50" spans="1:12" ht="12.75" customHeight="1">
      <c r="A50" s="35">
        <v>89</v>
      </c>
      <c r="B50" s="2" t="s">
        <v>50</v>
      </c>
      <c r="C50" s="36">
        <v>20</v>
      </c>
      <c r="D50" s="36">
        <v>10</v>
      </c>
      <c r="E50" s="36">
        <v>2</v>
      </c>
      <c r="F50" s="36">
        <v>1</v>
      </c>
      <c r="G50" s="36">
        <v>2</v>
      </c>
      <c r="H50" s="36">
        <v>1</v>
      </c>
      <c r="I50" s="36">
        <v>0</v>
      </c>
      <c r="J50" s="36">
        <v>0</v>
      </c>
    </row>
    <row r="51" spans="1:12" ht="12.75" customHeight="1">
      <c r="A51" s="35">
        <v>93</v>
      </c>
      <c r="B51" s="2" t="s">
        <v>51</v>
      </c>
      <c r="C51" s="36">
        <v>8</v>
      </c>
      <c r="D51" s="36">
        <v>7</v>
      </c>
      <c r="E51" s="36">
        <v>3</v>
      </c>
      <c r="F51" s="36">
        <v>1</v>
      </c>
      <c r="G51" s="36">
        <v>0</v>
      </c>
      <c r="H51" s="36">
        <v>0</v>
      </c>
      <c r="I51" s="36">
        <v>0</v>
      </c>
      <c r="J51" s="36">
        <v>0</v>
      </c>
    </row>
    <row r="52" spans="1:12" ht="12.75" customHeight="1">
      <c r="A52" s="35">
        <v>95</v>
      </c>
      <c r="B52" s="2" t="s">
        <v>52</v>
      </c>
      <c r="C52" s="36">
        <v>34</v>
      </c>
      <c r="D52" s="36">
        <v>5</v>
      </c>
      <c r="E52" s="36">
        <v>8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</row>
    <row r="53" spans="1:12" ht="12.75" customHeight="1">
      <c r="A53" s="35">
        <v>97</v>
      </c>
      <c r="B53" s="2" t="s">
        <v>53</v>
      </c>
      <c r="C53" s="36">
        <v>36</v>
      </c>
      <c r="D53" s="36">
        <v>11</v>
      </c>
      <c r="E53" s="36">
        <v>10</v>
      </c>
      <c r="F53" s="36">
        <v>2</v>
      </c>
      <c r="G53" s="36">
        <v>0</v>
      </c>
      <c r="H53" s="36">
        <v>0</v>
      </c>
      <c r="I53" s="36">
        <v>0</v>
      </c>
      <c r="J53" s="36">
        <v>0</v>
      </c>
    </row>
    <row r="54" spans="1:12" ht="12.75" customHeight="1">
      <c r="A54" s="35">
        <v>77</v>
      </c>
      <c r="B54" s="43" t="s">
        <v>54</v>
      </c>
      <c r="C54" s="36">
        <v>77</v>
      </c>
      <c r="D54" s="36">
        <v>63</v>
      </c>
      <c r="E54" s="36">
        <v>40</v>
      </c>
      <c r="F54" s="36">
        <v>37</v>
      </c>
      <c r="G54" s="36">
        <v>2</v>
      </c>
      <c r="H54" s="36">
        <v>1</v>
      </c>
      <c r="I54" s="36">
        <v>0</v>
      </c>
      <c r="J54" s="36">
        <v>0</v>
      </c>
    </row>
    <row r="55" spans="1:12" s="41" customFormat="1" ht="13.5" customHeight="1">
      <c r="A55" s="28"/>
      <c r="C55" s="46"/>
      <c r="D55" s="47"/>
      <c r="E55" s="46"/>
      <c r="F55" s="46"/>
      <c r="G55" s="46"/>
      <c r="H55" s="46"/>
      <c r="I55" s="46"/>
      <c r="J55" s="46"/>
      <c r="K55" s="2"/>
      <c r="L55" s="2"/>
    </row>
    <row r="56" spans="1:12" ht="18.75" customHeight="1">
      <c r="B56" s="35" t="s">
        <v>55</v>
      </c>
    </row>
    <row r="57" spans="1:12">
      <c r="B57" s="229" t="s">
        <v>56</v>
      </c>
      <c r="C57" s="229"/>
      <c r="D57" s="229"/>
      <c r="E57" s="229"/>
      <c r="F57" s="229"/>
      <c r="G57" s="229"/>
      <c r="H57" s="229"/>
      <c r="I57" s="229"/>
      <c r="J57" s="229"/>
    </row>
    <row r="58" spans="1:12" ht="12.75" customHeight="1">
      <c r="B58" s="229"/>
      <c r="C58" s="229"/>
      <c r="D58" s="229"/>
      <c r="E58" s="229"/>
      <c r="F58" s="229"/>
      <c r="G58" s="229"/>
      <c r="H58" s="229"/>
      <c r="I58" s="229"/>
      <c r="J58" s="229"/>
    </row>
    <row r="59" spans="1:12" ht="18.75" customHeight="1">
      <c r="B59" s="229"/>
      <c r="C59" s="229"/>
      <c r="D59" s="229"/>
      <c r="E59" s="229"/>
      <c r="F59" s="229"/>
      <c r="G59" s="229"/>
      <c r="H59" s="229"/>
      <c r="I59" s="229"/>
      <c r="J59" s="229"/>
    </row>
    <row r="60" spans="1:12" ht="18.75" customHeight="1">
      <c r="B60" s="229"/>
      <c r="C60" s="229"/>
      <c r="D60" s="229"/>
      <c r="E60" s="229"/>
      <c r="F60" s="229"/>
      <c r="G60" s="229"/>
      <c r="H60" s="229"/>
      <c r="I60" s="229"/>
      <c r="J60" s="229"/>
    </row>
    <row r="61" spans="1:12" ht="18.75" customHeight="1">
      <c r="B61" s="229"/>
      <c r="C61" s="229"/>
      <c r="D61" s="229"/>
      <c r="E61" s="229"/>
      <c r="F61" s="229"/>
      <c r="G61" s="229"/>
      <c r="H61" s="229"/>
      <c r="I61" s="229"/>
      <c r="J61" s="229"/>
    </row>
    <row r="62" spans="1:12" ht="17.25" customHeight="1">
      <c r="B62" s="229"/>
      <c r="C62" s="229"/>
      <c r="D62" s="229"/>
      <c r="E62" s="229"/>
      <c r="F62" s="229"/>
      <c r="G62" s="229"/>
      <c r="H62" s="229"/>
      <c r="I62" s="229"/>
      <c r="J62" s="229"/>
    </row>
    <row r="63" spans="1:12" ht="15.75" customHeight="1">
      <c r="B63" s="35" t="s">
        <v>61</v>
      </c>
    </row>
    <row r="64" spans="1:12" ht="9.75" customHeight="1">
      <c r="B64" s="229"/>
      <c r="C64" s="229"/>
      <c r="D64" s="229"/>
      <c r="E64" s="48"/>
      <c r="F64" s="48"/>
      <c r="G64" s="48"/>
      <c r="H64" s="48"/>
      <c r="I64" s="48"/>
      <c r="J64" s="48"/>
    </row>
    <row r="65" spans="2:2" ht="18.75" customHeight="1">
      <c r="B65" s="24" t="s">
        <v>62</v>
      </c>
    </row>
    <row r="66" spans="2:2">
      <c r="B66" s="26"/>
    </row>
    <row r="68" spans="2:2">
      <c r="B68" s="27"/>
    </row>
  </sheetData>
  <mergeCells count="7">
    <mergeCell ref="B64:D64"/>
    <mergeCell ref="B1:J1"/>
    <mergeCell ref="B2:B4"/>
    <mergeCell ref="C2:D3"/>
    <mergeCell ref="E2:H2"/>
    <mergeCell ref="I2:J3"/>
    <mergeCell ref="B57:J6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K65"/>
  <sheetViews>
    <sheetView showGridLines="0" zoomScale="85" workbookViewId="0">
      <pane xSplit="2" ySplit="3" topLeftCell="C4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RowHeight="12.75"/>
  <cols>
    <col min="1" max="1" width="3.140625" style="1" hidden="1" customWidth="1"/>
    <col min="2" max="2" width="24.7109375" style="3" customWidth="1"/>
    <col min="3" max="3" width="18" style="52" customWidth="1"/>
    <col min="4" max="4" width="18.42578125" style="52" customWidth="1"/>
    <col min="5" max="5" width="13.85546875" style="52" customWidth="1"/>
    <col min="6" max="6" width="14" style="52" customWidth="1"/>
    <col min="7" max="256" width="9.140625" style="3"/>
    <col min="257" max="257" width="0" style="3" hidden="1" customWidth="1"/>
    <col min="258" max="258" width="24.7109375" style="3" customWidth="1"/>
    <col min="259" max="259" width="18" style="3" customWidth="1"/>
    <col min="260" max="260" width="18.42578125" style="3" customWidth="1"/>
    <col min="261" max="261" width="13.85546875" style="3" customWidth="1"/>
    <col min="262" max="262" width="14" style="3" customWidth="1"/>
    <col min="263" max="512" width="9.140625" style="3"/>
    <col min="513" max="513" width="0" style="3" hidden="1" customWidth="1"/>
    <col min="514" max="514" width="24.7109375" style="3" customWidth="1"/>
    <col min="515" max="515" width="18" style="3" customWidth="1"/>
    <col min="516" max="516" width="18.42578125" style="3" customWidth="1"/>
    <col min="517" max="517" width="13.85546875" style="3" customWidth="1"/>
    <col min="518" max="518" width="14" style="3" customWidth="1"/>
    <col min="519" max="768" width="9.140625" style="3"/>
    <col min="769" max="769" width="0" style="3" hidden="1" customWidth="1"/>
    <col min="770" max="770" width="24.7109375" style="3" customWidth="1"/>
    <col min="771" max="771" width="18" style="3" customWidth="1"/>
    <col min="772" max="772" width="18.42578125" style="3" customWidth="1"/>
    <col min="773" max="773" width="13.85546875" style="3" customWidth="1"/>
    <col min="774" max="774" width="14" style="3" customWidth="1"/>
    <col min="775" max="1024" width="9.140625" style="3"/>
    <col min="1025" max="1025" width="0" style="3" hidden="1" customWidth="1"/>
    <col min="1026" max="1026" width="24.7109375" style="3" customWidth="1"/>
    <col min="1027" max="1027" width="18" style="3" customWidth="1"/>
    <col min="1028" max="1028" width="18.42578125" style="3" customWidth="1"/>
    <col min="1029" max="1029" width="13.85546875" style="3" customWidth="1"/>
    <col min="1030" max="1030" width="14" style="3" customWidth="1"/>
    <col min="1031" max="1280" width="9.140625" style="3"/>
    <col min="1281" max="1281" width="0" style="3" hidden="1" customWidth="1"/>
    <col min="1282" max="1282" width="24.7109375" style="3" customWidth="1"/>
    <col min="1283" max="1283" width="18" style="3" customWidth="1"/>
    <col min="1284" max="1284" width="18.42578125" style="3" customWidth="1"/>
    <col min="1285" max="1285" width="13.85546875" style="3" customWidth="1"/>
    <col min="1286" max="1286" width="14" style="3" customWidth="1"/>
    <col min="1287" max="1536" width="9.140625" style="3"/>
    <col min="1537" max="1537" width="0" style="3" hidden="1" customWidth="1"/>
    <col min="1538" max="1538" width="24.7109375" style="3" customWidth="1"/>
    <col min="1539" max="1539" width="18" style="3" customWidth="1"/>
    <col min="1540" max="1540" width="18.42578125" style="3" customWidth="1"/>
    <col min="1541" max="1541" width="13.85546875" style="3" customWidth="1"/>
    <col min="1542" max="1542" width="14" style="3" customWidth="1"/>
    <col min="1543" max="1792" width="9.140625" style="3"/>
    <col min="1793" max="1793" width="0" style="3" hidden="1" customWidth="1"/>
    <col min="1794" max="1794" width="24.7109375" style="3" customWidth="1"/>
    <col min="1795" max="1795" width="18" style="3" customWidth="1"/>
    <col min="1796" max="1796" width="18.42578125" style="3" customWidth="1"/>
    <col min="1797" max="1797" width="13.85546875" style="3" customWidth="1"/>
    <col min="1798" max="1798" width="14" style="3" customWidth="1"/>
    <col min="1799" max="2048" width="9.140625" style="3"/>
    <col min="2049" max="2049" width="0" style="3" hidden="1" customWidth="1"/>
    <col min="2050" max="2050" width="24.7109375" style="3" customWidth="1"/>
    <col min="2051" max="2051" width="18" style="3" customWidth="1"/>
    <col min="2052" max="2052" width="18.42578125" style="3" customWidth="1"/>
    <col min="2053" max="2053" width="13.85546875" style="3" customWidth="1"/>
    <col min="2054" max="2054" width="14" style="3" customWidth="1"/>
    <col min="2055" max="2304" width="9.140625" style="3"/>
    <col min="2305" max="2305" width="0" style="3" hidden="1" customWidth="1"/>
    <col min="2306" max="2306" width="24.7109375" style="3" customWidth="1"/>
    <col min="2307" max="2307" width="18" style="3" customWidth="1"/>
    <col min="2308" max="2308" width="18.42578125" style="3" customWidth="1"/>
    <col min="2309" max="2309" width="13.85546875" style="3" customWidth="1"/>
    <col min="2310" max="2310" width="14" style="3" customWidth="1"/>
    <col min="2311" max="2560" width="9.140625" style="3"/>
    <col min="2561" max="2561" width="0" style="3" hidden="1" customWidth="1"/>
    <col min="2562" max="2562" width="24.7109375" style="3" customWidth="1"/>
    <col min="2563" max="2563" width="18" style="3" customWidth="1"/>
    <col min="2564" max="2564" width="18.42578125" style="3" customWidth="1"/>
    <col min="2565" max="2565" width="13.85546875" style="3" customWidth="1"/>
    <col min="2566" max="2566" width="14" style="3" customWidth="1"/>
    <col min="2567" max="2816" width="9.140625" style="3"/>
    <col min="2817" max="2817" width="0" style="3" hidden="1" customWidth="1"/>
    <col min="2818" max="2818" width="24.7109375" style="3" customWidth="1"/>
    <col min="2819" max="2819" width="18" style="3" customWidth="1"/>
    <col min="2820" max="2820" width="18.42578125" style="3" customWidth="1"/>
    <col min="2821" max="2821" width="13.85546875" style="3" customWidth="1"/>
    <col min="2822" max="2822" width="14" style="3" customWidth="1"/>
    <col min="2823" max="3072" width="9.140625" style="3"/>
    <col min="3073" max="3073" width="0" style="3" hidden="1" customWidth="1"/>
    <col min="3074" max="3074" width="24.7109375" style="3" customWidth="1"/>
    <col min="3075" max="3075" width="18" style="3" customWidth="1"/>
    <col min="3076" max="3076" width="18.42578125" style="3" customWidth="1"/>
    <col min="3077" max="3077" width="13.85546875" style="3" customWidth="1"/>
    <col min="3078" max="3078" width="14" style="3" customWidth="1"/>
    <col min="3079" max="3328" width="9.140625" style="3"/>
    <col min="3329" max="3329" width="0" style="3" hidden="1" customWidth="1"/>
    <col min="3330" max="3330" width="24.7109375" style="3" customWidth="1"/>
    <col min="3331" max="3331" width="18" style="3" customWidth="1"/>
    <col min="3332" max="3332" width="18.42578125" style="3" customWidth="1"/>
    <col min="3333" max="3333" width="13.85546875" style="3" customWidth="1"/>
    <col min="3334" max="3334" width="14" style="3" customWidth="1"/>
    <col min="3335" max="3584" width="9.140625" style="3"/>
    <col min="3585" max="3585" width="0" style="3" hidden="1" customWidth="1"/>
    <col min="3586" max="3586" width="24.7109375" style="3" customWidth="1"/>
    <col min="3587" max="3587" width="18" style="3" customWidth="1"/>
    <col min="3588" max="3588" width="18.42578125" style="3" customWidth="1"/>
    <col min="3589" max="3589" width="13.85546875" style="3" customWidth="1"/>
    <col min="3590" max="3590" width="14" style="3" customWidth="1"/>
    <col min="3591" max="3840" width="9.140625" style="3"/>
    <col min="3841" max="3841" width="0" style="3" hidden="1" customWidth="1"/>
    <col min="3842" max="3842" width="24.7109375" style="3" customWidth="1"/>
    <col min="3843" max="3843" width="18" style="3" customWidth="1"/>
    <col min="3844" max="3844" width="18.42578125" style="3" customWidth="1"/>
    <col min="3845" max="3845" width="13.85546875" style="3" customWidth="1"/>
    <col min="3846" max="3846" width="14" style="3" customWidth="1"/>
    <col min="3847" max="4096" width="9.140625" style="3"/>
    <col min="4097" max="4097" width="0" style="3" hidden="1" customWidth="1"/>
    <col min="4098" max="4098" width="24.7109375" style="3" customWidth="1"/>
    <col min="4099" max="4099" width="18" style="3" customWidth="1"/>
    <col min="4100" max="4100" width="18.42578125" style="3" customWidth="1"/>
    <col min="4101" max="4101" width="13.85546875" style="3" customWidth="1"/>
    <col min="4102" max="4102" width="14" style="3" customWidth="1"/>
    <col min="4103" max="4352" width="9.140625" style="3"/>
    <col min="4353" max="4353" width="0" style="3" hidden="1" customWidth="1"/>
    <col min="4354" max="4354" width="24.7109375" style="3" customWidth="1"/>
    <col min="4355" max="4355" width="18" style="3" customWidth="1"/>
    <col min="4356" max="4356" width="18.42578125" style="3" customWidth="1"/>
    <col min="4357" max="4357" width="13.85546875" style="3" customWidth="1"/>
    <col min="4358" max="4358" width="14" style="3" customWidth="1"/>
    <col min="4359" max="4608" width="9.140625" style="3"/>
    <col min="4609" max="4609" width="0" style="3" hidden="1" customWidth="1"/>
    <col min="4610" max="4610" width="24.7109375" style="3" customWidth="1"/>
    <col min="4611" max="4611" width="18" style="3" customWidth="1"/>
    <col min="4612" max="4612" width="18.42578125" style="3" customWidth="1"/>
    <col min="4613" max="4613" width="13.85546875" style="3" customWidth="1"/>
    <col min="4614" max="4614" width="14" style="3" customWidth="1"/>
    <col min="4615" max="4864" width="9.140625" style="3"/>
    <col min="4865" max="4865" width="0" style="3" hidden="1" customWidth="1"/>
    <col min="4866" max="4866" width="24.7109375" style="3" customWidth="1"/>
    <col min="4867" max="4867" width="18" style="3" customWidth="1"/>
    <col min="4868" max="4868" width="18.42578125" style="3" customWidth="1"/>
    <col min="4869" max="4869" width="13.85546875" style="3" customWidth="1"/>
    <col min="4870" max="4870" width="14" style="3" customWidth="1"/>
    <col min="4871" max="5120" width="9.140625" style="3"/>
    <col min="5121" max="5121" width="0" style="3" hidden="1" customWidth="1"/>
    <col min="5122" max="5122" width="24.7109375" style="3" customWidth="1"/>
    <col min="5123" max="5123" width="18" style="3" customWidth="1"/>
    <col min="5124" max="5124" width="18.42578125" style="3" customWidth="1"/>
    <col min="5125" max="5125" width="13.85546875" style="3" customWidth="1"/>
    <col min="5126" max="5126" width="14" style="3" customWidth="1"/>
    <col min="5127" max="5376" width="9.140625" style="3"/>
    <col min="5377" max="5377" width="0" style="3" hidden="1" customWidth="1"/>
    <col min="5378" max="5378" width="24.7109375" style="3" customWidth="1"/>
    <col min="5379" max="5379" width="18" style="3" customWidth="1"/>
    <col min="5380" max="5380" width="18.42578125" style="3" customWidth="1"/>
    <col min="5381" max="5381" width="13.85546875" style="3" customWidth="1"/>
    <col min="5382" max="5382" width="14" style="3" customWidth="1"/>
    <col min="5383" max="5632" width="9.140625" style="3"/>
    <col min="5633" max="5633" width="0" style="3" hidden="1" customWidth="1"/>
    <col min="5634" max="5634" width="24.7109375" style="3" customWidth="1"/>
    <col min="5635" max="5635" width="18" style="3" customWidth="1"/>
    <col min="5636" max="5636" width="18.42578125" style="3" customWidth="1"/>
    <col min="5637" max="5637" width="13.85546875" style="3" customWidth="1"/>
    <col min="5638" max="5638" width="14" style="3" customWidth="1"/>
    <col min="5639" max="5888" width="9.140625" style="3"/>
    <col min="5889" max="5889" width="0" style="3" hidden="1" customWidth="1"/>
    <col min="5890" max="5890" width="24.7109375" style="3" customWidth="1"/>
    <col min="5891" max="5891" width="18" style="3" customWidth="1"/>
    <col min="5892" max="5892" width="18.42578125" style="3" customWidth="1"/>
    <col min="5893" max="5893" width="13.85546875" style="3" customWidth="1"/>
    <col min="5894" max="5894" width="14" style="3" customWidth="1"/>
    <col min="5895" max="6144" width="9.140625" style="3"/>
    <col min="6145" max="6145" width="0" style="3" hidden="1" customWidth="1"/>
    <col min="6146" max="6146" width="24.7109375" style="3" customWidth="1"/>
    <col min="6147" max="6147" width="18" style="3" customWidth="1"/>
    <col min="6148" max="6148" width="18.42578125" style="3" customWidth="1"/>
    <col min="6149" max="6149" width="13.85546875" style="3" customWidth="1"/>
    <col min="6150" max="6150" width="14" style="3" customWidth="1"/>
    <col min="6151" max="6400" width="9.140625" style="3"/>
    <col min="6401" max="6401" width="0" style="3" hidden="1" customWidth="1"/>
    <col min="6402" max="6402" width="24.7109375" style="3" customWidth="1"/>
    <col min="6403" max="6403" width="18" style="3" customWidth="1"/>
    <col min="6404" max="6404" width="18.42578125" style="3" customWidth="1"/>
    <col min="6405" max="6405" width="13.85546875" style="3" customWidth="1"/>
    <col min="6406" max="6406" width="14" style="3" customWidth="1"/>
    <col min="6407" max="6656" width="9.140625" style="3"/>
    <col min="6657" max="6657" width="0" style="3" hidden="1" customWidth="1"/>
    <col min="6658" max="6658" width="24.7109375" style="3" customWidth="1"/>
    <col min="6659" max="6659" width="18" style="3" customWidth="1"/>
    <col min="6660" max="6660" width="18.42578125" style="3" customWidth="1"/>
    <col min="6661" max="6661" width="13.85546875" style="3" customWidth="1"/>
    <col min="6662" max="6662" width="14" style="3" customWidth="1"/>
    <col min="6663" max="6912" width="9.140625" style="3"/>
    <col min="6913" max="6913" width="0" style="3" hidden="1" customWidth="1"/>
    <col min="6914" max="6914" width="24.7109375" style="3" customWidth="1"/>
    <col min="6915" max="6915" width="18" style="3" customWidth="1"/>
    <col min="6916" max="6916" width="18.42578125" style="3" customWidth="1"/>
    <col min="6917" max="6917" width="13.85546875" style="3" customWidth="1"/>
    <col min="6918" max="6918" width="14" style="3" customWidth="1"/>
    <col min="6919" max="7168" width="9.140625" style="3"/>
    <col min="7169" max="7169" width="0" style="3" hidden="1" customWidth="1"/>
    <col min="7170" max="7170" width="24.7109375" style="3" customWidth="1"/>
    <col min="7171" max="7171" width="18" style="3" customWidth="1"/>
    <col min="7172" max="7172" width="18.42578125" style="3" customWidth="1"/>
    <col min="7173" max="7173" width="13.85546875" style="3" customWidth="1"/>
    <col min="7174" max="7174" width="14" style="3" customWidth="1"/>
    <col min="7175" max="7424" width="9.140625" style="3"/>
    <col min="7425" max="7425" width="0" style="3" hidden="1" customWidth="1"/>
    <col min="7426" max="7426" width="24.7109375" style="3" customWidth="1"/>
    <col min="7427" max="7427" width="18" style="3" customWidth="1"/>
    <col min="7428" max="7428" width="18.42578125" style="3" customWidth="1"/>
    <col min="7429" max="7429" width="13.85546875" style="3" customWidth="1"/>
    <col min="7430" max="7430" width="14" style="3" customWidth="1"/>
    <col min="7431" max="7680" width="9.140625" style="3"/>
    <col min="7681" max="7681" width="0" style="3" hidden="1" customWidth="1"/>
    <col min="7682" max="7682" width="24.7109375" style="3" customWidth="1"/>
    <col min="7683" max="7683" width="18" style="3" customWidth="1"/>
    <col min="7684" max="7684" width="18.42578125" style="3" customWidth="1"/>
    <col min="7685" max="7685" width="13.85546875" style="3" customWidth="1"/>
    <col min="7686" max="7686" width="14" style="3" customWidth="1"/>
    <col min="7687" max="7936" width="9.140625" style="3"/>
    <col min="7937" max="7937" width="0" style="3" hidden="1" customWidth="1"/>
    <col min="7938" max="7938" width="24.7109375" style="3" customWidth="1"/>
    <col min="7939" max="7939" width="18" style="3" customWidth="1"/>
    <col min="7940" max="7940" width="18.42578125" style="3" customWidth="1"/>
    <col min="7941" max="7941" width="13.85546875" style="3" customWidth="1"/>
    <col min="7942" max="7942" width="14" style="3" customWidth="1"/>
    <col min="7943" max="8192" width="9.140625" style="3"/>
    <col min="8193" max="8193" width="0" style="3" hidden="1" customWidth="1"/>
    <col min="8194" max="8194" width="24.7109375" style="3" customWidth="1"/>
    <col min="8195" max="8195" width="18" style="3" customWidth="1"/>
    <col min="8196" max="8196" width="18.42578125" style="3" customWidth="1"/>
    <col min="8197" max="8197" width="13.85546875" style="3" customWidth="1"/>
    <col min="8198" max="8198" width="14" style="3" customWidth="1"/>
    <col min="8199" max="8448" width="9.140625" style="3"/>
    <col min="8449" max="8449" width="0" style="3" hidden="1" customWidth="1"/>
    <col min="8450" max="8450" width="24.7109375" style="3" customWidth="1"/>
    <col min="8451" max="8451" width="18" style="3" customWidth="1"/>
    <col min="8452" max="8452" width="18.42578125" style="3" customWidth="1"/>
    <col min="8453" max="8453" width="13.85546875" style="3" customWidth="1"/>
    <col min="8454" max="8454" width="14" style="3" customWidth="1"/>
    <col min="8455" max="8704" width="9.140625" style="3"/>
    <col min="8705" max="8705" width="0" style="3" hidden="1" customWidth="1"/>
    <col min="8706" max="8706" width="24.7109375" style="3" customWidth="1"/>
    <col min="8707" max="8707" width="18" style="3" customWidth="1"/>
    <col min="8708" max="8708" width="18.42578125" style="3" customWidth="1"/>
    <col min="8709" max="8709" width="13.85546875" style="3" customWidth="1"/>
    <col min="8710" max="8710" width="14" style="3" customWidth="1"/>
    <col min="8711" max="8960" width="9.140625" style="3"/>
    <col min="8961" max="8961" width="0" style="3" hidden="1" customWidth="1"/>
    <col min="8962" max="8962" width="24.7109375" style="3" customWidth="1"/>
    <col min="8963" max="8963" width="18" style="3" customWidth="1"/>
    <col min="8964" max="8964" width="18.42578125" style="3" customWidth="1"/>
    <col min="8965" max="8965" width="13.85546875" style="3" customWidth="1"/>
    <col min="8966" max="8966" width="14" style="3" customWidth="1"/>
    <col min="8967" max="9216" width="9.140625" style="3"/>
    <col min="9217" max="9217" width="0" style="3" hidden="1" customWidth="1"/>
    <col min="9218" max="9218" width="24.7109375" style="3" customWidth="1"/>
    <col min="9219" max="9219" width="18" style="3" customWidth="1"/>
    <col min="9220" max="9220" width="18.42578125" style="3" customWidth="1"/>
    <col min="9221" max="9221" width="13.85546875" style="3" customWidth="1"/>
    <col min="9222" max="9222" width="14" style="3" customWidth="1"/>
    <col min="9223" max="9472" width="9.140625" style="3"/>
    <col min="9473" max="9473" width="0" style="3" hidden="1" customWidth="1"/>
    <col min="9474" max="9474" width="24.7109375" style="3" customWidth="1"/>
    <col min="9475" max="9475" width="18" style="3" customWidth="1"/>
    <col min="9476" max="9476" width="18.42578125" style="3" customWidth="1"/>
    <col min="9477" max="9477" width="13.85546875" style="3" customWidth="1"/>
    <col min="9478" max="9478" width="14" style="3" customWidth="1"/>
    <col min="9479" max="9728" width="9.140625" style="3"/>
    <col min="9729" max="9729" width="0" style="3" hidden="1" customWidth="1"/>
    <col min="9730" max="9730" width="24.7109375" style="3" customWidth="1"/>
    <col min="9731" max="9731" width="18" style="3" customWidth="1"/>
    <col min="9732" max="9732" width="18.42578125" style="3" customWidth="1"/>
    <col min="9733" max="9733" width="13.85546875" style="3" customWidth="1"/>
    <col min="9734" max="9734" width="14" style="3" customWidth="1"/>
    <col min="9735" max="9984" width="9.140625" style="3"/>
    <col min="9985" max="9985" width="0" style="3" hidden="1" customWidth="1"/>
    <col min="9986" max="9986" width="24.7109375" style="3" customWidth="1"/>
    <col min="9987" max="9987" width="18" style="3" customWidth="1"/>
    <col min="9988" max="9988" width="18.42578125" style="3" customWidth="1"/>
    <col min="9989" max="9989" width="13.85546875" style="3" customWidth="1"/>
    <col min="9990" max="9990" width="14" style="3" customWidth="1"/>
    <col min="9991" max="10240" width="9.140625" style="3"/>
    <col min="10241" max="10241" width="0" style="3" hidden="1" customWidth="1"/>
    <col min="10242" max="10242" width="24.7109375" style="3" customWidth="1"/>
    <col min="10243" max="10243" width="18" style="3" customWidth="1"/>
    <col min="10244" max="10244" width="18.42578125" style="3" customWidth="1"/>
    <col min="10245" max="10245" width="13.85546875" style="3" customWidth="1"/>
    <col min="10246" max="10246" width="14" style="3" customWidth="1"/>
    <col min="10247" max="10496" width="9.140625" style="3"/>
    <col min="10497" max="10497" width="0" style="3" hidden="1" customWidth="1"/>
    <col min="10498" max="10498" width="24.7109375" style="3" customWidth="1"/>
    <col min="10499" max="10499" width="18" style="3" customWidth="1"/>
    <col min="10500" max="10500" width="18.42578125" style="3" customWidth="1"/>
    <col min="10501" max="10501" width="13.85546875" style="3" customWidth="1"/>
    <col min="10502" max="10502" width="14" style="3" customWidth="1"/>
    <col min="10503" max="10752" width="9.140625" style="3"/>
    <col min="10753" max="10753" width="0" style="3" hidden="1" customWidth="1"/>
    <col min="10754" max="10754" width="24.7109375" style="3" customWidth="1"/>
    <col min="10755" max="10755" width="18" style="3" customWidth="1"/>
    <col min="10756" max="10756" width="18.42578125" style="3" customWidth="1"/>
    <col min="10757" max="10757" width="13.85546875" style="3" customWidth="1"/>
    <col min="10758" max="10758" width="14" style="3" customWidth="1"/>
    <col min="10759" max="11008" width="9.140625" style="3"/>
    <col min="11009" max="11009" width="0" style="3" hidden="1" customWidth="1"/>
    <col min="11010" max="11010" width="24.7109375" style="3" customWidth="1"/>
    <col min="11011" max="11011" width="18" style="3" customWidth="1"/>
    <col min="11012" max="11012" width="18.42578125" style="3" customWidth="1"/>
    <col min="11013" max="11013" width="13.85546875" style="3" customWidth="1"/>
    <col min="11014" max="11014" width="14" style="3" customWidth="1"/>
    <col min="11015" max="11264" width="9.140625" style="3"/>
    <col min="11265" max="11265" width="0" style="3" hidden="1" customWidth="1"/>
    <col min="11266" max="11266" width="24.7109375" style="3" customWidth="1"/>
    <col min="11267" max="11267" width="18" style="3" customWidth="1"/>
    <col min="11268" max="11268" width="18.42578125" style="3" customWidth="1"/>
    <col min="11269" max="11269" width="13.85546875" style="3" customWidth="1"/>
    <col min="11270" max="11270" width="14" style="3" customWidth="1"/>
    <col min="11271" max="11520" width="9.140625" style="3"/>
    <col min="11521" max="11521" width="0" style="3" hidden="1" customWidth="1"/>
    <col min="11522" max="11522" width="24.7109375" style="3" customWidth="1"/>
    <col min="11523" max="11523" width="18" style="3" customWidth="1"/>
    <col min="11524" max="11524" width="18.42578125" style="3" customWidth="1"/>
    <col min="11525" max="11525" width="13.85546875" style="3" customWidth="1"/>
    <col min="11526" max="11526" width="14" style="3" customWidth="1"/>
    <col min="11527" max="11776" width="9.140625" style="3"/>
    <col min="11777" max="11777" width="0" style="3" hidden="1" customWidth="1"/>
    <col min="11778" max="11778" width="24.7109375" style="3" customWidth="1"/>
    <col min="11779" max="11779" width="18" style="3" customWidth="1"/>
    <col min="11780" max="11780" width="18.42578125" style="3" customWidth="1"/>
    <col min="11781" max="11781" width="13.85546875" style="3" customWidth="1"/>
    <col min="11782" max="11782" width="14" style="3" customWidth="1"/>
    <col min="11783" max="12032" width="9.140625" style="3"/>
    <col min="12033" max="12033" width="0" style="3" hidden="1" customWidth="1"/>
    <col min="12034" max="12034" width="24.7109375" style="3" customWidth="1"/>
    <col min="12035" max="12035" width="18" style="3" customWidth="1"/>
    <col min="12036" max="12036" width="18.42578125" style="3" customWidth="1"/>
    <col min="12037" max="12037" width="13.85546875" style="3" customWidth="1"/>
    <col min="12038" max="12038" width="14" style="3" customWidth="1"/>
    <col min="12039" max="12288" width="9.140625" style="3"/>
    <col min="12289" max="12289" width="0" style="3" hidden="1" customWidth="1"/>
    <col min="12290" max="12290" width="24.7109375" style="3" customWidth="1"/>
    <col min="12291" max="12291" width="18" style="3" customWidth="1"/>
    <col min="12292" max="12292" width="18.42578125" style="3" customWidth="1"/>
    <col min="12293" max="12293" width="13.85546875" style="3" customWidth="1"/>
    <col min="12294" max="12294" width="14" style="3" customWidth="1"/>
    <col min="12295" max="12544" width="9.140625" style="3"/>
    <col min="12545" max="12545" width="0" style="3" hidden="1" customWidth="1"/>
    <col min="12546" max="12546" width="24.7109375" style="3" customWidth="1"/>
    <col min="12547" max="12547" width="18" style="3" customWidth="1"/>
    <col min="12548" max="12548" width="18.42578125" style="3" customWidth="1"/>
    <col min="12549" max="12549" width="13.85546875" style="3" customWidth="1"/>
    <col min="12550" max="12550" width="14" style="3" customWidth="1"/>
    <col min="12551" max="12800" width="9.140625" style="3"/>
    <col min="12801" max="12801" width="0" style="3" hidden="1" customWidth="1"/>
    <col min="12802" max="12802" width="24.7109375" style="3" customWidth="1"/>
    <col min="12803" max="12803" width="18" style="3" customWidth="1"/>
    <col min="12804" max="12804" width="18.42578125" style="3" customWidth="1"/>
    <col min="12805" max="12805" width="13.85546875" style="3" customWidth="1"/>
    <col min="12806" max="12806" width="14" style="3" customWidth="1"/>
    <col min="12807" max="13056" width="9.140625" style="3"/>
    <col min="13057" max="13057" width="0" style="3" hidden="1" customWidth="1"/>
    <col min="13058" max="13058" width="24.7109375" style="3" customWidth="1"/>
    <col min="13059" max="13059" width="18" style="3" customWidth="1"/>
    <col min="13060" max="13060" width="18.42578125" style="3" customWidth="1"/>
    <col min="13061" max="13061" width="13.85546875" style="3" customWidth="1"/>
    <col min="13062" max="13062" width="14" style="3" customWidth="1"/>
    <col min="13063" max="13312" width="9.140625" style="3"/>
    <col min="13313" max="13313" width="0" style="3" hidden="1" customWidth="1"/>
    <col min="13314" max="13314" width="24.7109375" style="3" customWidth="1"/>
    <col min="13315" max="13315" width="18" style="3" customWidth="1"/>
    <col min="13316" max="13316" width="18.42578125" style="3" customWidth="1"/>
    <col min="13317" max="13317" width="13.85546875" style="3" customWidth="1"/>
    <col min="13318" max="13318" width="14" style="3" customWidth="1"/>
    <col min="13319" max="13568" width="9.140625" style="3"/>
    <col min="13569" max="13569" width="0" style="3" hidden="1" customWidth="1"/>
    <col min="13570" max="13570" width="24.7109375" style="3" customWidth="1"/>
    <col min="13571" max="13571" width="18" style="3" customWidth="1"/>
    <col min="13572" max="13572" width="18.42578125" style="3" customWidth="1"/>
    <col min="13573" max="13573" width="13.85546875" style="3" customWidth="1"/>
    <col min="13574" max="13574" width="14" style="3" customWidth="1"/>
    <col min="13575" max="13824" width="9.140625" style="3"/>
    <col min="13825" max="13825" width="0" style="3" hidden="1" customWidth="1"/>
    <col min="13826" max="13826" width="24.7109375" style="3" customWidth="1"/>
    <col min="13827" max="13827" width="18" style="3" customWidth="1"/>
    <col min="13828" max="13828" width="18.42578125" style="3" customWidth="1"/>
    <col min="13829" max="13829" width="13.85546875" style="3" customWidth="1"/>
    <col min="13830" max="13830" width="14" style="3" customWidth="1"/>
    <col min="13831" max="14080" width="9.140625" style="3"/>
    <col min="14081" max="14081" width="0" style="3" hidden="1" customWidth="1"/>
    <col min="14082" max="14082" width="24.7109375" style="3" customWidth="1"/>
    <col min="14083" max="14083" width="18" style="3" customWidth="1"/>
    <col min="14084" max="14084" width="18.42578125" style="3" customWidth="1"/>
    <col min="14085" max="14085" width="13.85546875" style="3" customWidth="1"/>
    <col min="14086" max="14086" width="14" style="3" customWidth="1"/>
    <col min="14087" max="14336" width="9.140625" style="3"/>
    <col min="14337" max="14337" width="0" style="3" hidden="1" customWidth="1"/>
    <col min="14338" max="14338" width="24.7109375" style="3" customWidth="1"/>
    <col min="14339" max="14339" width="18" style="3" customWidth="1"/>
    <col min="14340" max="14340" width="18.42578125" style="3" customWidth="1"/>
    <col min="14341" max="14341" width="13.85546875" style="3" customWidth="1"/>
    <col min="14342" max="14342" width="14" style="3" customWidth="1"/>
    <col min="14343" max="14592" width="9.140625" style="3"/>
    <col min="14593" max="14593" width="0" style="3" hidden="1" customWidth="1"/>
    <col min="14594" max="14594" width="24.7109375" style="3" customWidth="1"/>
    <col min="14595" max="14595" width="18" style="3" customWidth="1"/>
    <col min="14596" max="14596" width="18.42578125" style="3" customWidth="1"/>
    <col min="14597" max="14597" width="13.85546875" style="3" customWidth="1"/>
    <col min="14598" max="14598" width="14" style="3" customWidth="1"/>
    <col min="14599" max="14848" width="9.140625" style="3"/>
    <col min="14849" max="14849" width="0" style="3" hidden="1" customWidth="1"/>
    <col min="14850" max="14850" width="24.7109375" style="3" customWidth="1"/>
    <col min="14851" max="14851" width="18" style="3" customWidth="1"/>
    <col min="14852" max="14852" width="18.42578125" style="3" customWidth="1"/>
    <col min="14853" max="14853" width="13.85546875" style="3" customWidth="1"/>
    <col min="14854" max="14854" width="14" style="3" customWidth="1"/>
    <col min="14855" max="15104" width="9.140625" style="3"/>
    <col min="15105" max="15105" width="0" style="3" hidden="1" customWidth="1"/>
    <col min="15106" max="15106" width="24.7109375" style="3" customWidth="1"/>
    <col min="15107" max="15107" width="18" style="3" customWidth="1"/>
    <col min="15108" max="15108" width="18.42578125" style="3" customWidth="1"/>
    <col min="15109" max="15109" width="13.85546875" style="3" customWidth="1"/>
    <col min="15110" max="15110" width="14" style="3" customWidth="1"/>
    <col min="15111" max="15360" width="9.140625" style="3"/>
    <col min="15361" max="15361" width="0" style="3" hidden="1" customWidth="1"/>
    <col min="15362" max="15362" width="24.7109375" style="3" customWidth="1"/>
    <col min="15363" max="15363" width="18" style="3" customWidth="1"/>
    <col min="15364" max="15364" width="18.42578125" style="3" customWidth="1"/>
    <col min="15365" max="15365" width="13.85546875" style="3" customWidth="1"/>
    <col min="15366" max="15366" width="14" style="3" customWidth="1"/>
    <col min="15367" max="15616" width="9.140625" style="3"/>
    <col min="15617" max="15617" width="0" style="3" hidden="1" customWidth="1"/>
    <col min="15618" max="15618" width="24.7109375" style="3" customWidth="1"/>
    <col min="15619" max="15619" width="18" style="3" customWidth="1"/>
    <col min="15620" max="15620" width="18.42578125" style="3" customWidth="1"/>
    <col min="15621" max="15621" width="13.85546875" style="3" customWidth="1"/>
    <col min="15622" max="15622" width="14" style="3" customWidth="1"/>
    <col min="15623" max="15872" width="9.140625" style="3"/>
    <col min="15873" max="15873" width="0" style="3" hidden="1" customWidth="1"/>
    <col min="15874" max="15874" width="24.7109375" style="3" customWidth="1"/>
    <col min="15875" max="15875" width="18" style="3" customWidth="1"/>
    <col min="15876" max="15876" width="18.42578125" style="3" customWidth="1"/>
    <col min="15877" max="15877" width="13.85546875" style="3" customWidth="1"/>
    <col min="15878" max="15878" width="14" style="3" customWidth="1"/>
    <col min="15879" max="16128" width="9.140625" style="3"/>
    <col min="16129" max="16129" width="0" style="3" hidden="1" customWidth="1"/>
    <col min="16130" max="16130" width="24.7109375" style="3" customWidth="1"/>
    <col min="16131" max="16131" width="18" style="3" customWidth="1"/>
    <col min="16132" max="16132" width="18.42578125" style="3" customWidth="1"/>
    <col min="16133" max="16133" width="13.85546875" style="3" customWidth="1"/>
    <col min="16134" max="16134" width="14" style="3" customWidth="1"/>
    <col min="16135" max="16384" width="9.140625" style="3"/>
  </cols>
  <sheetData>
    <row r="1" spans="1:9" ht="48.75" customHeight="1">
      <c r="B1" s="226"/>
      <c r="C1" s="227"/>
      <c r="D1" s="227"/>
      <c r="E1" s="227"/>
      <c r="F1" s="228"/>
    </row>
    <row r="2" spans="1:9" ht="15.75" customHeight="1">
      <c r="C2" s="210" t="s">
        <v>1</v>
      </c>
      <c r="D2" s="230" t="s">
        <v>2</v>
      </c>
      <c r="E2" s="230"/>
      <c r="F2" s="210" t="s">
        <v>5</v>
      </c>
    </row>
    <row r="3" spans="1:9" ht="34.5" customHeight="1">
      <c r="A3" s="4"/>
      <c r="C3" s="211"/>
      <c r="D3" s="31" t="s">
        <v>3</v>
      </c>
      <c r="E3" s="31" t="s">
        <v>4</v>
      </c>
      <c r="F3" s="211"/>
    </row>
    <row r="4" spans="1:9" ht="23.25" customHeight="1">
      <c r="A4" s="4"/>
      <c r="B4" s="11" t="s">
        <v>6</v>
      </c>
      <c r="C4" s="49">
        <f>C5+C46</f>
        <v>980</v>
      </c>
      <c r="D4" s="49">
        <f t="shared" ref="D4:F4" si="0">D5+D46</f>
        <v>163</v>
      </c>
      <c r="E4" s="49">
        <f t="shared" si="0"/>
        <v>23</v>
      </c>
      <c r="F4" s="49">
        <f t="shared" si="0"/>
        <v>0</v>
      </c>
      <c r="I4" s="25"/>
    </row>
    <row r="5" spans="1:9" s="11" customFormat="1" ht="25.5" customHeight="1">
      <c r="A5" s="9"/>
      <c r="B5" s="11" t="s">
        <v>7</v>
      </c>
      <c r="C5" s="42">
        <f>SUM(C6:C45)</f>
        <v>784</v>
      </c>
      <c r="D5" s="42">
        <f t="shared" ref="D5:F5" si="1">SUM(D6:D45)</f>
        <v>114</v>
      </c>
      <c r="E5" s="42">
        <f t="shared" si="1"/>
        <v>18</v>
      </c>
      <c r="F5" s="42">
        <f t="shared" si="1"/>
        <v>0</v>
      </c>
    </row>
    <row r="6" spans="1:9">
      <c r="A6" s="12">
        <v>51</v>
      </c>
      <c r="B6" s="3" t="s">
        <v>8</v>
      </c>
      <c r="C6" s="37">
        <v>40</v>
      </c>
      <c r="D6" s="37">
        <v>7</v>
      </c>
      <c r="E6" s="37">
        <v>0</v>
      </c>
      <c r="F6" s="37">
        <v>0</v>
      </c>
    </row>
    <row r="7" spans="1:9">
      <c r="A7" s="12">
        <v>52</v>
      </c>
      <c r="B7" s="3" t="s">
        <v>9</v>
      </c>
      <c r="C7" s="37">
        <v>33</v>
      </c>
      <c r="D7" s="37">
        <v>5</v>
      </c>
      <c r="E7" s="37">
        <v>4</v>
      </c>
      <c r="F7" s="37">
        <v>0</v>
      </c>
    </row>
    <row r="8" spans="1:9">
      <c r="A8" s="12">
        <v>86</v>
      </c>
      <c r="B8" s="3" t="s">
        <v>10</v>
      </c>
      <c r="C8" s="37">
        <v>20</v>
      </c>
      <c r="D8" s="37">
        <v>2</v>
      </c>
      <c r="E8" s="37">
        <v>0</v>
      </c>
      <c r="F8" s="37">
        <v>0</v>
      </c>
    </row>
    <row r="9" spans="1:9">
      <c r="A9" s="12">
        <v>53</v>
      </c>
      <c r="B9" s="3" t="s">
        <v>11</v>
      </c>
      <c r="C9" s="37">
        <v>7</v>
      </c>
      <c r="D9" s="37">
        <v>2</v>
      </c>
      <c r="E9" s="37">
        <v>0</v>
      </c>
      <c r="F9" s="37">
        <v>0</v>
      </c>
    </row>
    <row r="10" spans="1:9">
      <c r="A10" s="12">
        <v>54</v>
      </c>
      <c r="B10" s="3" t="s">
        <v>12</v>
      </c>
      <c r="C10" s="37">
        <v>34</v>
      </c>
      <c r="D10" s="37">
        <v>1</v>
      </c>
      <c r="E10" s="37">
        <v>0</v>
      </c>
      <c r="F10" s="37">
        <v>0</v>
      </c>
    </row>
    <row r="11" spans="1:9">
      <c r="A11" s="12">
        <v>55</v>
      </c>
      <c r="B11" s="3" t="s">
        <v>13</v>
      </c>
      <c r="C11" s="37">
        <v>24</v>
      </c>
      <c r="D11" s="37">
        <v>2</v>
      </c>
      <c r="E11" s="37">
        <v>0</v>
      </c>
      <c r="F11" s="37">
        <v>0</v>
      </c>
    </row>
    <row r="12" spans="1:9">
      <c r="A12" s="12">
        <v>56</v>
      </c>
      <c r="B12" s="3" t="s">
        <v>14</v>
      </c>
      <c r="C12" s="37">
        <v>5</v>
      </c>
      <c r="D12" s="37">
        <v>1</v>
      </c>
      <c r="E12" s="37">
        <v>0</v>
      </c>
      <c r="F12" s="37">
        <v>0</v>
      </c>
    </row>
    <row r="13" spans="1:9">
      <c r="A13" s="12">
        <v>57</v>
      </c>
      <c r="B13" s="3" t="s">
        <v>15</v>
      </c>
      <c r="C13" s="37">
        <v>9</v>
      </c>
      <c r="D13" s="37">
        <v>1</v>
      </c>
      <c r="E13" s="37">
        <v>0</v>
      </c>
      <c r="F13" s="37">
        <v>0</v>
      </c>
    </row>
    <row r="14" spans="1:9">
      <c r="A14" s="12">
        <v>59</v>
      </c>
      <c r="B14" s="3" t="s">
        <v>16</v>
      </c>
      <c r="C14" s="37">
        <v>11</v>
      </c>
      <c r="D14" s="37">
        <v>1</v>
      </c>
      <c r="E14" s="37">
        <v>1</v>
      </c>
      <c r="F14" s="37">
        <v>0</v>
      </c>
    </row>
    <row r="15" spans="1:9">
      <c r="A15" s="12">
        <v>60</v>
      </c>
      <c r="B15" s="3" t="s">
        <v>17</v>
      </c>
      <c r="C15" s="37">
        <v>9</v>
      </c>
      <c r="D15" s="37">
        <v>0</v>
      </c>
      <c r="E15" s="37">
        <v>1</v>
      </c>
      <c r="F15" s="37">
        <v>0</v>
      </c>
    </row>
    <row r="16" spans="1:9">
      <c r="A16" s="12">
        <v>61</v>
      </c>
      <c r="B16" s="38" t="s">
        <v>18</v>
      </c>
      <c r="C16" s="37">
        <v>30</v>
      </c>
      <c r="D16" s="37">
        <v>7</v>
      </c>
      <c r="E16" s="37">
        <v>0</v>
      </c>
      <c r="F16" s="37">
        <v>0</v>
      </c>
    </row>
    <row r="17" spans="1:6" s="186" customFormat="1">
      <c r="A17" s="12"/>
      <c r="B17" s="132" t="s">
        <v>125</v>
      </c>
      <c r="C17" s="37" t="s">
        <v>126</v>
      </c>
      <c r="D17" s="37" t="s">
        <v>126</v>
      </c>
      <c r="E17" s="37" t="s">
        <v>126</v>
      </c>
      <c r="F17" s="37" t="s">
        <v>126</v>
      </c>
    </row>
    <row r="18" spans="1:6">
      <c r="A18" s="12">
        <v>62</v>
      </c>
      <c r="B18" s="3" t="s">
        <v>19</v>
      </c>
      <c r="C18" s="37">
        <v>23</v>
      </c>
      <c r="D18" s="37">
        <v>0</v>
      </c>
      <c r="E18" s="37">
        <v>1</v>
      </c>
      <c r="F18" s="37">
        <v>0</v>
      </c>
    </row>
    <row r="19" spans="1:6">
      <c r="A19" s="12">
        <v>58</v>
      </c>
      <c r="B19" s="3" t="s">
        <v>20</v>
      </c>
      <c r="C19" s="37">
        <v>4</v>
      </c>
      <c r="D19" s="37">
        <v>2</v>
      </c>
      <c r="E19" s="37">
        <v>0</v>
      </c>
      <c r="F19" s="37">
        <v>0</v>
      </c>
    </row>
    <row r="20" spans="1:6">
      <c r="A20" s="12">
        <v>63</v>
      </c>
      <c r="B20" s="3" t="s">
        <v>21</v>
      </c>
      <c r="C20" s="37">
        <v>32</v>
      </c>
      <c r="D20" s="37">
        <v>4</v>
      </c>
      <c r="E20" s="37">
        <v>3</v>
      </c>
      <c r="F20" s="37">
        <v>0</v>
      </c>
    </row>
    <row r="21" spans="1:6">
      <c r="A21" s="12">
        <v>64</v>
      </c>
      <c r="B21" s="3" t="s">
        <v>22</v>
      </c>
      <c r="C21" s="37">
        <v>28</v>
      </c>
      <c r="D21" s="37">
        <v>8</v>
      </c>
      <c r="E21" s="37">
        <v>0</v>
      </c>
      <c r="F21" s="37">
        <v>0</v>
      </c>
    </row>
    <row r="22" spans="1:6">
      <c r="A22" s="12">
        <v>65</v>
      </c>
      <c r="B22" s="3" t="s">
        <v>23</v>
      </c>
      <c r="C22" s="37">
        <v>19</v>
      </c>
      <c r="D22" s="37">
        <v>0</v>
      </c>
      <c r="E22" s="37">
        <v>0</v>
      </c>
      <c r="F22" s="37">
        <v>0</v>
      </c>
    </row>
    <row r="23" spans="1:6">
      <c r="A23" s="12">
        <v>67</v>
      </c>
      <c r="B23" s="3" t="s">
        <v>24</v>
      </c>
      <c r="C23" s="37">
        <v>41</v>
      </c>
      <c r="D23" s="37">
        <v>5</v>
      </c>
      <c r="E23" s="37">
        <v>0</v>
      </c>
      <c r="F23" s="37">
        <v>0</v>
      </c>
    </row>
    <row r="24" spans="1:6">
      <c r="A24" s="12">
        <v>68</v>
      </c>
      <c r="B24" s="3" t="s">
        <v>25</v>
      </c>
      <c r="C24" s="37">
        <v>22</v>
      </c>
      <c r="D24" s="37">
        <v>3</v>
      </c>
      <c r="E24" s="37">
        <v>0</v>
      </c>
      <c r="F24" s="37">
        <v>0</v>
      </c>
    </row>
    <row r="25" spans="1:6">
      <c r="A25" s="12">
        <v>69</v>
      </c>
      <c r="B25" s="3" t="s">
        <v>26</v>
      </c>
      <c r="C25" s="37">
        <v>36</v>
      </c>
      <c r="D25" s="37">
        <v>8</v>
      </c>
      <c r="E25" s="37">
        <v>1</v>
      </c>
      <c r="F25" s="37">
        <v>0</v>
      </c>
    </row>
    <row r="26" spans="1:6">
      <c r="A26" s="12">
        <v>70</v>
      </c>
      <c r="B26" s="3" t="s">
        <v>27</v>
      </c>
      <c r="C26" s="37">
        <v>48</v>
      </c>
      <c r="D26" s="37">
        <v>5</v>
      </c>
      <c r="E26" s="37">
        <v>2</v>
      </c>
      <c r="F26" s="37">
        <v>0</v>
      </c>
    </row>
    <row r="27" spans="1:6">
      <c r="A27" s="12">
        <v>71</v>
      </c>
      <c r="B27" s="39" t="s">
        <v>28</v>
      </c>
      <c r="C27" s="37">
        <v>5</v>
      </c>
      <c r="D27" s="37">
        <v>0</v>
      </c>
      <c r="E27" s="37">
        <v>0</v>
      </c>
      <c r="F27" s="37">
        <v>0</v>
      </c>
    </row>
    <row r="28" spans="1:6">
      <c r="A28" s="12">
        <v>73</v>
      </c>
      <c r="B28" s="3" t="s">
        <v>29</v>
      </c>
      <c r="C28" s="37">
        <v>16</v>
      </c>
      <c r="D28" s="37">
        <v>3</v>
      </c>
      <c r="E28" s="37">
        <v>0</v>
      </c>
      <c r="F28" s="37">
        <v>0</v>
      </c>
    </row>
    <row r="29" spans="1:6">
      <c r="A29" s="12">
        <v>74</v>
      </c>
      <c r="B29" s="3" t="s">
        <v>30</v>
      </c>
      <c r="C29" s="37">
        <v>15</v>
      </c>
      <c r="D29" s="37">
        <v>4</v>
      </c>
      <c r="E29" s="37">
        <v>0</v>
      </c>
      <c r="F29" s="37">
        <v>0</v>
      </c>
    </row>
    <row r="30" spans="1:6">
      <c r="A30" s="12">
        <v>75</v>
      </c>
      <c r="B30" s="3" t="s">
        <v>31</v>
      </c>
      <c r="C30" s="37">
        <v>18</v>
      </c>
      <c r="D30" s="37">
        <v>2</v>
      </c>
      <c r="E30" s="37">
        <v>1</v>
      </c>
      <c r="F30" s="37">
        <v>0</v>
      </c>
    </row>
    <row r="31" spans="1:6">
      <c r="A31" s="12">
        <v>76</v>
      </c>
      <c r="B31" s="3" t="s">
        <v>32</v>
      </c>
      <c r="C31" s="37">
        <v>19</v>
      </c>
      <c r="D31" s="37">
        <v>4</v>
      </c>
      <c r="E31" s="37">
        <v>0</v>
      </c>
      <c r="F31" s="37">
        <v>0</v>
      </c>
    </row>
    <row r="32" spans="1:6">
      <c r="A32" s="12">
        <v>79</v>
      </c>
      <c r="B32" s="3" t="s">
        <v>33</v>
      </c>
      <c r="C32" s="37">
        <v>40</v>
      </c>
      <c r="D32" s="37">
        <v>14</v>
      </c>
      <c r="E32" s="37">
        <v>0</v>
      </c>
      <c r="F32" s="37">
        <v>0</v>
      </c>
    </row>
    <row r="33" spans="1:11">
      <c r="A33" s="12">
        <v>80</v>
      </c>
      <c r="B33" s="3" t="s">
        <v>34</v>
      </c>
      <c r="C33" s="37">
        <v>34</v>
      </c>
      <c r="D33" s="37">
        <v>2</v>
      </c>
      <c r="E33" s="37">
        <v>2</v>
      </c>
      <c r="F33" s="37">
        <v>0</v>
      </c>
    </row>
    <row r="34" spans="1:11">
      <c r="A34" s="12">
        <v>81</v>
      </c>
      <c r="B34" s="3" t="s">
        <v>35</v>
      </c>
      <c r="C34" s="37">
        <v>15</v>
      </c>
      <c r="D34" s="37">
        <v>1</v>
      </c>
      <c r="E34" s="37">
        <v>0</v>
      </c>
      <c r="F34" s="37">
        <v>0</v>
      </c>
    </row>
    <row r="35" spans="1:11">
      <c r="A35" s="12">
        <v>83</v>
      </c>
      <c r="B35" s="3" t="s">
        <v>36</v>
      </c>
      <c r="C35" s="37">
        <v>13</v>
      </c>
      <c r="D35" s="37">
        <v>4</v>
      </c>
      <c r="E35" s="37">
        <v>0</v>
      </c>
      <c r="F35" s="37">
        <v>0</v>
      </c>
    </row>
    <row r="36" spans="1:11">
      <c r="A36" s="12">
        <v>84</v>
      </c>
      <c r="B36" s="3" t="s">
        <v>37</v>
      </c>
      <c r="C36" s="37">
        <v>10</v>
      </c>
      <c r="D36" s="37">
        <v>2</v>
      </c>
      <c r="E36" s="37">
        <v>0</v>
      </c>
      <c r="F36" s="37">
        <v>0</v>
      </c>
    </row>
    <row r="37" spans="1:11" ht="15">
      <c r="A37" s="12">
        <v>85</v>
      </c>
      <c r="B37" s="3" t="s">
        <v>38</v>
      </c>
      <c r="C37" s="37">
        <v>23</v>
      </c>
      <c r="D37" s="37">
        <v>5</v>
      </c>
      <c r="E37" s="37">
        <v>0</v>
      </c>
      <c r="F37" s="37">
        <v>0</v>
      </c>
      <c r="G37" s="11"/>
    </row>
    <row r="38" spans="1:11" ht="15">
      <c r="A38" s="12">
        <v>87</v>
      </c>
      <c r="B38" s="3" t="s">
        <v>39</v>
      </c>
      <c r="C38" s="37">
        <v>8</v>
      </c>
      <c r="D38" s="37">
        <v>0</v>
      </c>
      <c r="E38" s="37">
        <v>0</v>
      </c>
      <c r="F38" s="37">
        <v>0</v>
      </c>
      <c r="H38" s="11"/>
      <c r="I38" s="11"/>
    </row>
    <row r="39" spans="1:11">
      <c r="A39" s="12">
        <v>90</v>
      </c>
      <c r="B39" s="3" t="s">
        <v>40</v>
      </c>
      <c r="C39" s="37">
        <v>10</v>
      </c>
      <c r="D39" s="37">
        <v>3</v>
      </c>
      <c r="E39" s="37">
        <v>0</v>
      </c>
      <c r="F39" s="37">
        <v>0</v>
      </c>
    </row>
    <row r="40" spans="1:11">
      <c r="A40" s="12">
        <v>91</v>
      </c>
      <c r="B40" s="3" t="s">
        <v>41</v>
      </c>
      <c r="C40" s="37">
        <v>26</v>
      </c>
      <c r="D40" s="37">
        <v>1</v>
      </c>
      <c r="E40" s="37">
        <v>0</v>
      </c>
      <c r="F40" s="37">
        <v>0</v>
      </c>
    </row>
    <row r="41" spans="1:11">
      <c r="A41" s="12">
        <v>92</v>
      </c>
      <c r="B41" s="3" t="s">
        <v>42</v>
      </c>
      <c r="C41" s="37">
        <v>17</v>
      </c>
      <c r="D41" s="37">
        <v>1</v>
      </c>
      <c r="E41" s="37">
        <v>1</v>
      </c>
      <c r="F41" s="37">
        <v>0</v>
      </c>
    </row>
    <row r="42" spans="1:11">
      <c r="A42" s="12">
        <v>94</v>
      </c>
      <c r="B42" s="3" t="s">
        <v>43</v>
      </c>
      <c r="C42" s="37">
        <v>11</v>
      </c>
      <c r="D42" s="37">
        <v>3</v>
      </c>
      <c r="E42" s="37">
        <v>0</v>
      </c>
      <c r="F42" s="37">
        <v>0</v>
      </c>
    </row>
    <row r="43" spans="1:11" ht="15">
      <c r="A43" s="12">
        <v>96</v>
      </c>
      <c r="B43" s="3" t="s">
        <v>44</v>
      </c>
      <c r="C43" s="37">
        <v>17</v>
      </c>
      <c r="D43" s="37">
        <v>1</v>
      </c>
      <c r="E43" s="37">
        <v>0</v>
      </c>
      <c r="F43" s="37">
        <v>0</v>
      </c>
      <c r="J43" s="11"/>
    </row>
    <row r="44" spans="1:11" ht="15">
      <c r="A44" s="12">
        <v>98</v>
      </c>
      <c r="B44" s="3" t="s">
        <v>45</v>
      </c>
      <c r="C44" s="37">
        <v>12</v>
      </c>
      <c r="D44" s="37">
        <v>0</v>
      </c>
      <c r="E44" s="37">
        <v>1</v>
      </c>
      <c r="F44" s="37">
        <v>0</v>
      </c>
      <c r="K44" s="11"/>
    </row>
    <row r="45" spans="1:11">
      <c r="A45" s="12">
        <v>72</v>
      </c>
      <c r="B45" s="39" t="s">
        <v>46</v>
      </c>
      <c r="C45" s="37">
        <v>0</v>
      </c>
      <c r="D45" s="37">
        <v>0</v>
      </c>
      <c r="E45" s="37">
        <v>0</v>
      </c>
      <c r="F45" s="37">
        <v>0</v>
      </c>
    </row>
    <row r="46" spans="1:11" s="11" customFormat="1" ht="25.5" customHeight="1">
      <c r="A46" s="50"/>
      <c r="B46" s="11" t="s">
        <v>47</v>
      </c>
      <c r="C46" s="42">
        <f>SUM(C47:C53)</f>
        <v>196</v>
      </c>
      <c r="D46" s="42">
        <f t="shared" ref="D46:F46" si="2">SUM(D47:D53)</f>
        <v>49</v>
      </c>
      <c r="E46" s="42">
        <f t="shared" si="2"/>
        <v>5</v>
      </c>
      <c r="F46" s="42">
        <f t="shared" si="2"/>
        <v>0</v>
      </c>
    </row>
    <row r="47" spans="1:11">
      <c r="A47" s="12">
        <v>66</v>
      </c>
      <c r="B47" s="3" t="s">
        <v>48</v>
      </c>
      <c r="C47" s="37">
        <v>34</v>
      </c>
      <c r="D47" s="37">
        <v>10</v>
      </c>
      <c r="E47" s="37">
        <v>0</v>
      </c>
      <c r="F47" s="37">
        <v>0</v>
      </c>
    </row>
    <row r="48" spans="1:11">
      <c r="A48" s="12">
        <v>78</v>
      </c>
      <c r="B48" s="3" t="s">
        <v>49</v>
      </c>
      <c r="C48" s="37">
        <v>10</v>
      </c>
      <c r="D48" s="37">
        <v>3</v>
      </c>
      <c r="E48" s="37">
        <v>0</v>
      </c>
      <c r="F48" s="37">
        <v>0</v>
      </c>
    </row>
    <row r="49" spans="1:6">
      <c r="A49" s="12">
        <v>89</v>
      </c>
      <c r="B49" s="3" t="s">
        <v>50</v>
      </c>
      <c r="C49" s="37">
        <v>38</v>
      </c>
      <c r="D49" s="37">
        <v>3</v>
      </c>
      <c r="E49" s="37">
        <v>3</v>
      </c>
      <c r="F49" s="37">
        <v>0</v>
      </c>
    </row>
    <row r="50" spans="1:6">
      <c r="A50" s="12">
        <v>93</v>
      </c>
      <c r="B50" s="3" t="s">
        <v>51</v>
      </c>
      <c r="C50" s="37">
        <v>12</v>
      </c>
      <c r="D50" s="37">
        <v>2</v>
      </c>
      <c r="E50" s="37">
        <v>0</v>
      </c>
      <c r="F50" s="37">
        <v>0</v>
      </c>
    </row>
    <row r="51" spans="1:6">
      <c r="A51" s="12">
        <v>95</v>
      </c>
      <c r="B51" s="3" t="s">
        <v>52</v>
      </c>
      <c r="C51" s="37">
        <v>20</v>
      </c>
      <c r="D51" s="37">
        <v>4</v>
      </c>
      <c r="E51" s="37">
        <v>1</v>
      </c>
      <c r="F51" s="37">
        <v>0</v>
      </c>
    </row>
    <row r="52" spans="1:6">
      <c r="A52" s="12">
        <v>97</v>
      </c>
      <c r="B52" s="3" t="s">
        <v>53</v>
      </c>
      <c r="C52" s="37">
        <v>34</v>
      </c>
      <c r="D52" s="37">
        <v>8</v>
      </c>
      <c r="E52" s="37">
        <v>1</v>
      </c>
      <c r="F52" s="37">
        <v>0</v>
      </c>
    </row>
    <row r="53" spans="1:6">
      <c r="A53" s="12">
        <v>77</v>
      </c>
      <c r="B53" s="43" t="s">
        <v>54</v>
      </c>
      <c r="C53" s="37">
        <v>48</v>
      </c>
      <c r="D53" s="37">
        <v>19</v>
      </c>
      <c r="E53" s="37">
        <v>0</v>
      </c>
      <c r="F53" s="37">
        <v>0</v>
      </c>
    </row>
    <row r="54" spans="1:6">
      <c r="C54" s="37"/>
      <c r="D54" s="51"/>
      <c r="E54" s="37"/>
      <c r="F54" s="37"/>
    </row>
    <row r="55" spans="1:6" ht="13.5" customHeight="1">
      <c r="B55" s="12" t="s">
        <v>55</v>
      </c>
    </row>
    <row r="56" spans="1:6" ht="13.5" customHeight="1">
      <c r="B56" s="219" t="s">
        <v>56</v>
      </c>
      <c r="C56" s="220"/>
      <c r="D56" s="220"/>
      <c r="E56" s="220"/>
      <c r="F56" s="220"/>
    </row>
    <row r="57" spans="1:6" ht="15" customHeight="1">
      <c r="B57" s="220"/>
      <c r="C57" s="220"/>
      <c r="D57" s="220"/>
      <c r="E57" s="220"/>
      <c r="F57" s="220"/>
    </row>
    <row r="58" spans="1:6" ht="13.5" customHeight="1">
      <c r="B58" s="220"/>
      <c r="C58" s="220"/>
      <c r="D58" s="220"/>
      <c r="E58" s="220"/>
      <c r="F58" s="220"/>
    </row>
    <row r="59" spans="1:6" ht="12.75" customHeight="1">
      <c r="B59" s="220"/>
      <c r="C59" s="220"/>
      <c r="D59" s="220"/>
      <c r="E59" s="220"/>
      <c r="F59" s="220"/>
    </row>
    <row r="60" spans="1:6" ht="15.75" customHeight="1">
      <c r="B60" s="220"/>
      <c r="C60" s="220"/>
      <c r="D60" s="220"/>
      <c r="E60" s="220"/>
      <c r="F60" s="220"/>
    </row>
    <row r="61" spans="1:6" ht="67.5" customHeight="1">
      <c r="B61" s="220"/>
      <c r="C61" s="220"/>
      <c r="D61" s="220"/>
      <c r="E61" s="220"/>
      <c r="F61" s="220"/>
    </row>
    <row r="62" spans="1:6" ht="9.75" customHeight="1">
      <c r="B62" s="53"/>
      <c r="C62" s="54"/>
      <c r="D62" s="54"/>
      <c r="E62" s="54"/>
      <c r="F62" s="54"/>
    </row>
    <row r="63" spans="1:6">
      <c r="B63" s="24" t="s">
        <v>57</v>
      </c>
    </row>
    <row r="65" spans="2:2">
      <c r="B65" s="27"/>
    </row>
  </sheetData>
  <mergeCells count="5">
    <mergeCell ref="B1:F1"/>
    <mergeCell ref="C2:C3"/>
    <mergeCell ref="D2:E2"/>
    <mergeCell ref="F2:F3"/>
    <mergeCell ref="B56:F61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K65"/>
  <sheetViews>
    <sheetView showGridLines="0" zoomScale="85" workbookViewId="0">
      <pane xSplit="2" ySplit="3" topLeftCell="C4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RowHeight="12.75"/>
  <cols>
    <col min="1" max="1" width="3.140625" style="1" hidden="1" customWidth="1"/>
    <col min="2" max="2" width="24.7109375" style="3" customWidth="1"/>
    <col min="3" max="3" width="18" style="52" customWidth="1"/>
    <col min="4" max="4" width="18.42578125" style="52" customWidth="1"/>
    <col min="5" max="5" width="13.85546875" style="52" customWidth="1"/>
    <col min="6" max="6" width="14" style="52" customWidth="1"/>
    <col min="7" max="256" width="9.140625" style="3"/>
    <col min="257" max="257" width="0" style="3" hidden="1" customWidth="1"/>
    <col min="258" max="258" width="24.7109375" style="3" customWidth="1"/>
    <col min="259" max="259" width="18" style="3" customWidth="1"/>
    <col min="260" max="260" width="18.42578125" style="3" customWidth="1"/>
    <col min="261" max="261" width="13.85546875" style="3" customWidth="1"/>
    <col min="262" max="262" width="14" style="3" customWidth="1"/>
    <col min="263" max="512" width="9.140625" style="3"/>
    <col min="513" max="513" width="0" style="3" hidden="1" customWidth="1"/>
    <col min="514" max="514" width="24.7109375" style="3" customWidth="1"/>
    <col min="515" max="515" width="18" style="3" customWidth="1"/>
    <col min="516" max="516" width="18.42578125" style="3" customWidth="1"/>
    <col min="517" max="517" width="13.85546875" style="3" customWidth="1"/>
    <col min="518" max="518" width="14" style="3" customWidth="1"/>
    <col min="519" max="768" width="9.140625" style="3"/>
    <col min="769" max="769" width="0" style="3" hidden="1" customWidth="1"/>
    <col min="770" max="770" width="24.7109375" style="3" customWidth="1"/>
    <col min="771" max="771" width="18" style="3" customWidth="1"/>
    <col min="772" max="772" width="18.42578125" style="3" customWidth="1"/>
    <col min="773" max="773" width="13.85546875" style="3" customWidth="1"/>
    <col min="774" max="774" width="14" style="3" customWidth="1"/>
    <col min="775" max="1024" width="9.140625" style="3"/>
    <col min="1025" max="1025" width="0" style="3" hidden="1" customWidth="1"/>
    <col min="1026" max="1026" width="24.7109375" style="3" customWidth="1"/>
    <col min="1027" max="1027" width="18" style="3" customWidth="1"/>
    <col min="1028" max="1028" width="18.42578125" style="3" customWidth="1"/>
    <col min="1029" max="1029" width="13.85546875" style="3" customWidth="1"/>
    <col min="1030" max="1030" width="14" style="3" customWidth="1"/>
    <col min="1031" max="1280" width="9.140625" style="3"/>
    <col min="1281" max="1281" width="0" style="3" hidden="1" customWidth="1"/>
    <col min="1282" max="1282" width="24.7109375" style="3" customWidth="1"/>
    <col min="1283" max="1283" width="18" style="3" customWidth="1"/>
    <col min="1284" max="1284" width="18.42578125" style="3" customWidth="1"/>
    <col min="1285" max="1285" width="13.85546875" style="3" customWidth="1"/>
    <col min="1286" max="1286" width="14" style="3" customWidth="1"/>
    <col min="1287" max="1536" width="9.140625" style="3"/>
    <col min="1537" max="1537" width="0" style="3" hidden="1" customWidth="1"/>
    <col min="1538" max="1538" width="24.7109375" style="3" customWidth="1"/>
    <col min="1539" max="1539" width="18" style="3" customWidth="1"/>
    <col min="1540" max="1540" width="18.42578125" style="3" customWidth="1"/>
    <col min="1541" max="1541" width="13.85546875" style="3" customWidth="1"/>
    <col min="1542" max="1542" width="14" style="3" customWidth="1"/>
    <col min="1543" max="1792" width="9.140625" style="3"/>
    <col min="1793" max="1793" width="0" style="3" hidden="1" customWidth="1"/>
    <col min="1794" max="1794" width="24.7109375" style="3" customWidth="1"/>
    <col min="1795" max="1795" width="18" style="3" customWidth="1"/>
    <col min="1796" max="1796" width="18.42578125" style="3" customWidth="1"/>
    <col min="1797" max="1797" width="13.85546875" style="3" customWidth="1"/>
    <col min="1798" max="1798" width="14" style="3" customWidth="1"/>
    <col min="1799" max="2048" width="9.140625" style="3"/>
    <col min="2049" max="2049" width="0" style="3" hidden="1" customWidth="1"/>
    <col min="2050" max="2050" width="24.7109375" style="3" customWidth="1"/>
    <col min="2051" max="2051" width="18" style="3" customWidth="1"/>
    <col min="2052" max="2052" width="18.42578125" style="3" customWidth="1"/>
    <col min="2053" max="2053" width="13.85546875" style="3" customWidth="1"/>
    <col min="2054" max="2054" width="14" style="3" customWidth="1"/>
    <col min="2055" max="2304" width="9.140625" style="3"/>
    <col min="2305" max="2305" width="0" style="3" hidden="1" customWidth="1"/>
    <col min="2306" max="2306" width="24.7109375" style="3" customWidth="1"/>
    <col min="2307" max="2307" width="18" style="3" customWidth="1"/>
    <col min="2308" max="2308" width="18.42578125" style="3" customWidth="1"/>
    <col min="2309" max="2309" width="13.85546875" style="3" customWidth="1"/>
    <col min="2310" max="2310" width="14" style="3" customWidth="1"/>
    <col min="2311" max="2560" width="9.140625" style="3"/>
    <col min="2561" max="2561" width="0" style="3" hidden="1" customWidth="1"/>
    <col min="2562" max="2562" width="24.7109375" style="3" customWidth="1"/>
    <col min="2563" max="2563" width="18" style="3" customWidth="1"/>
    <col min="2564" max="2564" width="18.42578125" style="3" customWidth="1"/>
    <col min="2565" max="2565" width="13.85546875" style="3" customWidth="1"/>
    <col min="2566" max="2566" width="14" style="3" customWidth="1"/>
    <col min="2567" max="2816" width="9.140625" style="3"/>
    <col min="2817" max="2817" width="0" style="3" hidden="1" customWidth="1"/>
    <col min="2818" max="2818" width="24.7109375" style="3" customWidth="1"/>
    <col min="2819" max="2819" width="18" style="3" customWidth="1"/>
    <col min="2820" max="2820" width="18.42578125" style="3" customWidth="1"/>
    <col min="2821" max="2821" width="13.85546875" style="3" customWidth="1"/>
    <col min="2822" max="2822" width="14" style="3" customWidth="1"/>
    <col min="2823" max="3072" width="9.140625" style="3"/>
    <col min="3073" max="3073" width="0" style="3" hidden="1" customWidth="1"/>
    <col min="3074" max="3074" width="24.7109375" style="3" customWidth="1"/>
    <col min="3075" max="3075" width="18" style="3" customWidth="1"/>
    <col min="3076" max="3076" width="18.42578125" style="3" customWidth="1"/>
    <col min="3077" max="3077" width="13.85546875" style="3" customWidth="1"/>
    <col min="3078" max="3078" width="14" style="3" customWidth="1"/>
    <col min="3079" max="3328" width="9.140625" style="3"/>
    <col min="3329" max="3329" width="0" style="3" hidden="1" customWidth="1"/>
    <col min="3330" max="3330" width="24.7109375" style="3" customWidth="1"/>
    <col min="3331" max="3331" width="18" style="3" customWidth="1"/>
    <col min="3332" max="3332" width="18.42578125" style="3" customWidth="1"/>
    <col min="3333" max="3333" width="13.85546875" style="3" customWidth="1"/>
    <col min="3334" max="3334" width="14" style="3" customWidth="1"/>
    <col min="3335" max="3584" width="9.140625" style="3"/>
    <col min="3585" max="3585" width="0" style="3" hidden="1" customWidth="1"/>
    <col min="3586" max="3586" width="24.7109375" style="3" customWidth="1"/>
    <col min="3587" max="3587" width="18" style="3" customWidth="1"/>
    <col min="3588" max="3588" width="18.42578125" style="3" customWidth="1"/>
    <col min="3589" max="3589" width="13.85546875" style="3" customWidth="1"/>
    <col min="3590" max="3590" width="14" style="3" customWidth="1"/>
    <col min="3591" max="3840" width="9.140625" style="3"/>
    <col min="3841" max="3841" width="0" style="3" hidden="1" customWidth="1"/>
    <col min="3842" max="3842" width="24.7109375" style="3" customWidth="1"/>
    <col min="3843" max="3843" width="18" style="3" customWidth="1"/>
    <col min="3844" max="3844" width="18.42578125" style="3" customWidth="1"/>
    <col min="3845" max="3845" width="13.85546875" style="3" customWidth="1"/>
    <col min="3846" max="3846" width="14" style="3" customWidth="1"/>
    <col min="3847" max="4096" width="9.140625" style="3"/>
    <col min="4097" max="4097" width="0" style="3" hidden="1" customWidth="1"/>
    <col min="4098" max="4098" width="24.7109375" style="3" customWidth="1"/>
    <col min="4099" max="4099" width="18" style="3" customWidth="1"/>
    <col min="4100" max="4100" width="18.42578125" style="3" customWidth="1"/>
    <col min="4101" max="4101" width="13.85546875" style="3" customWidth="1"/>
    <col min="4102" max="4102" width="14" style="3" customWidth="1"/>
    <col min="4103" max="4352" width="9.140625" style="3"/>
    <col min="4353" max="4353" width="0" style="3" hidden="1" customWidth="1"/>
    <col min="4354" max="4354" width="24.7109375" style="3" customWidth="1"/>
    <col min="4355" max="4355" width="18" style="3" customWidth="1"/>
    <col min="4356" max="4356" width="18.42578125" style="3" customWidth="1"/>
    <col min="4357" max="4357" width="13.85546875" style="3" customWidth="1"/>
    <col min="4358" max="4358" width="14" style="3" customWidth="1"/>
    <col min="4359" max="4608" width="9.140625" style="3"/>
    <col min="4609" max="4609" width="0" style="3" hidden="1" customWidth="1"/>
    <col min="4610" max="4610" width="24.7109375" style="3" customWidth="1"/>
    <col min="4611" max="4611" width="18" style="3" customWidth="1"/>
    <col min="4612" max="4612" width="18.42578125" style="3" customWidth="1"/>
    <col min="4613" max="4613" width="13.85546875" style="3" customWidth="1"/>
    <col min="4614" max="4614" width="14" style="3" customWidth="1"/>
    <col min="4615" max="4864" width="9.140625" style="3"/>
    <col min="4865" max="4865" width="0" style="3" hidden="1" customWidth="1"/>
    <col min="4866" max="4866" width="24.7109375" style="3" customWidth="1"/>
    <col min="4867" max="4867" width="18" style="3" customWidth="1"/>
    <col min="4868" max="4868" width="18.42578125" style="3" customWidth="1"/>
    <col min="4869" max="4869" width="13.85546875" style="3" customWidth="1"/>
    <col min="4870" max="4870" width="14" style="3" customWidth="1"/>
    <col min="4871" max="5120" width="9.140625" style="3"/>
    <col min="5121" max="5121" width="0" style="3" hidden="1" customWidth="1"/>
    <col min="5122" max="5122" width="24.7109375" style="3" customWidth="1"/>
    <col min="5123" max="5123" width="18" style="3" customWidth="1"/>
    <col min="5124" max="5124" width="18.42578125" style="3" customWidth="1"/>
    <col min="5125" max="5125" width="13.85546875" style="3" customWidth="1"/>
    <col min="5126" max="5126" width="14" style="3" customWidth="1"/>
    <col min="5127" max="5376" width="9.140625" style="3"/>
    <col min="5377" max="5377" width="0" style="3" hidden="1" customWidth="1"/>
    <col min="5378" max="5378" width="24.7109375" style="3" customWidth="1"/>
    <col min="5379" max="5379" width="18" style="3" customWidth="1"/>
    <col min="5380" max="5380" width="18.42578125" style="3" customWidth="1"/>
    <col min="5381" max="5381" width="13.85546875" style="3" customWidth="1"/>
    <col min="5382" max="5382" width="14" style="3" customWidth="1"/>
    <col min="5383" max="5632" width="9.140625" style="3"/>
    <col min="5633" max="5633" width="0" style="3" hidden="1" customWidth="1"/>
    <col min="5634" max="5634" width="24.7109375" style="3" customWidth="1"/>
    <col min="5635" max="5635" width="18" style="3" customWidth="1"/>
    <col min="5636" max="5636" width="18.42578125" style="3" customWidth="1"/>
    <col min="5637" max="5637" width="13.85546875" style="3" customWidth="1"/>
    <col min="5638" max="5638" width="14" style="3" customWidth="1"/>
    <col min="5639" max="5888" width="9.140625" style="3"/>
    <col min="5889" max="5889" width="0" style="3" hidden="1" customWidth="1"/>
    <col min="5890" max="5890" width="24.7109375" style="3" customWidth="1"/>
    <col min="5891" max="5891" width="18" style="3" customWidth="1"/>
    <col min="5892" max="5892" width="18.42578125" style="3" customWidth="1"/>
    <col min="5893" max="5893" width="13.85546875" style="3" customWidth="1"/>
    <col min="5894" max="5894" width="14" style="3" customWidth="1"/>
    <col min="5895" max="6144" width="9.140625" style="3"/>
    <col min="6145" max="6145" width="0" style="3" hidden="1" customWidth="1"/>
    <col min="6146" max="6146" width="24.7109375" style="3" customWidth="1"/>
    <col min="6147" max="6147" width="18" style="3" customWidth="1"/>
    <col min="6148" max="6148" width="18.42578125" style="3" customWidth="1"/>
    <col min="6149" max="6149" width="13.85546875" style="3" customWidth="1"/>
    <col min="6150" max="6150" width="14" style="3" customWidth="1"/>
    <col min="6151" max="6400" width="9.140625" style="3"/>
    <col min="6401" max="6401" width="0" style="3" hidden="1" customWidth="1"/>
    <col min="6402" max="6402" width="24.7109375" style="3" customWidth="1"/>
    <col min="6403" max="6403" width="18" style="3" customWidth="1"/>
    <col min="6404" max="6404" width="18.42578125" style="3" customWidth="1"/>
    <col min="6405" max="6405" width="13.85546875" style="3" customWidth="1"/>
    <col min="6406" max="6406" width="14" style="3" customWidth="1"/>
    <col min="6407" max="6656" width="9.140625" style="3"/>
    <col min="6657" max="6657" width="0" style="3" hidden="1" customWidth="1"/>
    <col min="6658" max="6658" width="24.7109375" style="3" customWidth="1"/>
    <col min="6659" max="6659" width="18" style="3" customWidth="1"/>
    <col min="6660" max="6660" width="18.42578125" style="3" customWidth="1"/>
    <col min="6661" max="6661" width="13.85546875" style="3" customWidth="1"/>
    <col min="6662" max="6662" width="14" style="3" customWidth="1"/>
    <col min="6663" max="6912" width="9.140625" style="3"/>
    <col min="6913" max="6913" width="0" style="3" hidden="1" customWidth="1"/>
    <col min="6914" max="6914" width="24.7109375" style="3" customWidth="1"/>
    <col min="6915" max="6915" width="18" style="3" customWidth="1"/>
    <col min="6916" max="6916" width="18.42578125" style="3" customWidth="1"/>
    <col min="6917" max="6917" width="13.85546875" style="3" customWidth="1"/>
    <col min="6918" max="6918" width="14" style="3" customWidth="1"/>
    <col min="6919" max="7168" width="9.140625" style="3"/>
    <col min="7169" max="7169" width="0" style="3" hidden="1" customWidth="1"/>
    <col min="7170" max="7170" width="24.7109375" style="3" customWidth="1"/>
    <col min="7171" max="7171" width="18" style="3" customWidth="1"/>
    <col min="7172" max="7172" width="18.42578125" style="3" customWidth="1"/>
    <col min="7173" max="7173" width="13.85546875" style="3" customWidth="1"/>
    <col min="7174" max="7174" width="14" style="3" customWidth="1"/>
    <col min="7175" max="7424" width="9.140625" style="3"/>
    <col min="7425" max="7425" width="0" style="3" hidden="1" customWidth="1"/>
    <col min="7426" max="7426" width="24.7109375" style="3" customWidth="1"/>
    <col min="7427" max="7427" width="18" style="3" customWidth="1"/>
    <col min="7428" max="7428" width="18.42578125" style="3" customWidth="1"/>
    <col min="7429" max="7429" width="13.85546875" style="3" customWidth="1"/>
    <col min="7430" max="7430" width="14" style="3" customWidth="1"/>
    <col min="7431" max="7680" width="9.140625" style="3"/>
    <col min="7681" max="7681" width="0" style="3" hidden="1" customWidth="1"/>
    <col min="7682" max="7682" width="24.7109375" style="3" customWidth="1"/>
    <col min="7683" max="7683" width="18" style="3" customWidth="1"/>
    <col min="7684" max="7684" width="18.42578125" style="3" customWidth="1"/>
    <col min="7685" max="7685" width="13.85546875" style="3" customWidth="1"/>
    <col min="7686" max="7686" width="14" style="3" customWidth="1"/>
    <col min="7687" max="7936" width="9.140625" style="3"/>
    <col min="7937" max="7937" width="0" style="3" hidden="1" customWidth="1"/>
    <col min="7938" max="7938" width="24.7109375" style="3" customWidth="1"/>
    <col min="7939" max="7939" width="18" style="3" customWidth="1"/>
    <col min="7940" max="7940" width="18.42578125" style="3" customWidth="1"/>
    <col min="7941" max="7941" width="13.85546875" style="3" customWidth="1"/>
    <col min="7942" max="7942" width="14" style="3" customWidth="1"/>
    <col min="7943" max="8192" width="9.140625" style="3"/>
    <col min="8193" max="8193" width="0" style="3" hidden="1" customWidth="1"/>
    <col min="8194" max="8194" width="24.7109375" style="3" customWidth="1"/>
    <col min="8195" max="8195" width="18" style="3" customWidth="1"/>
    <col min="8196" max="8196" width="18.42578125" style="3" customWidth="1"/>
    <col min="8197" max="8197" width="13.85546875" style="3" customWidth="1"/>
    <col min="8198" max="8198" width="14" style="3" customWidth="1"/>
    <col min="8199" max="8448" width="9.140625" style="3"/>
    <col min="8449" max="8449" width="0" style="3" hidden="1" customWidth="1"/>
    <col min="8450" max="8450" width="24.7109375" style="3" customWidth="1"/>
    <col min="8451" max="8451" width="18" style="3" customWidth="1"/>
    <col min="8452" max="8452" width="18.42578125" style="3" customWidth="1"/>
    <col min="8453" max="8453" width="13.85546875" style="3" customWidth="1"/>
    <col min="8454" max="8454" width="14" style="3" customWidth="1"/>
    <col min="8455" max="8704" width="9.140625" style="3"/>
    <col min="8705" max="8705" width="0" style="3" hidden="1" customWidth="1"/>
    <col min="8706" max="8706" width="24.7109375" style="3" customWidth="1"/>
    <col min="8707" max="8707" width="18" style="3" customWidth="1"/>
    <col min="8708" max="8708" width="18.42578125" style="3" customWidth="1"/>
    <col min="8709" max="8709" width="13.85546875" style="3" customWidth="1"/>
    <col min="8710" max="8710" width="14" style="3" customWidth="1"/>
    <col min="8711" max="8960" width="9.140625" style="3"/>
    <col min="8961" max="8961" width="0" style="3" hidden="1" customWidth="1"/>
    <col min="8962" max="8962" width="24.7109375" style="3" customWidth="1"/>
    <col min="8963" max="8963" width="18" style="3" customWidth="1"/>
    <col min="8964" max="8964" width="18.42578125" style="3" customWidth="1"/>
    <col min="8965" max="8965" width="13.85546875" style="3" customWidth="1"/>
    <col min="8966" max="8966" width="14" style="3" customWidth="1"/>
    <col min="8967" max="9216" width="9.140625" style="3"/>
    <col min="9217" max="9217" width="0" style="3" hidden="1" customWidth="1"/>
    <col min="9218" max="9218" width="24.7109375" style="3" customWidth="1"/>
    <col min="9219" max="9219" width="18" style="3" customWidth="1"/>
    <col min="9220" max="9220" width="18.42578125" style="3" customWidth="1"/>
    <col min="9221" max="9221" width="13.85546875" style="3" customWidth="1"/>
    <col min="9222" max="9222" width="14" style="3" customWidth="1"/>
    <col min="9223" max="9472" width="9.140625" style="3"/>
    <col min="9473" max="9473" width="0" style="3" hidden="1" customWidth="1"/>
    <col min="9474" max="9474" width="24.7109375" style="3" customWidth="1"/>
    <col min="9475" max="9475" width="18" style="3" customWidth="1"/>
    <col min="9476" max="9476" width="18.42578125" style="3" customWidth="1"/>
    <col min="9477" max="9477" width="13.85546875" style="3" customWidth="1"/>
    <col min="9478" max="9478" width="14" style="3" customWidth="1"/>
    <col min="9479" max="9728" width="9.140625" style="3"/>
    <col min="9729" max="9729" width="0" style="3" hidden="1" customWidth="1"/>
    <col min="9730" max="9730" width="24.7109375" style="3" customWidth="1"/>
    <col min="9731" max="9731" width="18" style="3" customWidth="1"/>
    <col min="9732" max="9732" width="18.42578125" style="3" customWidth="1"/>
    <col min="9733" max="9733" width="13.85546875" style="3" customWidth="1"/>
    <col min="9734" max="9734" width="14" style="3" customWidth="1"/>
    <col min="9735" max="9984" width="9.140625" style="3"/>
    <col min="9985" max="9985" width="0" style="3" hidden="1" customWidth="1"/>
    <col min="9986" max="9986" width="24.7109375" style="3" customWidth="1"/>
    <col min="9987" max="9987" width="18" style="3" customWidth="1"/>
    <col min="9988" max="9988" width="18.42578125" style="3" customWidth="1"/>
    <col min="9989" max="9989" width="13.85546875" style="3" customWidth="1"/>
    <col min="9990" max="9990" width="14" style="3" customWidth="1"/>
    <col min="9991" max="10240" width="9.140625" style="3"/>
    <col min="10241" max="10241" width="0" style="3" hidden="1" customWidth="1"/>
    <col min="10242" max="10242" width="24.7109375" style="3" customWidth="1"/>
    <col min="10243" max="10243" width="18" style="3" customWidth="1"/>
    <col min="10244" max="10244" width="18.42578125" style="3" customWidth="1"/>
    <col min="10245" max="10245" width="13.85546875" style="3" customWidth="1"/>
    <col min="10246" max="10246" width="14" style="3" customWidth="1"/>
    <col min="10247" max="10496" width="9.140625" style="3"/>
    <col min="10497" max="10497" width="0" style="3" hidden="1" customWidth="1"/>
    <col min="10498" max="10498" width="24.7109375" style="3" customWidth="1"/>
    <col min="10499" max="10499" width="18" style="3" customWidth="1"/>
    <col min="10500" max="10500" width="18.42578125" style="3" customWidth="1"/>
    <col min="10501" max="10501" width="13.85546875" style="3" customWidth="1"/>
    <col min="10502" max="10502" width="14" style="3" customWidth="1"/>
    <col min="10503" max="10752" width="9.140625" style="3"/>
    <col min="10753" max="10753" width="0" style="3" hidden="1" customWidth="1"/>
    <col min="10754" max="10754" width="24.7109375" style="3" customWidth="1"/>
    <col min="10755" max="10755" width="18" style="3" customWidth="1"/>
    <col min="10756" max="10756" width="18.42578125" style="3" customWidth="1"/>
    <col min="10757" max="10757" width="13.85546875" style="3" customWidth="1"/>
    <col min="10758" max="10758" width="14" style="3" customWidth="1"/>
    <col min="10759" max="11008" width="9.140625" style="3"/>
    <col min="11009" max="11009" width="0" style="3" hidden="1" customWidth="1"/>
    <col min="11010" max="11010" width="24.7109375" style="3" customWidth="1"/>
    <col min="11011" max="11011" width="18" style="3" customWidth="1"/>
    <col min="11012" max="11012" width="18.42578125" style="3" customWidth="1"/>
    <col min="11013" max="11013" width="13.85546875" style="3" customWidth="1"/>
    <col min="11014" max="11014" width="14" style="3" customWidth="1"/>
    <col min="11015" max="11264" width="9.140625" style="3"/>
    <col min="11265" max="11265" width="0" style="3" hidden="1" customWidth="1"/>
    <col min="11266" max="11266" width="24.7109375" style="3" customWidth="1"/>
    <col min="11267" max="11267" width="18" style="3" customWidth="1"/>
    <col min="11268" max="11268" width="18.42578125" style="3" customWidth="1"/>
    <col min="11269" max="11269" width="13.85546875" style="3" customWidth="1"/>
    <col min="11270" max="11270" width="14" style="3" customWidth="1"/>
    <col min="11271" max="11520" width="9.140625" style="3"/>
    <col min="11521" max="11521" width="0" style="3" hidden="1" customWidth="1"/>
    <col min="11522" max="11522" width="24.7109375" style="3" customWidth="1"/>
    <col min="11523" max="11523" width="18" style="3" customWidth="1"/>
    <col min="11524" max="11524" width="18.42578125" style="3" customWidth="1"/>
    <col min="11525" max="11525" width="13.85546875" style="3" customWidth="1"/>
    <col min="11526" max="11526" width="14" style="3" customWidth="1"/>
    <col min="11527" max="11776" width="9.140625" style="3"/>
    <col min="11777" max="11777" width="0" style="3" hidden="1" customWidth="1"/>
    <col min="11778" max="11778" width="24.7109375" style="3" customWidth="1"/>
    <col min="11779" max="11779" width="18" style="3" customWidth="1"/>
    <col min="11780" max="11780" width="18.42578125" style="3" customWidth="1"/>
    <col min="11781" max="11781" width="13.85546875" style="3" customWidth="1"/>
    <col min="11782" max="11782" width="14" style="3" customWidth="1"/>
    <col min="11783" max="12032" width="9.140625" style="3"/>
    <col min="12033" max="12033" width="0" style="3" hidden="1" customWidth="1"/>
    <col min="12034" max="12034" width="24.7109375" style="3" customWidth="1"/>
    <col min="12035" max="12035" width="18" style="3" customWidth="1"/>
    <col min="12036" max="12036" width="18.42578125" style="3" customWidth="1"/>
    <col min="12037" max="12037" width="13.85546875" style="3" customWidth="1"/>
    <col min="12038" max="12038" width="14" style="3" customWidth="1"/>
    <col min="12039" max="12288" width="9.140625" style="3"/>
    <col min="12289" max="12289" width="0" style="3" hidden="1" customWidth="1"/>
    <col min="12290" max="12290" width="24.7109375" style="3" customWidth="1"/>
    <col min="12291" max="12291" width="18" style="3" customWidth="1"/>
    <col min="12292" max="12292" width="18.42578125" style="3" customWidth="1"/>
    <col min="12293" max="12293" width="13.85546875" style="3" customWidth="1"/>
    <col min="12294" max="12294" width="14" style="3" customWidth="1"/>
    <col min="12295" max="12544" width="9.140625" style="3"/>
    <col min="12545" max="12545" width="0" style="3" hidden="1" customWidth="1"/>
    <col min="12546" max="12546" width="24.7109375" style="3" customWidth="1"/>
    <col min="12547" max="12547" width="18" style="3" customWidth="1"/>
    <col min="12548" max="12548" width="18.42578125" style="3" customWidth="1"/>
    <col min="12549" max="12549" width="13.85546875" style="3" customWidth="1"/>
    <col min="12550" max="12550" width="14" style="3" customWidth="1"/>
    <col min="12551" max="12800" width="9.140625" style="3"/>
    <col min="12801" max="12801" width="0" style="3" hidden="1" customWidth="1"/>
    <col min="12802" max="12802" width="24.7109375" style="3" customWidth="1"/>
    <col min="12803" max="12803" width="18" style="3" customWidth="1"/>
    <col min="12804" max="12804" width="18.42578125" style="3" customWidth="1"/>
    <col min="12805" max="12805" width="13.85546875" style="3" customWidth="1"/>
    <col min="12806" max="12806" width="14" style="3" customWidth="1"/>
    <col min="12807" max="13056" width="9.140625" style="3"/>
    <col min="13057" max="13057" width="0" style="3" hidden="1" customWidth="1"/>
    <col min="13058" max="13058" width="24.7109375" style="3" customWidth="1"/>
    <col min="13059" max="13059" width="18" style="3" customWidth="1"/>
    <col min="13060" max="13060" width="18.42578125" style="3" customWidth="1"/>
    <col min="13061" max="13061" width="13.85546875" style="3" customWidth="1"/>
    <col min="13062" max="13062" width="14" style="3" customWidth="1"/>
    <col min="13063" max="13312" width="9.140625" style="3"/>
    <col min="13313" max="13313" width="0" style="3" hidden="1" customWidth="1"/>
    <col min="13314" max="13314" width="24.7109375" style="3" customWidth="1"/>
    <col min="13315" max="13315" width="18" style="3" customWidth="1"/>
    <col min="13316" max="13316" width="18.42578125" style="3" customWidth="1"/>
    <col min="13317" max="13317" width="13.85546875" style="3" customWidth="1"/>
    <col min="13318" max="13318" width="14" style="3" customWidth="1"/>
    <col min="13319" max="13568" width="9.140625" style="3"/>
    <col min="13569" max="13569" width="0" style="3" hidden="1" customWidth="1"/>
    <col min="13570" max="13570" width="24.7109375" style="3" customWidth="1"/>
    <col min="13571" max="13571" width="18" style="3" customWidth="1"/>
    <col min="13572" max="13572" width="18.42578125" style="3" customWidth="1"/>
    <col min="13573" max="13573" width="13.85546875" style="3" customWidth="1"/>
    <col min="13574" max="13574" width="14" style="3" customWidth="1"/>
    <col min="13575" max="13824" width="9.140625" style="3"/>
    <col min="13825" max="13825" width="0" style="3" hidden="1" customWidth="1"/>
    <col min="13826" max="13826" width="24.7109375" style="3" customWidth="1"/>
    <col min="13827" max="13827" width="18" style="3" customWidth="1"/>
    <col min="13828" max="13828" width="18.42578125" style="3" customWidth="1"/>
    <col min="13829" max="13829" width="13.85546875" style="3" customWidth="1"/>
    <col min="13830" max="13830" width="14" style="3" customWidth="1"/>
    <col min="13831" max="14080" width="9.140625" style="3"/>
    <col min="14081" max="14081" width="0" style="3" hidden="1" customWidth="1"/>
    <col min="14082" max="14082" width="24.7109375" style="3" customWidth="1"/>
    <col min="14083" max="14083" width="18" style="3" customWidth="1"/>
    <col min="14084" max="14084" width="18.42578125" style="3" customWidth="1"/>
    <col min="14085" max="14085" width="13.85546875" style="3" customWidth="1"/>
    <col min="14086" max="14086" width="14" style="3" customWidth="1"/>
    <col min="14087" max="14336" width="9.140625" style="3"/>
    <col min="14337" max="14337" width="0" style="3" hidden="1" customWidth="1"/>
    <col min="14338" max="14338" width="24.7109375" style="3" customWidth="1"/>
    <col min="14339" max="14339" width="18" style="3" customWidth="1"/>
    <col min="14340" max="14340" width="18.42578125" style="3" customWidth="1"/>
    <col min="14341" max="14341" width="13.85546875" style="3" customWidth="1"/>
    <col min="14342" max="14342" width="14" style="3" customWidth="1"/>
    <col min="14343" max="14592" width="9.140625" style="3"/>
    <col min="14593" max="14593" width="0" style="3" hidden="1" customWidth="1"/>
    <col min="14594" max="14594" width="24.7109375" style="3" customWidth="1"/>
    <col min="14595" max="14595" width="18" style="3" customWidth="1"/>
    <col min="14596" max="14596" width="18.42578125" style="3" customWidth="1"/>
    <col min="14597" max="14597" width="13.85546875" style="3" customWidth="1"/>
    <col min="14598" max="14598" width="14" style="3" customWidth="1"/>
    <col min="14599" max="14848" width="9.140625" style="3"/>
    <col min="14849" max="14849" width="0" style="3" hidden="1" customWidth="1"/>
    <col min="14850" max="14850" width="24.7109375" style="3" customWidth="1"/>
    <col min="14851" max="14851" width="18" style="3" customWidth="1"/>
    <col min="14852" max="14852" width="18.42578125" style="3" customWidth="1"/>
    <col min="14853" max="14853" width="13.85546875" style="3" customWidth="1"/>
    <col min="14854" max="14854" width="14" style="3" customWidth="1"/>
    <col min="14855" max="15104" width="9.140625" style="3"/>
    <col min="15105" max="15105" width="0" style="3" hidden="1" customWidth="1"/>
    <col min="15106" max="15106" width="24.7109375" style="3" customWidth="1"/>
    <col min="15107" max="15107" width="18" style="3" customWidth="1"/>
    <col min="15108" max="15108" width="18.42578125" style="3" customWidth="1"/>
    <col min="15109" max="15109" width="13.85546875" style="3" customWidth="1"/>
    <col min="15110" max="15110" width="14" style="3" customWidth="1"/>
    <col min="15111" max="15360" width="9.140625" style="3"/>
    <col min="15361" max="15361" width="0" style="3" hidden="1" customWidth="1"/>
    <col min="15362" max="15362" width="24.7109375" style="3" customWidth="1"/>
    <col min="15363" max="15363" width="18" style="3" customWidth="1"/>
    <col min="15364" max="15364" width="18.42578125" style="3" customWidth="1"/>
    <col min="15365" max="15365" width="13.85546875" style="3" customWidth="1"/>
    <col min="15366" max="15366" width="14" style="3" customWidth="1"/>
    <col min="15367" max="15616" width="9.140625" style="3"/>
    <col min="15617" max="15617" width="0" style="3" hidden="1" customWidth="1"/>
    <col min="15618" max="15618" width="24.7109375" style="3" customWidth="1"/>
    <col min="15619" max="15619" width="18" style="3" customWidth="1"/>
    <col min="15620" max="15620" width="18.42578125" style="3" customWidth="1"/>
    <col min="15621" max="15621" width="13.85546875" style="3" customWidth="1"/>
    <col min="15622" max="15622" width="14" style="3" customWidth="1"/>
    <col min="15623" max="15872" width="9.140625" style="3"/>
    <col min="15873" max="15873" width="0" style="3" hidden="1" customWidth="1"/>
    <col min="15874" max="15874" width="24.7109375" style="3" customWidth="1"/>
    <col min="15875" max="15875" width="18" style="3" customWidth="1"/>
    <col min="15876" max="15876" width="18.42578125" style="3" customWidth="1"/>
    <col min="15877" max="15877" width="13.85546875" style="3" customWidth="1"/>
    <col min="15878" max="15878" width="14" style="3" customWidth="1"/>
    <col min="15879" max="16128" width="9.140625" style="3"/>
    <col min="16129" max="16129" width="0" style="3" hidden="1" customWidth="1"/>
    <col min="16130" max="16130" width="24.7109375" style="3" customWidth="1"/>
    <col min="16131" max="16131" width="18" style="3" customWidth="1"/>
    <col min="16132" max="16132" width="18.42578125" style="3" customWidth="1"/>
    <col min="16133" max="16133" width="13.85546875" style="3" customWidth="1"/>
    <col min="16134" max="16134" width="14" style="3" customWidth="1"/>
    <col min="16135" max="16384" width="9.140625" style="3"/>
  </cols>
  <sheetData>
    <row r="1" spans="1:9" ht="48.75" customHeight="1">
      <c r="B1" s="226" t="s">
        <v>64</v>
      </c>
      <c r="C1" s="227"/>
      <c r="D1" s="227"/>
      <c r="E1" s="227"/>
      <c r="F1" s="228"/>
    </row>
    <row r="2" spans="1:9" ht="15.75" customHeight="1">
      <c r="C2" s="210" t="s">
        <v>1</v>
      </c>
      <c r="D2" s="230" t="s">
        <v>2</v>
      </c>
      <c r="E2" s="230"/>
      <c r="F2" s="210" t="s">
        <v>5</v>
      </c>
    </row>
    <row r="3" spans="1:9" ht="34.5" customHeight="1">
      <c r="A3" s="4"/>
      <c r="C3" s="211"/>
      <c r="D3" s="31" t="s">
        <v>3</v>
      </c>
      <c r="E3" s="31" t="s">
        <v>4</v>
      </c>
      <c r="F3" s="211"/>
    </row>
    <row r="4" spans="1:9" ht="23.25" customHeight="1">
      <c r="A4" s="4"/>
      <c r="B4" s="11" t="s">
        <v>6</v>
      </c>
      <c r="C4" s="49">
        <f>C5+C46</f>
        <v>573</v>
      </c>
      <c r="D4" s="49">
        <f t="shared" ref="D4:F4" si="0">D5+D46</f>
        <v>81</v>
      </c>
      <c r="E4" s="49">
        <f t="shared" si="0"/>
        <v>10</v>
      </c>
      <c r="F4" s="49">
        <f t="shared" si="0"/>
        <v>0</v>
      </c>
      <c r="I4" s="25"/>
    </row>
    <row r="5" spans="1:9" s="11" customFormat="1" ht="25.5" customHeight="1">
      <c r="A5" s="9"/>
      <c r="B5" s="11" t="s">
        <v>7</v>
      </c>
      <c r="C5" s="42">
        <f>SUM(C6:C45)</f>
        <v>416</v>
      </c>
      <c r="D5" s="42">
        <f t="shared" ref="D5:F5" si="1">SUM(D6:D45)</f>
        <v>57</v>
      </c>
      <c r="E5" s="42">
        <f t="shared" si="1"/>
        <v>6</v>
      </c>
      <c r="F5" s="42">
        <f t="shared" si="1"/>
        <v>0</v>
      </c>
    </row>
    <row r="6" spans="1:9">
      <c r="A6" s="12">
        <v>51</v>
      </c>
      <c r="B6" s="3" t="s">
        <v>8</v>
      </c>
      <c r="C6" s="37">
        <v>10</v>
      </c>
      <c r="D6" s="37">
        <v>3</v>
      </c>
      <c r="E6" s="37">
        <v>0</v>
      </c>
      <c r="F6" s="37">
        <v>0</v>
      </c>
    </row>
    <row r="7" spans="1:9">
      <c r="A7" s="12">
        <v>52</v>
      </c>
      <c r="B7" s="3" t="s">
        <v>9</v>
      </c>
      <c r="C7" s="37">
        <v>26</v>
      </c>
      <c r="D7" s="37">
        <v>2</v>
      </c>
      <c r="E7" s="37">
        <v>1</v>
      </c>
      <c r="F7" s="37">
        <v>0</v>
      </c>
    </row>
    <row r="8" spans="1:9">
      <c r="A8" s="12">
        <v>86</v>
      </c>
      <c r="B8" s="3" t="s">
        <v>10</v>
      </c>
      <c r="C8" s="37">
        <v>23</v>
      </c>
      <c r="D8" s="37">
        <v>4</v>
      </c>
      <c r="E8" s="37">
        <v>0</v>
      </c>
      <c r="F8" s="37">
        <v>0</v>
      </c>
    </row>
    <row r="9" spans="1:9">
      <c r="A9" s="12">
        <v>53</v>
      </c>
      <c r="B9" s="3" t="s">
        <v>11</v>
      </c>
      <c r="C9" s="37">
        <v>7</v>
      </c>
      <c r="D9" s="37">
        <v>0</v>
      </c>
      <c r="E9" s="37">
        <v>0</v>
      </c>
      <c r="F9" s="37">
        <v>0</v>
      </c>
    </row>
    <row r="10" spans="1:9">
      <c r="A10" s="12">
        <v>54</v>
      </c>
      <c r="B10" s="3" t="s">
        <v>12</v>
      </c>
      <c r="C10" s="37">
        <v>29</v>
      </c>
      <c r="D10" s="37">
        <v>0</v>
      </c>
      <c r="E10" s="37">
        <v>0</v>
      </c>
      <c r="F10" s="37">
        <v>0</v>
      </c>
    </row>
    <row r="11" spans="1:9">
      <c r="A11" s="12">
        <v>55</v>
      </c>
      <c r="B11" s="3" t="s">
        <v>13</v>
      </c>
      <c r="C11" s="37">
        <v>7</v>
      </c>
      <c r="D11" s="37">
        <v>0</v>
      </c>
      <c r="E11" s="37">
        <v>0</v>
      </c>
      <c r="F11" s="37">
        <v>0</v>
      </c>
    </row>
    <row r="12" spans="1:9">
      <c r="A12" s="12">
        <v>56</v>
      </c>
      <c r="B12" s="3" t="s">
        <v>14</v>
      </c>
      <c r="C12" s="37">
        <v>0</v>
      </c>
      <c r="D12" s="37">
        <v>0</v>
      </c>
      <c r="E12" s="37">
        <v>0</v>
      </c>
      <c r="F12" s="37">
        <v>0</v>
      </c>
    </row>
    <row r="13" spans="1:9">
      <c r="A13" s="12">
        <v>57</v>
      </c>
      <c r="B13" s="3" t="s">
        <v>15</v>
      </c>
      <c r="C13" s="37">
        <v>14</v>
      </c>
      <c r="D13" s="37">
        <v>1</v>
      </c>
      <c r="E13" s="37">
        <v>0</v>
      </c>
      <c r="F13" s="37">
        <v>0</v>
      </c>
    </row>
    <row r="14" spans="1:9">
      <c r="A14" s="12">
        <v>59</v>
      </c>
      <c r="B14" s="3" t="s">
        <v>16</v>
      </c>
      <c r="C14" s="37">
        <v>8</v>
      </c>
      <c r="D14" s="37">
        <v>0</v>
      </c>
      <c r="E14" s="37">
        <v>2</v>
      </c>
      <c r="F14" s="37">
        <v>0</v>
      </c>
    </row>
    <row r="15" spans="1:9">
      <c r="A15" s="12">
        <v>60</v>
      </c>
      <c r="B15" s="3" t="s">
        <v>17</v>
      </c>
      <c r="C15" s="37">
        <v>3</v>
      </c>
      <c r="D15" s="37">
        <v>0</v>
      </c>
      <c r="E15" s="37">
        <v>0</v>
      </c>
      <c r="F15" s="37">
        <v>0</v>
      </c>
    </row>
    <row r="16" spans="1:9">
      <c r="A16" s="12">
        <v>61</v>
      </c>
      <c r="B16" s="38" t="s">
        <v>18</v>
      </c>
      <c r="C16" s="37">
        <v>7</v>
      </c>
      <c r="D16" s="37">
        <v>4</v>
      </c>
      <c r="E16" s="37">
        <v>0</v>
      </c>
      <c r="F16" s="37">
        <v>0</v>
      </c>
    </row>
    <row r="17" spans="1:6" s="186" customFormat="1">
      <c r="A17" s="12"/>
      <c r="B17" s="132" t="s">
        <v>125</v>
      </c>
      <c r="C17" s="37" t="s">
        <v>126</v>
      </c>
      <c r="D17" s="37" t="s">
        <v>126</v>
      </c>
      <c r="E17" s="37" t="s">
        <v>126</v>
      </c>
      <c r="F17" s="37" t="s">
        <v>126</v>
      </c>
    </row>
    <row r="18" spans="1:6">
      <c r="A18" s="12">
        <v>62</v>
      </c>
      <c r="B18" s="3" t="s">
        <v>19</v>
      </c>
      <c r="C18" s="37">
        <v>8</v>
      </c>
      <c r="D18" s="37">
        <v>0</v>
      </c>
      <c r="E18" s="37">
        <v>0</v>
      </c>
      <c r="F18" s="37">
        <v>0</v>
      </c>
    </row>
    <row r="19" spans="1:6">
      <c r="A19" s="12">
        <v>58</v>
      </c>
      <c r="B19" s="3" t="s">
        <v>20</v>
      </c>
      <c r="C19" s="37">
        <v>5</v>
      </c>
      <c r="D19" s="37">
        <v>0</v>
      </c>
      <c r="E19" s="37">
        <v>0</v>
      </c>
      <c r="F19" s="37">
        <v>0</v>
      </c>
    </row>
    <row r="20" spans="1:6">
      <c r="A20" s="12">
        <v>63</v>
      </c>
      <c r="B20" s="3" t="s">
        <v>21</v>
      </c>
      <c r="C20" s="37">
        <v>15</v>
      </c>
      <c r="D20" s="37">
        <v>2</v>
      </c>
      <c r="E20" s="37">
        <v>0</v>
      </c>
      <c r="F20" s="37">
        <v>0</v>
      </c>
    </row>
    <row r="21" spans="1:6">
      <c r="A21" s="12">
        <v>64</v>
      </c>
      <c r="B21" s="3" t="s">
        <v>22</v>
      </c>
      <c r="C21" s="37">
        <v>20</v>
      </c>
      <c r="D21" s="37">
        <v>6</v>
      </c>
      <c r="E21" s="37">
        <v>1</v>
      </c>
      <c r="F21" s="37">
        <v>0</v>
      </c>
    </row>
    <row r="22" spans="1:6">
      <c r="A22" s="12">
        <v>65</v>
      </c>
      <c r="B22" s="3" t="s">
        <v>23</v>
      </c>
      <c r="C22" s="37">
        <v>9</v>
      </c>
      <c r="D22" s="37">
        <v>1</v>
      </c>
      <c r="E22" s="37">
        <v>0</v>
      </c>
      <c r="F22" s="37">
        <v>0</v>
      </c>
    </row>
    <row r="23" spans="1:6">
      <c r="A23" s="12">
        <v>67</v>
      </c>
      <c r="B23" s="3" t="s">
        <v>24</v>
      </c>
      <c r="C23" s="37">
        <v>18</v>
      </c>
      <c r="D23" s="37">
        <v>6</v>
      </c>
      <c r="E23" s="37">
        <v>0</v>
      </c>
      <c r="F23" s="37">
        <v>0</v>
      </c>
    </row>
    <row r="24" spans="1:6">
      <c r="A24" s="12">
        <v>68</v>
      </c>
      <c r="B24" s="3" t="s">
        <v>25</v>
      </c>
      <c r="C24" s="37">
        <v>6</v>
      </c>
      <c r="D24" s="37">
        <v>0</v>
      </c>
      <c r="E24" s="37">
        <v>0</v>
      </c>
      <c r="F24" s="37">
        <v>0</v>
      </c>
    </row>
    <row r="25" spans="1:6">
      <c r="A25" s="12">
        <v>69</v>
      </c>
      <c r="B25" s="3" t="s">
        <v>26</v>
      </c>
      <c r="C25" s="37">
        <v>15</v>
      </c>
      <c r="D25" s="37">
        <v>3</v>
      </c>
      <c r="E25" s="37">
        <v>0</v>
      </c>
      <c r="F25" s="37">
        <v>0</v>
      </c>
    </row>
    <row r="26" spans="1:6">
      <c r="A26" s="12">
        <v>70</v>
      </c>
      <c r="B26" s="3" t="s">
        <v>27</v>
      </c>
      <c r="C26" s="37">
        <v>17</v>
      </c>
      <c r="D26" s="37">
        <v>0</v>
      </c>
      <c r="E26" s="37">
        <v>0</v>
      </c>
      <c r="F26" s="37">
        <v>0</v>
      </c>
    </row>
    <row r="27" spans="1:6">
      <c r="A27" s="12">
        <v>71</v>
      </c>
      <c r="B27" s="39" t="s">
        <v>28</v>
      </c>
      <c r="C27" s="37">
        <v>1</v>
      </c>
      <c r="D27" s="37">
        <v>0</v>
      </c>
      <c r="E27" s="37">
        <v>0</v>
      </c>
      <c r="F27" s="37">
        <v>0</v>
      </c>
    </row>
    <row r="28" spans="1:6">
      <c r="A28" s="12">
        <v>73</v>
      </c>
      <c r="B28" s="3" t="s">
        <v>29</v>
      </c>
      <c r="C28" s="37">
        <v>9</v>
      </c>
      <c r="D28" s="37">
        <v>1</v>
      </c>
      <c r="E28" s="37">
        <v>0</v>
      </c>
      <c r="F28" s="37">
        <v>0</v>
      </c>
    </row>
    <row r="29" spans="1:6">
      <c r="A29" s="12">
        <v>74</v>
      </c>
      <c r="B29" s="3" t="s">
        <v>30</v>
      </c>
      <c r="C29" s="37">
        <v>15</v>
      </c>
      <c r="D29" s="37">
        <v>8</v>
      </c>
      <c r="E29" s="37">
        <v>0</v>
      </c>
      <c r="F29" s="37">
        <v>0</v>
      </c>
    </row>
    <row r="30" spans="1:6">
      <c r="A30" s="12">
        <v>75</v>
      </c>
      <c r="B30" s="3" t="s">
        <v>31</v>
      </c>
      <c r="C30" s="37">
        <v>7</v>
      </c>
      <c r="D30" s="37">
        <v>0</v>
      </c>
      <c r="E30" s="37">
        <v>1</v>
      </c>
      <c r="F30" s="37">
        <v>0</v>
      </c>
    </row>
    <row r="31" spans="1:6">
      <c r="A31" s="12">
        <v>76</v>
      </c>
      <c r="B31" s="3" t="s">
        <v>32</v>
      </c>
      <c r="C31" s="37">
        <v>3</v>
      </c>
      <c r="D31" s="37">
        <v>0</v>
      </c>
      <c r="E31" s="37">
        <v>0</v>
      </c>
      <c r="F31" s="37">
        <v>0</v>
      </c>
    </row>
    <row r="32" spans="1:6">
      <c r="A32" s="12">
        <v>79</v>
      </c>
      <c r="B32" s="3" t="s">
        <v>33</v>
      </c>
      <c r="C32" s="37">
        <v>12</v>
      </c>
      <c r="D32" s="37">
        <v>3</v>
      </c>
      <c r="E32" s="37">
        <v>0</v>
      </c>
      <c r="F32" s="37">
        <v>0</v>
      </c>
    </row>
    <row r="33" spans="1:11">
      <c r="A33" s="12">
        <v>80</v>
      </c>
      <c r="B33" s="3" t="s">
        <v>34</v>
      </c>
      <c r="C33" s="37">
        <v>16</v>
      </c>
      <c r="D33" s="37">
        <v>3</v>
      </c>
      <c r="E33" s="37">
        <v>0</v>
      </c>
      <c r="F33" s="37">
        <v>0</v>
      </c>
    </row>
    <row r="34" spans="1:11">
      <c r="A34" s="12">
        <v>81</v>
      </c>
      <c r="B34" s="3" t="s">
        <v>35</v>
      </c>
      <c r="C34" s="37">
        <v>22</v>
      </c>
      <c r="D34" s="37">
        <v>2</v>
      </c>
      <c r="E34" s="37">
        <v>0</v>
      </c>
      <c r="F34" s="37">
        <v>0</v>
      </c>
    </row>
    <row r="35" spans="1:11">
      <c r="A35" s="12">
        <v>83</v>
      </c>
      <c r="B35" s="3" t="s">
        <v>36</v>
      </c>
      <c r="C35" s="37">
        <v>6</v>
      </c>
      <c r="D35" s="37">
        <v>0</v>
      </c>
      <c r="E35" s="37">
        <v>0</v>
      </c>
      <c r="F35" s="37">
        <v>0</v>
      </c>
    </row>
    <row r="36" spans="1:11">
      <c r="A36" s="12">
        <v>84</v>
      </c>
      <c r="B36" s="3" t="s">
        <v>37</v>
      </c>
      <c r="C36" s="37">
        <v>5</v>
      </c>
      <c r="D36" s="37">
        <v>2</v>
      </c>
      <c r="E36" s="37">
        <v>0</v>
      </c>
      <c r="F36" s="37">
        <v>0</v>
      </c>
    </row>
    <row r="37" spans="1:11" ht="15">
      <c r="A37" s="12">
        <v>85</v>
      </c>
      <c r="B37" s="3" t="s">
        <v>38</v>
      </c>
      <c r="C37" s="37">
        <v>6</v>
      </c>
      <c r="D37" s="37">
        <v>0</v>
      </c>
      <c r="E37" s="37">
        <v>1</v>
      </c>
      <c r="F37" s="37">
        <v>0</v>
      </c>
      <c r="G37" s="11"/>
    </row>
    <row r="38" spans="1:11" ht="15">
      <c r="A38" s="12">
        <v>87</v>
      </c>
      <c r="B38" s="3" t="s">
        <v>39</v>
      </c>
      <c r="C38" s="37">
        <v>2</v>
      </c>
      <c r="D38" s="37">
        <v>1</v>
      </c>
      <c r="E38" s="37">
        <v>0</v>
      </c>
      <c r="F38" s="37">
        <v>0</v>
      </c>
      <c r="H38" s="11"/>
      <c r="I38" s="11"/>
    </row>
    <row r="39" spans="1:11">
      <c r="A39" s="12">
        <v>90</v>
      </c>
      <c r="B39" s="3" t="s">
        <v>40</v>
      </c>
      <c r="C39" s="37">
        <v>16</v>
      </c>
      <c r="D39" s="37">
        <v>1</v>
      </c>
      <c r="E39" s="37">
        <v>0</v>
      </c>
      <c r="F39" s="37">
        <v>0</v>
      </c>
    </row>
    <row r="40" spans="1:11">
      <c r="A40" s="12">
        <v>91</v>
      </c>
      <c r="B40" s="3" t="s">
        <v>41</v>
      </c>
      <c r="C40" s="37">
        <v>11</v>
      </c>
      <c r="D40" s="37">
        <v>0</v>
      </c>
      <c r="E40" s="37">
        <v>0</v>
      </c>
      <c r="F40" s="37">
        <v>0</v>
      </c>
    </row>
    <row r="41" spans="1:11">
      <c r="A41" s="12">
        <v>92</v>
      </c>
      <c r="B41" s="3" t="s">
        <v>42</v>
      </c>
      <c r="C41" s="37">
        <v>9</v>
      </c>
      <c r="D41" s="37">
        <v>2</v>
      </c>
      <c r="E41" s="37">
        <v>0</v>
      </c>
      <c r="F41" s="37">
        <v>0</v>
      </c>
    </row>
    <row r="42" spans="1:11">
      <c r="A42" s="12">
        <v>94</v>
      </c>
      <c r="B42" s="3" t="s">
        <v>43</v>
      </c>
      <c r="C42" s="37">
        <v>16</v>
      </c>
      <c r="D42" s="37">
        <v>1</v>
      </c>
      <c r="E42" s="37">
        <v>0</v>
      </c>
      <c r="F42" s="37">
        <v>0</v>
      </c>
    </row>
    <row r="43" spans="1:11" ht="15">
      <c r="A43" s="12">
        <v>96</v>
      </c>
      <c r="B43" s="3" t="s">
        <v>44</v>
      </c>
      <c r="C43" s="37">
        <v>6</v>
      </c>
      <c r="D43" s="37">
        <v>1</v>
      </c>
      <c r="E43" s="37">
        <v>0</v>
      </c>
      <c r="F43" s="37">
        <v>0</v>
      </c>
      <c r="J43" s="11"/>
    </row>
    <row r="44" spans="1:11" ht="15">
      <c r="A44" s="12">
        <v>98</v>
      </c>
      <c r="B44" s="3" t="s">
        <v>45</v>
      </c>
      <c r="C44" s="37">
        <v>7</v>
      </c>
      <c r="D44" s="37">
        <v>0</v>
      </c>
      <c r="E44" s="37">
        <v>0</v>
      </c>
      <c r="F44" s="37">
        <v>0</v>
      </c>
      <c r="K44" s="11"/>
    </row>
    <row r="45" spans="1:11">
      <c r="A45" s="12">
        <v>72</v>
      </c>
      <c r="B45" s="39" t="s">
        <v>46</v>
      </c>
      <c r="C45" s="37">
        <v>0</v>
      </c>
      <c r="D45" s="37">
        <v>0</v>
      </c>
      <c r="E45" s="37">
        <v>0</v>
      </c>
      <c r="F45" s="37">
        <v>0</v>
      </c>
    </row>
    <row r="46" spans="1:11" s="11" customFormat="1" ht="25.5" customHeight="1">
      <c r="A46" s="50"/>
      <c r="B46" s="11" t="s">
        <v>47</v>
      </c>
      <c r="C46" s="42">
        <f>SUM(C47:C53)</f>
        <v>157</v>
      </c>
      <c r="D46" s="42">
        <f t="shared" ref="D46:F46" si="2">SUM(D47:D53)</f>
        <v>24</v>
      </c>
      <c r="E46" s="42">
        <f t="shared" si="2"/>
        <v>4</v>
      </c>
      <c r="F46" s="42">
        <f t="shared" si="2"/>
        <v>0</v>
      </c>
    </row>
    <row r="47" spans="1:11">
      <c r="A47" s="12">
        <v>66</v>
      </c>
      <c r="B47" s="3" t="s">
        <v>48</v>
      </c>
      <c r="C47" s="37">
        <v>27</v>
      </c>
      <c r="D47" s="37">
        <v>1</v>
      </c>
      <c r="E47" s="37">
        <v>0</v>
      </c>
      <c r="F47" s="37">
        <v>0</v>
      </c>
    </row>
    <row r="48" spans="1:11">
      <c r="A48" s="12">
        <v>78</v>
      </c>
      <c r="B48" s="3" t="s">
        <v>49</v>
      </c>
      <c r="C48" s="37">
        <v>26</v>
      </c>
      <c r="D48" s="37">
        <v>5</v>
      </c>
      <c r="E48" s="37">
        <v>0</v>
      </c>
      <c r="F48" s="37">
        <v>0</v>
      </c>
    </row>
    <row r="49" spans="1:6">
      <c r="A49" s="12">
        <v>89</v>
      </c>
      <c r="B49" s="3" t="s">
        <v>50</v>
      </c>
      <c r="C49" s="37">
        <v>30</v>
      </c>
      <c r="D49" s="37">
        <v>2</v>
      </c>
      <c r="E49" s="37">
        <v>2</v>
      </c>
      <c r="F49" s="37">
        <v>0</v>
      </c>
    </row>
    <row r="50" spans="1:6">
      <c r="A50" s="12">
        <v>93</v>
      </c>
      <c r="B50" s="3" t="s">
        <v>51</v>
      </c>
      <c r="C50" s="37">
        <v>9</v>
      </c>
      <c r="D50" s="37">
        <v>3</v>
      </c>
      <c r="E50" s="37">
        <v>0</v>
      </c>
      <c r="F50" s="37">
        <v>0</v>
      </c>
    </row>
    <row r="51" spans="1:6">
      <c r="A51" s="12">
        <v>95</v>
      </c>
      <c r="B51" s="3" t="s">
        <v>52</v>
      </c>
      <c r="C51" s="37">
        <v>35</v>
      </c>
      <c r="D51" s="37">
        <v>6</v>
      </c>
      <c r="E51" s="37">
        <v>2</v>
      </c>
      <c r="F51" s="37">
        <v>0</v>
      </c>
    </row>
    <row r="52" spans="1:6">
      <c r="A52" s="12">
        <v>97</v>
      </c>
      <c r="B52" s="3" t="s">
        <v>53</v>
      </c>
      <c r="C52" s="37">
        <v>21</v>
      </c>
      <c r="D52" s="37">
        <v>5</v>
      </c>
      <c r="E52" s="37">
        <v>0</v>
      </c>
      <c r="F52" s="37">
        <v>0</v>
      </c>
    </row>
    <row r="53" spans="1:6">
      <c r="A53" s="12">
        <v>77</v>
      </c>
      <c r="B53" s="43" t="s">
        <v>54</v>
      </c>
      <c r="C53" s="37">
        <v>9</v>
      </c>
      <c r="D53" s="37">
        <v>2</v>
      </c>
      <c r="E53" s="37">
        <v>0</v>
      </c>
      <c r="F53" s="37">
        <v>0</v>
      </c>
    </row>
    <row r="54" spans="1:6">
      <c r="C54" s="37"/>
      <c r="D54" s="51"/>
      <c r="E54" s="37"/>
      <c r="F54" s="37"/>
    </row>
    <row r="55" spans="1:6" ht="13.5" customHeight="1">
      <c r="B55" s="12" t="s">
        <v>55</v>
      </c>
    </row>
    <row r="56" spans="1:6" ht="13.5" customHeight="1">
      <c r="B56" s="219" t="s">
        <v>56</v>
      </c>
      <c r="C56" s="220"/>
      <c r="D56" s="220"/>
      <c r="E56" s="220"/>
      <c r="F56" s="220"/>
    </row>
    <row r="57" spans="1:6" ht="15" customHeight="1">
      <c r="B57" s="220"/>
      <c r="C57" s="220"/>
      <c r="D57" s="220"/>
      <c r="E57" s="220"/>
      <c r="F57" s="220"/>
    </row>
    <row r="58" spans="1:6" ht="13.5" customHeight="1">
      <c r="B58" s="220"/>
      <c r="C58" s="220"/>
      <c r="D58" s="220"/>
      <c r="E58" s="220"/>
      <c r="F58" s="220"/>
    </row>
    <row r="59" spans="1:6" ht="12.75" customHeight="1">
      <c r="B59" s="220"/>
      <c r="C59" s="220"/>
      <c r="D59" s="220"/>
      <c r="E59" s="220"/>
      <c r="F59" s="220"/>
    </row>
    <row r="60" spans="1:6" ht="15.75" customHeight="1">
      <c r="B60" s="220"/>
      <c r="C60" s="220"/>
      <c r="D60" s="220"/>
      <c r="E60" s="220"/>
      <c r="F60" s="220"/>
    </row>
    <row r="61" spans="1:6" ht="67.5" customHeight="1">
      <c r="B61" s="220"/>
      <c r="C61" s="220"/>
      <c r="D61" s="220"/>
      <c r="E61" s="220"/>
      <c r="F61" s="220"/>
    </row>
    <row r="62" spans="1:6" ht="9.75" customHeight="1">
      <c r="B62" s="53"/>
      <c r="C62" s="54"/>
      <c r="D62" s="54"/>
      <c r="E62" s="54"/>
      <c r="F62" s="54"/>
    </row>
    <row r="63" spans="1:6">
      <c r="B63" s="24" t="s">
        <v>57</v>
      </c>
    </row>
    <row r="65" spans="2:2">
      <c r="B65" s="27"/>
    </row>
  </sheetData>
  <mergeCells count="5">
    <mergeCell ref="B1:F1"/>
    <mergeCell ref="C2:C3"/>
    <mergeCell ref="D2:E2"/>
    <mergeCell ref="F2:F3"/>
    <mergeCell ref="B56:F6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K68"/>
  <sheetViews>
    <sheetView showGridLines="0" zoomScale="85" workbookViewId="0">
      <pane xSplit="2" ySplit="3" topLeftCell="C4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RowHeight="12.75"/>
  <cols>
    <col min="1" max="1" width="5.7109375" style="1" hidden="1" customWidth="1"/>
    <col min="2" max="2" width="28.7109375" style="186" customWidth="1"/>
    <col min="3" max="4" width="20" style="186" customWidth="1"/>
    <col min="5" max="5" width="15.140625" style="186" customWidth="1"/>
    <col min="6" max="6" width="17.7109375" style="186" customWidth="1"/>
    <col min="7" max="256" width="9.140625" style="186"/>
    <col min="257" max="257" width="0" style="186" hidden="1" customWidth="1"/>
    <col min="258" max="258" width="28.7109375" style="186" customWidth="1"/>
    <col min="259" max="260" width="20" style="186" customWidth="1"/>
    <col min="261" max="261" width="15.140625" style="186" customWidth="1"/>
    <col min="262" max="262" width="17.7109375" style="186" customWidth="1"/>
    <col min="263" max="512" width="9.140625" style="186"/>
    <col min="513" max="513" width="0" style="186" hidden="1" customWidth="1"/>
    <col min="514" max="514" width="28.7109375" style="186" customWidth="1"/>
    <col min="515" max="516" width="20" style="186" customWidth="1"/>
    <col min="517" max="517" width="15.140625" style="186" customWidth="1"/>
    <col min="518" max="518" width="17.7109375" style="186" customWidth="1"/>
    <col min="519" max="768" width="9.140625" style="186"/>
    <col min="769" max="769" width="0" style="186" hidden="1" customWidth="1"/>
    <col min="770" max="770" width="28.7109375" style="186" customWidth="1"/>
    <col min="771" max="772" width="20" style="186" customWidth="1"/>
    <col min="773" max="773" width="15.140625" style="186" customWidth="1"/>
    <col min="774" max="774" width="17.7109375" style="186" customWidth="1"/>
    <col min="775" max="1024" width="9.140625" style="186"/>
    <col min="1025" max="1025" width="0" style="186" hidden="1" customWidth="1"/>
    <col min="1026" max="1026" width="28.7109375" style="186" customWidth="1"/>
    <col min="1027" max="1028" width="20" style="186" customWidth="1"/>
    <col min="1029" max="1029" width="15.140625" style="186" customWidth="1"/>
    <col min="1030" max="1030" width="17.7109375" style="186" customWidth="1"/>
    <col min="1031" max="1280" width="9.140625" style="186"/>
    <col min="1281" max="1281" width="0" style="186" hidden="1" customWidth="1"/>
    <col min="1282" max="1282" width="28.7109375" style="186" customWidth="1"/>
    <col min="1283" max="1284" width="20" style="186" customWidth="1"/>
    <col min="1285" max="1285" width="15.140625" style="186" customWidth="1"/>
    <col min="1286" max="1286" width="17.7109375" style="186" customWidth="1"/>
    <col min="1287" max="1536" width="9.140625" style="186"/>
    <col min="1537" max="1537" width="0" style="186" hidden="1" customWidth="1"/>
    <col min="1538" max="1538" width="28.7109375" style="186" customWidth="1"/>
    <col min="1539" max="1540" width="20" style="186" customWidth="1"/>
    <col min="1541" max="1541" width="15.140625" style="186" customWidth="1"/>
    <col min="1542" max="1542" width="17.7109375" style="186" customWidth="1"/>
    <col min="1543" max="1792" width="9.140625" style="186"/>
    <col min="1793" max="1793" width="0" style="186" hidden="1" customWidth="1"/>
    <col min="1794" max="1794" width="28.7109375" style="186" customWidth="1"/>
    <col min="1795" max="1796" width="20" style="186" customWidth="1"/>
    <col min="1797" max="1797" width="15.140625" style="186" customWidth="1"/>
    <col min="1798" max="1798" width="17.7109375" style="186" customWidth="1"/>
    <col min="1799" max="2048" width="9.140625" style="186"/>
    <col min="2049" max="2049" width="0" style="186" hidden="1" customWidth="1"/>
    <col min="2050" max="2050" width="28.7109375" style="186" customWidth="1"/>
    <col min="2051" max="2052" width="20" style="186" customWidth="1"/>
    <col min="2053" max="2053" width="15.140625" style="186" customWidth="1"/>
    <col min="2054" max="2054" width="17.7109375" style="186" customWidth="1"/>
    <col min="2055" max="2304" width="9.140625" style="186"/>
    <col min="2305" max="2305" width="0" style="186" hidden="1" customWidth="1"/>
    <col min="2306" max="2306" width="28.7109375" style="186" customWidth="1"/>
    <col min="2307" max="2308" width="20" style="186" customWidth="1"/>
    <col min="2309" max="2309" width="15.140625" style="186" customWidth="1"/>
    <col min="2310" max="2310" width="17.7109375" style="186" customWidth="1"/>
    <col min="2311" max="2560" width="9.140625" style="186"/>
    <col min="2561" max="2561" width="0" style="186" hidden="1" customWidth="1"/>
    <col min="2562" max="2562" width="28.7109375" style="186" customWidth="1"/>
    <col min="2563" max="2564" width="20" style="186" customWidth="1"/>
    <col min="2565" max="2565" width="15.140625" style="186" customWidth="1"/>
    <col min="2566" max="2566" width="17.7109375" style="186" customWidth="1"/>
    <col min="2567" max="2816" width="9.140625" style="186"/>
    <col min="2817" max="2817" width="0" style="186" hidden="1" customWidth="1"/>
    <col min="2818" max="2818" width="28.7109375" style="186" customWidth="1"/>
    <col min="2819" max="2820" width="20" style="186" customWidth="1"/>
    <col min="2821" max="2821" width="15.140625" style="186" customWidth="1"/>
    <col min="2822" max="2822" width="17.7109375" style="186" customWidth="1"/>
    <col min="2823" max="3072" width="9.140625" style="186"/>
    <col min="3073" max="3073" width="0" style="186" hidden="1" customWidth="1"/>
    <col min="3074" max="3074" width="28.7109375" style="186" customWidth="1"/>
    <col min="3075" max="3076" width="20" style="186" customWidth="1"/>
    <col min="3077" max="3077" width="15.140625" style="186" customWidth="1"/>
    <col min="3078" max="3078" width="17.7109375" style="186" customWidth="1"/>
    <col min="3079" max="3328" width="9.140625" style="186"/>
    <col min="3329" max="3329" width="0" style="186" hidden="1" customWidth="1"/>
    <col min="3330" max="3330" width="28.7109375" style="186" customWidth="1"/>
    <col min="3331" max="3332" width="20" style="186" customWidth="1"/>
    <col min="3333" max="3333" width="15.140625" style="186" customWidth="1"/>
    <col min="3334" max="3334" width="17.7109375" style="186" customWidth="1"/>
    <col min="3335" max="3584" width="9.140625" style="186"/>
    <col min="3585" max="3585" width="0" style="186" hidden="1" customWidth="1"/>
    <col min="3586" max="3586" width="28.7109375" style="186" customWidth="1"/>
    <col min="3587" max="3588" width="20" style="186" customWidth="1"/>
    <col min="3589" max="3589" width="15.140625" style="186" customWidth="1"/>
    <col min="3590" max="3590" width="17.7109375" style="186" customWidth="1"/>
    <col min="3591" max="3840" width="9.140625" style="186"/>
    <col min="3841" max="3841" width="0" style="186" hidden="1" customWidth="1"/>
    <col min="3842" max="3842" width="28.7109375" style="186" customWidth="1"/>
    <col min="3843" max="3844" width="20" style="186" customWidth="1"/>
    <col min="3845" max="3845" width="15.140625" style="186" customWidth="1"/>
    <col min="3846" max="3846" width="17.7109375" style="186" customWidth="1"/>
    <col min="3847" max="4096" width="9.140625" style="186"/>
    <col min="4097" max="4097" width="0" style="186" hidden="1" customWidth="1"/>
    <col min="4098" max="4098" width="28.7109375" style="186" customWidth="1"/>
    <col min="4099" max="4100" width="20" style="186" customWidth="1"/>
    <col min="4101" max="4101" width="15.140625" style="186" customWidth="1"/>
    <col min="4102" max="4102" width="17.7109375" style="186" customWidth="1"/>
    <col min="4103" max="4352" width="9.140625" style="186"/>
    <col min="4353" max="4353" width="0" style="186" hidden="1" customWidth="1"/>
    <col min="4354" max="4354" width="28.7109375" style="186" customWidth="1"/>
    <col min="4355" max="4356" width="20" style="186" customWidth="1"/>
    <col min="4357" max="4357" width="15.140625" style="186" customWidth="1"/>
    <col min="4358" max="4358" width="17.7109375" style="186" customWidth="1"/>
    <col min="4359" max="4608" width="9.140625" style="186"/>
    <col min="4609" max="4609" width="0" style="186" hidden="1" customWidth="1"/>
    <col min="4610" max="4610" width="28.7109375" style="186" customWidth="1"/>
    <col min="4611" max="4612" width="20" style="186" customWidth="1"/>
    <col min="4613" max="4613" width="15.140625" style="186" customWidth="1"/>
    <col min="4614" max="4614" width="17.7109375" style="186" customWidth="1"/>
    <col min="4615" max="4864" width="9.140625" style="186"/>
    <col min="4865" max="4865" width="0" style="186" hidden="1" customWidth="1"/>
    <col min="4866" max="4866" width="28.7109375" style="186" customWidth="1"/>
    <col min="4867" max="4868" width="20" style="186" customWidth="1"/>
    <col min="4869" max="4869" width="15.140625" style="186" customWidth="1"/>
    <col min="4870" max="4870" width="17.7109375" style="186" customWidth="1"/>
    <col min="4871" max="5120" width="9.140625" style="186"/>
    <col min="5121" max="5121" width="0" style="186" hidden="1" customWidth="1"/>
    <col min="5122" max="5122" width="28.7109375" style="186" customWidth="1"/>
    <col min="5123" max="5124" width="20" style="186" customWidth="1"/>
    <col min="5125" max="5125" width="15.140625" style="186" customWidth="1"/>
    <col min="5126" max="5126" width="17.7109375" style="186" customWidth="1"/>
    <col min="5127" max="5376" width="9.140625" style="186"/>
    <col min="5377" max="5377" width="0" style="186" hidden="1" customWidth="1"/>
    <col min="5378" max="5378" width="28.7109375" style="186" customWidth="1"/>
    <col min="5379" max="5380" width="20" style="186" customWidth="1"/>
    <col min="5381" max="5381" width="15.140625" style="186" customWidth="1"/>
    <col min="5382" max="5382" width="17.7109375" style="186" customWidth="1"/>
    <col min="5383" max="5632" width="9.140625" style="186"/>
    <col min="5633" max="5633" width="0" style="186" hidden="1" customWidth="1"/>
    <col min="5634" max="5634" width="28.7109375" style="186" customWidth="1"/>
    <col min="5635" max="5636" width="20" style="186" customWidth="1"/>
    <col min="5637" max="5637" width="15.140625" style="186" customWidth="1"/>
    <col min="5638" max="5638" width="17.7109375" style="186" customWidth="1"/>
    <col min="5639" max="5888" width="9.140625" style="186"/>
    <col min="5889" max="5889" width="0" style="186" hidden="1" customWidth="1"/>
    <col min="5890" max="5890" width="28.7109375" style="186" customWidth="1"/>
    <col min="5891" max="5892" width="20" style="186" customWidth="1"/>
    <col min="5893" max="5893" width="15.140625" style="186" customWidth="1"/>
    <col min="5894" max="5894" width="17.7109375" style="186" customWidth="1"/>
    <col min="5895" max="6144" width="9.140625" style="186"/>
    <col min="6145" max="6145" width="0" style="186" hidden="1" customWidth="1"/>
    <col min="6146" max="6146" width="28.7109375" style="186" customWidth="1"/>
    <col min="6147" max="6148" width="20" style="186" customWidth="1"/>
    <col min="6149" max="6149" width="15.140625" style="186" customWidth="1"/>
    <col min="6150" max="6150" width="17.7109375" style="186" customWidth="1"/>
    <col min="6151" max="6400" width="9.140625" style="186"/>
    <col min="6401" max="6401" width="0" style="186" hidden="1" customWidth="1"/>
    <col min="6402" max="6402" width="28.7109375" style="186" customWidth="1"/>
    <col min="6403" max="6404" width="20" style="186" customWidth="1"/>
    <col min="6405" max="6405" width="15.140625" style="186" customWidth="1"/>
    <col min="6406" max="6406" width="17.7109375" style="186" customWidth="1"/>
    <col min="6407" max="6656" width="9.140625" style="186"/>
    <col min="6657" max="6657" width="0" style="186" hidden="1" customWidth="1"/>
    <col min="6658" max="6658" width="28.7109375" style="186" customWidth="1"/>
    <col min="6659" max="6660" width="20" style="186" customWidth="1"/>
    <col min="6661" max="6661" width="15.140625" style="186" customWidth="1"/>
    <col min="6662" max="6662" width="17.7109375" style="186" customWidth="1"/>
    <col min="6663" max="6912" width="9.140625" style="186"/>
    <col min="6913" max="6913" width="0" style="186" hidden="1" customWidth="1"/>
    <col min="6914" max="6914" width="28.7109375" style="186" customWidth="1"/>
    <col min="6915" max="6916" width="20" style="186" customWidth="1"/>
    <col min="6917" max="6917" width="15.140625" style="186" customWidth="1"/>
    <col min="6918" max="6918" width="17.7109375" style="186" customWidth="1"/>
    <col min="6919" max="7168" width="9.140625" style="186"/>
    <col min="7169" max="7169" width="0" style="186" hidden="1" customWidth="1"/>
    <col min="7170" max="7170" width="28.7109375" style="186" customWidth="1"/>
    <col min="7171" max="7172" width="20" style="186" customWidth="1"/>
    <col min="7173" max="7173" width="15.140625" style="186" customWidth="1"/>
    <col min="7174" max="7174" width="17.7109375" style="186" customWidth="1"/>
    <col min="7175" max="7424" width="9.140625" style="186"/>
    <col min="7425" max="7425" width="0" style="186" hidden="1" customWidth="1"/>
    <col min="7426" max="7426" width="28.7109375" style="186" customWidth="1"/>
    <col min="7427" max="7428" width="20" style="186" customWidth="1"/>
    <col min="7429" max="7429" width="15.140625" style="186" customWidth="1"/>
    <col min="7430" max="7430" width="17.7109375" style="186" customWidth="1"/>
    <col min="7431" max="7680" width="9.140625" style="186"/>
    <col min="7681" max="7681" width="0" style="186" hidden="1" customWidth="1"/>
    <col min="7682" max="7682" width="28.7109375" style="186" customWidth="1"/>
    <col min="7683" max="7684" width="20" style="186" customWidth="1"/>
    <col min="7685" max="7685" width="15.140625" style="186" customWidth="1"/>
    <col min="7686" max="7686" width="17.7109375" style="186" customWidth="1"/>
    <col min="7687" max="7936" width="9.140625" style="186"/>
    <col min="7937" max="7937" width="0" style="186" hidden="1" customWidth="1"/>
    <col min="7938" max="7938" width="28.7109375" style="186" customWidth="1"/>
    <col min="7939" max="7940" width="20" style="186" customWidth="1"/>
    <col min="7941" max="7941" width="15.140625" style="186" customWidth="1"/>
    <col min="7942" max="7942" width="17.7109375" style="186" customWidth="1"/>
    <col min="7943" max="8192" width="9.140625" style="186"/>
    <col min="8193" max="8193" width="0" style="186" hidden="1" customWidth="1"/>
    <col min="8194" max="8194" width="28.7109375" style="186" customWidth="1"/>
    <col min="8195" max="8196" width="20" style="186" customWidth="1"/>
    <col min="8197" max="8197" width="15.140625" style="186" customWidth="1"/>
    <col min="8198" max="8198" width="17.7109375" style="186" customWidth="1"/>
    <col min="8199" max="8448" width="9.140625" style="186"/>
    <col min="8449" max="8449" width="0" style="186" hidden="1" customWidth="1"/>
    <col min="8450" max="8450" width="28.7109375" style="186" customWidth="1"/>
    <col min="8451" max="8452" width="20" style="186" customWidth="1"/>
    <col min="8453" max="8453" width="15.140625" style="186" customWidth="1"/>
    <col min="8454" max="8454" width="17.7109375" style="186" customWidth="1"/>
    <col min="8455" max="8704" width="9.140625" style="186"/>
    <col min="8705" max="8705" width="0" style="186" hidden="1" customWidth="1"/>
    <col min="8706" max="8706" width="28.7109375" style="186" customWidth="1"/>
    <col min="8707" max="8708" width="20" style="186" customWidth="1"/>
    <col min="8709" max="8709" width="15.140625" style="186" customWidth="1"/>
    <col min="8710" max="8710" width="17.7109375" style="186" customWidth="1"/>
    <col min="8711" max="8960" width="9.140625" style="186"/>
    <col min="8961" max="8961" width="0" style="186" hidden="1" customWidth="1"/>
    <col min="8962" max="8962" width="28.7109375" style="186" customWidth="1"/>
    <col min="8963" max="8964" width="20" style="186" customWidth="1"/>
    <col min="8965" max="8965" width="15.140625" style="186" customWidth="1"/>
    <col min="8966" max="8966" width="17.7109375" style="186" customWidth="1"/>
    <col min="8967" max="9216" width="9.140625" style="186"/>
    <col min="9217" max="9217" width="0" style="186" hidden="1" customWidth="1"/>
    <col min="9218" max="9218" width="28.7109375" style="186" customWidth="1"/>
    <col min="9219" max="9220" width="20" style="186" customWidth="1"/>
    <col min="9221" max="9221" width="15.140625" style="186" customWidth="1"/>
    <col min="9222" max="9222" width="17.7109375" style="186" customWidth="1"/>
    <col min="9223" max="9472" width="9.140625" style="186"/>
    <col min="9473" max="9473" width="0" style="186" hidden="1" customWidth="1"/>
    <col min="9474" max="9474" width="28.7109375" style="186" customWidth="1"/>
    <col min="9475" max="9476" width="20" style="186" customWidth="1"/>
    <col min="9477" max="9477" width="15.140625" style="186" customWidth="1"/>
    <col min="9478" max="9478" width="17.7109375" style="186" customWidth="1"/>
    <col min="9479" max="9728" width="9.140625" style="186"/>
    <col min="9729" max="9729" width="0" style="186" hidden="1" customWidth="1"/>
    <col min="9730" max="9730" width="28.7109375" style="186" customWidth="1"/>
    <col min="9731" max="9732" width="20" style="186" customWidth="1"/>
    <col min="9733" max="9733" width="15.140625" style="186" customWidth="1"/>
    <col min="9734" max="9734" width="17.7109375" style="186" customWidth="1"/>
    <col min="9735" max="9984" width="9.140625" style="186"/>
    <col min="9985" max="9985" width="0" style="186" hidden="1" customWidth="1"/>
    <col min="9986" max="9986" width="28.7109375" style="186" customWidth="1"/>
    <col min="9987" max="9988" width="20" style="186" customWidth="1"/>
    <col min="9989" max="9989" width="15.140625" style="186" customWidth="1"/>
    <col min="9990" max="9990" width="17.7109375" style="186" customWidth="1"/>
    <col min="9991" max="10240" width="9.140625" style="186"/>
    <col min="10241" max="10241" width="0" style="186" hidden="1" customWidth="1"/>
    <col min="10242" max="10242" width="28.7109375" style="186" customWidth="1"/>
    <col min="10243" max="10244" width="20" style="186" customWidth="1"/>
    <col min="10245" max="10245" width="15.140625" style="186" customWidth="1"/>
    <col min="10246" max="10246" width="17.7109375" style="186" customWidth="1"/>
    <col min="10247" max="10496" width="9.140625" style="186"/>
    <col min="10497" max="10497" width="0" style="186" hidden="1" customWidth="1"/>
    <col min="10498" max="10498" width="28.7109375" style="186" customWidth="1"/>
    <col min="10499" max="10500" width="20" style="186" customWidth="1"/>
    <col min="10501" max="10501" width="15.140625" style="186" customWidth="1"/>
    <col min="10502" max="10502" width="17.7109375" style="186" customWidth="1"/>
    <col min="10503" max="10752" width="9.140625" style="186"/>
    <col min="10753" max="10753" width="0" style="186" hidden="1" customWidth="1"/>
    <col min="10754" max="10754" width="28.7109375" style="186" customWidth="1"/>
    <col min="10755" max="10756" width="20" style="186" customWidth="1"/>
    <col min="10757" max="10757" width="15.140625" style="186" customWidth="1"/>
    <col min="10758" max="10758" width="17.7109375" style="186" customWidth="1"/>
    <col min="10759" max="11008" width="9.140625" style="186"/>
    <col min="11009" max="11009" width="0" style="186" hidden="1" customWidth="1"/>
    <col min="11010" max="11010" width="28.7109375" style="186" customWidth="1"/>
    <col min="11011" max="11012" width="20" style="186" customWidth="1"/>
    <col min="11013" max="11013" width="15.140625" style="186" customWidth="1"/>
    <col min="11014" max="11014" width="17.7109375" style="186" customWidth="1"/>
    <col min="11015" max="11264" width="9.140625" style="186"/>
    <col min="11265" max="11265" width="0" style="186" hidden="1" customWidth="1"/>
    <col min="11266" max="11266" width="28.7109375" style="186" customWidth="1"/>
    <col min="11267" max="11268" width="20" style="186" customWidth="1"/>
    <col min="11269" max="11269" width="15.140625" style="186" customWidth="1"/>
    <col min="11270" max="11270" width="17.7109375" style="186" customWidth="1"/>
    <col min="11271" max="11520" width="9.140625" style="186"/>
    <col min="11521" max="11521" width="0" style="186" hidden="1" customWidth="1"/>
    <col min="11522" max="11522" width="28.7109375" style="186" customWidth="1"/>
    <col min="11523" max="11524" width="20" style="186" customWidth="1"/>
    <col min="11525" max="11525" width="15.140625" style="186" customWidth="1"/>
    <col min="11526" max="11526" width="17.7109375" style="186" customWidth="1"/>
    <col min="11527" max="11776" width="9.140625" style="186"/>
    <col min="11777" max="11777" width="0" style="186" hidden="1" customWidth="1"/>
    <col min="11778" max="11778" width="28.7109375" style="186" customWidth="1"/>
    <col min="11779" max="11780" width="20" style="186" customWidth="1"/>
    <col min="11781" max="11781" width="15.140625" style="186" customWidth="1"/>
    <col min="11782" max="11782" width="17.7109375" style="186" customWidth="1"/>
    <col min="11783" max="12032" width="9.140625" style="186"/>
    <col min="12033" max="12033" width="0" style="186" hidden="1" customWidth="1"/>
    <col min="12034" max="12034" width="28.7109375" style="186" customWidth="1"/>
    <col min="12035" max="12036" width="20" style="186" customWidth="1"/>
    <col min="12037" max="12037" width="15.140625" style="186" customWidth="1"/>
    <col min="12038" max="12038" width="17.7109375" style="186" customWidth="1"/>
    <col min="12039" max="12288" width="9.140625" style="186"/>
    <col min="12289" max="12289" width="0" style="186" hidden="1" customWidth="1"/>
    <col min="12290" max="12290" width="28.7109375" style="186" customWidth="1"/>
    <col min="12291" max="12292" width="20" style="186" customWidth="1"/>
    <col min="12293" max="12293" width="15.140625" style="186" customWidth="1"/>
    <col min="12294" max="12294" width="17.7109375" style="186" customWidth="1"/>
    <col min="12295" max="12544" width="9.140625" style="186"/>
    <col min="12545" max="12545" width="0" style="186" hidden="1" customWidth="1"/>
    <col min="12546" max="12546" width="28.7109375" style="186" customWidth="1"/>
    <col min="12547" max="12548" width="20" style="186" customWidth="1"/>
    <col min="12549" max="12549" width="15.140625" style="186" customWidth="1"/>
    <col min="12550" max="12550" width="17.7109375" style="186" customWidth="1"/>
    <col min="12551" max="12800" width="9.140625" style="186"/>
    <col min="12801" max="12801" width="0" style="186" hidden="1" customWidth="1"/>
    <col min="12802" max="12802" width="28.7109375" style="186" customWidth="1"/>
    <col min="12803" max="12804" width="20" style="186" customWidth="1"/>
    <col min="12805" max="12805" width="15.140625" style="186" customWidth="1"/>
    <col min="12806" max="12806" width="17.7109375" style="186" customWidth="1"/>
    <col min="12807" max="13056" width="9.140625" style="186"/>
    <col min="13057" max="13057" width="0" style="186" hidden="1" customWidth="1"/>
    <col min="13058" max="13058" width="28.7109375" style="186" customWidth="1"/>
    <col min="13059" max="13060" width="20" style="186" customWidth="1"/>
    <col min="13061" max="13061" width="15.140625" style="186" customWidth="1"/>
    <col min="13062" max="13062" width="17.7109375" style="186" customWidth="1"/>
    <col min="13063" max="13312" width="9.140625" style="186"/>
    <col min="13313" max="13313" width="0" style="186" hidden="1" customWidth="1"/>
    <col min="13314" max="13314" width="28.7109375" style="186" customWidth="1"/>
    <col min="13315" max="13316" width="20" style="186" customWidth="1"/>
    <col min="13317" max="13317" width="15.140625" style="186" customWidth="1"/>
    <col min="13318" max="13318" width="17.7109375" style="186" customWidth="1"/>
    <col min="13319" max="13568" width="9.140625" style="186"/>
    <col min="13569" max="13569" width="0" style="186" hidden="1" customWidth="1"/>
    <col min="13570" max="13570" width="28.7109375" style="186" customWidth="1"/>
    <col min="13571" max="13572" width="20" style="186" customWidth="1"/>
    <col min="13573" max="13573" width="15.140625" style="186" customWidth="1"/>
    <col min="13574" max="13574" width="17.7109375" style="186" customWidth="1"/>
    <col min="13575" max="13824" width="9.140625" style="186"/>
    <col min="13825" max="13825" width="0" style="186" hidden="1" customWidth="1"/>
    <col min="13826" max="13826" width="28.7109375" style="186" customWidth="1"/>
    <col min="13827" max="13828" width="20" style="186" customWidth="1"/>
    <col min="13829" max="13829" width="15.140625" style="186" customWidth="1"/>
    <col min="13830" max="13830" width="17.7109375" style="186" customWidth="1"/>
    <col min="13831" max="14080" width="9.140625" style="186"/>
    <col min="14081" max="14081" width="0" style="186" hidden="1" customWidth="1"/>
    <col min="14082" max="14082" width="28.7109375" style="186" customWidth="1"/>
    <col min="14083" max="14084" width="20" style="186" customWidth="1"/>
    <col min="14085" max="14085" width="15.140625" style="186" customWidth="1"/>
    <col min="14086" max="14086" width="17.7109375" style="186" customWidth="1"/>
    <col min="14087" max="14336" width="9.140625" style="186"/>
    <col min="14337" max="14337" width="0" style="186" hidden="1" customWidth="1"/>
    <col min="14338" max="14338" width="28.7109375" style="186" customWidth="1"/>
    <col min="14339" max="14340" width="20" style="186" customWidth="1"/>
    <col min="14341" max="14341" width="15.140625" style="186" customWidth="1"/>
    <col min="14342" max="14342" width="17.7109375" style="186" customWidth="1"/>
    <col min="14343" max="14592" width="9.140625" style="186"/>
    <col min="14593" max="14593" width="0" style="186" hidden="1" customWidth="1"/>
    <col min="14594" max="14594" width="28.7109375" style="186" customWidth="1"/>
    <col min="14595" max="14596" width="20" style="186" customWidth="1"/>
    <col min="14597" max="14597" width="15.140625" style="186" customWidth="1"/>
    <col min="14598" max="14598" width="17.7109375" style="186" customWidth="1"/>
    <col min="14599" max="14848" width="9.140625" style="186"/>
    <col min="14849" max="14849" width="0" style="186" hidden="1" customWidth="1"/>
    <col min="14850" max="14850" width="28.7109375" style="186" customWidth="1"/>
    <col min="14851" max="14852" width="20" style="186" customWidth="1"/>
    <col min="14853" max="14853" width="15.140625" style="186" customWidth="1"/>
    <col min="14854" max="14854" width="17.7109375" style="186" customWidth="1"/>
    <col min="14855" max="15104" width="9.140625" style="186"/>
    <col min="15105" max="15105" width="0" style="186" hidden="1" customWidth="1"/>
    <col min="15106" max="15106" width="28.7109375" style="186" customWidth="1"/>
    <col min="15107" max="15108" width="20" style="186" customWidth="1"/>
    <col min="15109" max="15109" width="15.140625" style="186" customWidth="1"/>
    <col min="15110" max="15110" width="17.7109375" style="186" customWidth="1"/>
    <col min="15111" max="15360" width="9.140625" style="186"/>
    <col min="15361" max="15361" width="0" style="186" hidden="1" customWidth="1"/>
    <col min="15362" max="15362" width="28.7109375" style="186" customWidth="1"/>
    <col min="15363" max="15364" width="20" style="186" customWidth="1"/>
    <col min="15365" max="15365" width="15.140625" style="186" customWidth="1"/>
    <col min="15366" max="15366" width="17.7109375" style="186" customWidth="1"/>
    <col min="15367" max="15616" width="9.140625" style="186"/>
    <col min="15617" max="15617" width="0" style="186" hidden="1" customWidth="1"/>
    <col min="15618" max="15618" width="28.7109375" style="186" customWidth="1"/>
    <col min="15619" max="15620" width="20" style="186" customWidth="1"/>
    <col min="15621" max="15621" width="15.140625" style="186" customWidth="1"/>
    <col min="15622" max="15622" width="17.7109375" style="186" customWidth="1"/>
    <col min="15623" max="15872" width="9.140625" style="186"/>
    <col min="15873" max="15873" width="0" style="186" hidden="1" customWidth="1"/>
    <col min="15874" max="15874" width="28.7109375" style="186" customWidth="1"/>
    <col min="15875" max="15876" width="20" style="186" customWidth="1"/>
    <col min="15877" max="15877" width="15.140625" style="186" customWidth="1"/>
    <col min="15878" max="15878" width="17.7109375" style="186" customWidth="1"/>
    <col min="15879" max="16128" width="9.140625" style="186"/>
    <col min="16129" max="16129" width="0" style="186" hidden="1" customWidth="1"/>
    <col min="16130" max="16130" width="28.7109375" style="186" customWidth="1"/>
    <col min="16131" max="16132" width="20" style="186" customWidth="1"/>
    <col min="16133" max="16133" width="15.140625" style="186" customWidth="1"/>
    <col min="16134" max="16134" width="17.7109375" style="186" customWidth="1"/>
    <col min="16135" max="16384" width="9.140625" style="186"/>
  </cols>
  <sheetData>
    <row r="1" spans="1:11" ht="60" customHeight="1">
      <c r="B1" s="226"/>
      <c r="C1" s="227"/>
      <c r="D1" s="227"/>
      <c r="E1" s="227"/>
      <c r="F1" s="228"/>
    </row>
    <row r="2" spans="1:11" ht="14.25">
      <c r="B2" s="209"/>
      <c r="C2" s="210" t="s">
        <v>1</v>
      </c>
      <c r="D2" s="212" t="s">
        <v>2</v>
      </c>
      <c r="E2" s="212"/>
    </row>
    <row r="3" spans="1:11" ht="27">
      <c r="A3" s="4"/>
      <c r="B3" s="209"/>
      <c r="C3" s="211"/>
      <c r="D3" s="187" t="s">
        <v>3</v>
      </c>
      <c r="E3" s="187" t="s">
        <v>4</v>
      </c>
      <c r="F3" s="187" t="s">
        <v>5</v>
      </c>
    </row>
    <row r="4" spans="1:11" ht="24" customHeight="1">
      <c r="A4" s="4"/>
      <c r="B4" s="6" t="s">
        <v>6</v>
      </c>
      <c r="C4" s="7">
        <f>C5+C46</f>
        <v>2523</v>
      </c>
      <c r="D4" s="7">
        <f>D5+D46</f>
        <v>463</v>
      </c>
      <c r="E4" s="7">
        <f>E5+E46</f>
        <v>130</v>
      </c>
      <c r="F4" s="7">
        <f>F5+F46</f>
        <v>0</v>
      </c>
      <c r="H4" s="8"/>
      <c r="I4" s="8"/>
      <c r="J4" s="8"/>
      <c r="K4" s="8"/>
    </row>
    <row r="5" spans="1:11" s="11" customFormat="1" ht="25.5" customHeight="1">
      <c r="A5" s="9"/>
      <c r="B5" s="10" t="s">
        <v>7</v>
      </c>
      <c r="C5" s="7">
        <f>SUM(C6:C45)</f>
        <v>1874</v>
      </c>
      <c r="D5" s="7">
        <f>SUM(D6:D45)</f>
        <v>310</v>
      </c>
      <c r="E5" s="7">
        <f>SUM(E6:E45)</f>
        <v>61</v>
      </c>
      <c r="F5" s="7">
        <f>SUM(F6:F45)</f>
        <v>0</v>
      </c>
      <c r="H5" s="8"/>
      <c r="I5" s="8"/>
      <c r="J5" s="8"/>
      <c r="K5" s="8"/>
    </row>
    <row r="6" spans="1:11" ht="12.75" customHeight="1">
      <c r="A6" s="12">
        <v>51</v>
      </c>
      <c r="B6" s="13" t="s">
        <v>8</v>
      </c>
      <c r="C6" s="14">
        <f>'(2016-17b)'!C7+'(2016-17b)'!D7+'(2016-17c)'!C6+'(2016-17d)'!C6</f>
        <v>64</v>
      </c>
      <c r="D6" s="14">
        <f>'(2016-17b)'!E7+'(2016-17b)'!F7+'(2016-17c)'!D6+'(2016-17d)'!D6</f>
        <v>19</v>
      </c>
      <c r="E6" s="14">
        <f>'(2016-17b)'!G7+'(2016-17b)'!H7+'(2016-17c)'!E6+'(2016-17d)'!E6</f>
        <v>2</v>
      </c>
      <c r="F6" s="14">
        <f>'(2016-17b)'!I7+'(2016-17b)'!J7+'(2016-17c)'!F6+'(2016-17d)'!F6</f>
        <v>0</v>
      </c>
      <c r="H6" s="8"/>
      <c r="I6" s="8"/>
      <c r="J6" s="8"/>
      <c r="K6" s="8"/>
    </row>
    <row r="7" spans="1:11" ht="12.75" customHeight="1">
      <c r="A7" s="12">
        <v>52</v>
      </c>
      <c r="B7" s="13" t="s">
        <v>9</v>
      </c>
      <c r="C7" s="14">
        <f>'(2016-17b)'!C8+'(2016-17b)'!D8+'(2016-17c)'!C7+'(2016-17d)'!C7</f>
        <v>32</v>
      </c>
      <c r="D7" s="14">
        <f>'(2016-17b)'!E8+'(2016-17b)'!F8+'(2016-17c)'!D7+'(2016-17d)'!D7</f>
        <v>3</v>
      </c>
      <c r="E7" s="14">
        <f>'(2016-17b)'!G8+'(2016-17b)'!H8+'(2016-17c)'!E7+'(2016-17d)'!E7</f>
        <v>0</v>
      </c>
      <c r="F7" s="14">
        <f>'(2016-17b)'!I8+'(2016-17b)'!J8+'(2016-17c)'!F7+'(2016-17d)'!F7</f>
        <v>0</v>
      </c>
      <c r="H7" s="8"/>
      <c r="I7" s="8"/>
      <c r="J7" s="8"/>
      <c r="K7" s="8"/>
    </row>
    <row r="8" spans="1:11">
      <c r="A8" s="12">
        <v>86</v>
      </c>
      <c r="B8" s="13" t="s">
        <v>10</v>
      </c>
      <c r="C8" s="14">
        <f>'(2016-17b)'!C9+'(2016-17b)'!D9+'(2016-17c)'!C8+'(2016-17d)'!C8</f>
        <v>42</v>
      </c>
      <c r="D8" s="14">
        <f>'(2016-17b)'!E9+'(2016-17b)'!F9+'(2016-17c)'!D8+'(2016-17d)'!D8</f>
        <v>5</v>
      </c>
      <c r="E8" s="14">
        <f>'(2016-17b)'!G9+'(2016-17b)'!H9+'(2016-17c)'!E8+'(2016-17d)'!E8</f>
        <v>0</v>
      </c>
      <c r="F8" s="14">
        <f>'(2016-17b)'!I9+'(2016-17b)'!J9+'(2016-17c)'!F8+'(2016-17d)'!F8</f>
        <v>0</v>
      </c>
      <c r="H8" s="8"/>
      <c r="I8" s="8"/>
      <c r="J8" s="8"/>
      <c r="K8" s="8"/>
    </row>
    <row r="9" spans="1:11" ht="12.75" customHeight="1">
      <c r="A9" s="12">
        <v>53</v>
      </c>
      <c r="B9" s="13" t="s">
        <v>11</v>
      </c>
      <c r="C9" s="14">
        <f>'(2016-17b)'!C10+'(2016-17b)'!D10+'(2016-17c)'!C9+'(2016-17d)'!C9</f>
        <v>37</v>
      </c>
      <c r="D9" s="14">
        <f>'(2016-17b)'!E10+'(2016-17b)'!F10+'(2016-17c)'!D9+'(2016-17d)'!D9</f>
        <v>7</v>
      </c>
      <c r="E9" s="14">
        <f>'(2016-17b)'!G10+'(2016-17b)'!H10+'(2016-17c)'!E9+'(2016-17d)'!E9</f>
        <v>0</v>
      </c>
      <c r="F9" s="14">
        <f>'(2016-17b)'!I10+'(2016-17b)'!J10+'(2016-17c)'!F9+'(2016-17d)'!F9</f>
        <v>0</v>
      </c>
      <c r="H9" s="8"/>
      <c r="I9" s="8"/>
      <c r="J9" s="8"/>
      <c r="K9" s="8"/>
    </row>
    <row r="10" spans="1:11" ht="12.75" customHeight="1">
      <c r="A10" s="12">
        <v>54</v>
      </c>
      <c r="B10" s="13" t="s">
        <v>12</v>
      </c>
      <c r="C10" s="14">
        <f>'(2016-17b)'!C11+'(2016-17b)'!D11+'(2016-17c)'!C10+'(2016-17d)'!C10</f>
        <v>115</v>
      </c>
      <c r="D10" s="14">
        <f>'(2016-17b)'!E11+'(2016-17b)'!F11+'(2016-17c)'!D10+'(2016-17d)'!D10</f>
        <v>5</v>
      </c>
      <c r="E10" s="14">
        <f>'(2016-17b)'!G11+'(2016-17b)'!H11+'(2016-17c)'!E10+'(2016-17d)'!E10</f>
        <v>7</v>
      </c>
      <c r="F10" s="14">
        <f>'(2016-17b)'!I11+'(2016-17b)'!J11+'(2016-17c)'!F10+'(2016-17d)'!F10</f>
        <v>0</v>
      </c>
      <c r="H10" s="8"/>
      <c r="I10" s="8"/>
      <c r="J10" s="8"/>
      <c r="K10" s="8"/>
    </row>
    <row r="11" spans="1:11" ht="12.75" customHeight="1">
      <c r="A11" s="12">
        <v>55</v>
      </c>
      <c r="B11" s="13" t="s">
        <v>13</v>
      </c>
      <c r="C11" s="14">
        <f>'(2016-17b)'!C12+'(2016-17b)'!D12+'(2016-17c)'!C11+'(2016-17d)'!C11</f>
        <v>13</v>
      </c>
      <c r="D11" s="14">
        <f>'(2016-17b)'!E12+'(2016-17b)'!F12+'(2016-17c)'!D11+'(2016-17d)'!D11</f>
        <v>1</v>
      </c>
      <c r="E11" s="14">
        <f>'(2016-17b)'!G12+'(2016-17b)'!H12+'(2016-17c)'!E11+'(2016-17d)'!E11</f>
        <v>0</v>
      </c>
      <c r="F11" s="14">
        <f>'(2016-17b)'!I12+'(2016-17b)'!J12+'(2016-17c)'!F11+'(2016-17d)'!F11</f>
        <v>0</v>
      </c>
      <c r="H11" s="8"/>
      <c r="I11" s="8"/>
      <c r="J11" s="8"/>
      <c r="K11" s="8"/>
    </row>
    <row r="12" spans="1:11" ht="12.75" customHeight="1">
      <c r="A12" s="12">
        <v>56</v>
      </c>
      <c r="B12" s="13" t="s">
        <v>14</v>
      </c>
      <c r="C12" s="14">
        <f>'(2016-17b)'!C13+'(2016-17b)'!D13+'(2016-17c)'!C12+'(2016-17d)'!C12</f>
        <v>8</v>
      </c>
      <c r="D12" s="14">
        <f>'(2016-17b)'!E13+'(2016-17b)'!F13+'(2016-17c)'!D12+'(2016-17d)'!D12</f>
        <v>1</v>
      </c>
      <c r="E12" s="14">
        <f>'(2016-17b)'!G13+'(2016-17b)'!H13+'(2016-17c)'!E12+'(2016-17d)'!E12</f>
        <v>1</v>
      </c>
      <c r="F12" s="14">
        <f>'(2016-17b)'!I13+'(2016-17b)'!J13+'(2016-17c)'!F12+'(2016-17d)'!F12</f>
        <v>0</v>
      </c>
      <c r="H12" s="8"/>
      <c r="I12" s="8"/>
      <c r="J12" s="8"/>
      <c r="K12" s="8"/>
    </row>
    <row r="13" spans="1:11" ht="12.75" customHeight="1">
      <c r="A13" s="12">
        <v>57</v>
      </c>
      <c r="B13" s="13" t="s">
        <v>15</v>
      </c>
      <c r="C13" s="14">
        <f>'(2016-17b)'!C14+'(2016-17b)'!D14+'(2016-17c)'!C13+'(2016-17d)'!C13</f>
        <v>29</v>
      </c>
      <c r="D13" s="14">
        <f>'(2016-17b)'!E14+'(2016-17b)'!F14+'(2016-17c)'!D13+'(2016-17d)'!D13</f>
        <v>6</v>
      </c>
      <c r="E13" s="14">
        <f>'(2016-17b)'!G14+'(2016-17b)'!H14+'(2016-17c)'!E13+'(2016-17d)'!E13</f>
        <v>5</v>
      </c>
      <c r="F13" s="14">
        <f>'(2016-17b)'!I14+'(2016-17b)'!J14+'(2016-17c)'!F13+'(2016-17d)'!F13</f>
        <v>0</v>
      </c>
      <c r="H13" s="8"/>
      <c r="I13" s="8"/>
      <c r="J13" s="8"/>
      <c r="K13" s="8"/>
    </row>
    <row r="14" spans="1:11" ht="12.75" customHeight="1">
      <c r="A14" s="12">
        <v>59</v>
      </c>
      <c r="B14" s="13" t="s">
        <v>16</v>
      </c>
      <c r="C14" s="14">
        <f>'(2016-17b)'!C15+'(2016-17b)'!D15+'(2016-17c)'!C14+'(2016-17d)'!C14</f>
        <v>23</v>
      </c>
      <c r="D14" s="14">
        <f>'(2016-17b)'!E15+'(2016-17b)'!F15+'(2016-17c)'!D14+'(2016-17d)'!D14</f>
        <v>6</v>
      </c>
      <c r="E14" s="14">
        <f>'(2016-17b)'!G15+'(2016-17b)'!H15+'(2016-17c)'!E14+'(2016-17d)'!E14</f>
        <v>0</v>
      </c>
      <c r="F14" s="14">
        <f>'(2016-17b)'!I15+'(2016-17b)'!J15+'(2016-17c)'!F14+'(2016-17d)'!F14</f>
        <v>0</v>
      </c>
      <c r="H14" s="8"/>
      <c r="I14" s="8"/>
      <c r="J14" s="8"/>
      <c r="K14" s="8"/>
    </row>
    <row r="15" spans="1:11" ht="12.75" customHeight="1">
      <c r="A15" s="12">
        <v>60</v>
      </c>
      <c r="B15" s="13" t="s">
        <v>17</v>
      </c>
      <c r="C15" s="14">
        <f>'(2016-17b)'!C16+'(2016-17b)'!D16+'(2016-17c)'!C15+'(2016-17d)'!C15</f>
        <v>28</v>
      </c>
      <c r="D15" s="14">
        <f>'(2016-17b)'!E16+'(2016-17b)'!F16+'(2016-17c)'!D15+'(2016-17d)'!D15</f>
        <v>8</v>
      </c>
      <c r="E15" s="14">
        <f>'(2016-17b)'!G16+'(2016-17b)'!H16+'(2016-17c)'!E15+'(2016-17d)'!E15</f>
        <v>2</v>
      </c>
      <c r="F15" s="14">
        <f>'(2016-17b)'!I16+'(2016-17b)'!J16+'(2016-17c)'!F15+'(2016-17d)'!F15</f>
        <v>0</v>
      </c>
      <c r="H15" s="8"/>
      <c r="I15" s="8"/>
      <c r="J15" s="8"/>
      <c r="K15" s="8"/>
    </row>
    <row r="16" spans="1:11" ht="12.75" customHeight="1">
      <c r="A16" s="12">
        <v>61</v>
      </c>
      <c r="B16" s="15" t="s">
        <v>18</v>
      </c>
      <c r="C16" s="14">
        <f>'(2016-17b)'!C17+'(2016-17b)'!D17+'(2016-17c)'!C16+'(2016-17d)'!C16</f>
        <v>59</v>
      </c>
      <c r="D16" s="14">
        <f>'(2016-17b)'!E17+'(2016-17b)'!F17+'(2016-17c)'!D16+'(2016-17d)'!D16</f>
        <v>22</v>
      </c>
      <c r="E16" s="14">
        <f>'(2016-17b)'!G17+'(2016-17b)'!H17+'(2016-17c)'!E16+'(2016-17d)'!E16</f>
        <v>1</v>
      </c>
      <c r="F16" s="14">
        <f>'(2016-17b)'!I17+'(2016-17b)'!J17+'(2016-17c)'!F16+'(2016-17d)'!F16</f>
        <v>0</v>
      </c>
      <c r="H16" s="8"/>
      <c r="I16" s="8"/>
      <c r="J16" s="8"/>
      <c r="K16" s="8"/>
    </row>
    <row r="17" spans="1:11" ht="12.75" customHeight="1">
      <c r="A17" s="12"/>
      <c r="B17" s="132" t="s">
        <v>125</v>
      </c>
      <c r="C17" s="14">
        <f>'(2016-17b)'!C18+'(2016-17b)'!D18+'(2016-17c)'!C17+'(2016-17d)'!C17</f>
        <v>91</v>
      </c>
      <c r="D17" s="14">
        <f>'(2016-17b)'!E18+'(2016-17b)'!F18+'(2016-17c)'!D17+'(2016-17d)'!D17</f>
        <v>10</v>
      </c>
      <c r="E17" s="14">
        <f>'(2016-17b)'!G18+'(2016-17b)'!H18+'(2016-17c)'!E17+'(2016-17d)'!E17</f>
        <v>1</v>
      </c>
      <c r="F17" s="14">
        <f>'(2016-17b)'!I18+'(2016-17b)'!J18+'(2016-17c)'!F17+'(2016-17d)'!F17</f>
        <v>0</v>
      </c>
      <c r="H17" s="8"/>
      <c r="I17" s="8"/>
      <c r="J17" s="8"/>
      <c r="K17" s="8"/>
    </row>
    <row r="18" spans="1:11" ht="12.75" customHeight="1">
      <c r="A18" s="12">
        <v>62</v>
      </c>
      <c r="B18" s="13" t="s">
        <v>19</v>
      </c>
      <c r="C18" s="14" t="s">
        <v>126</v>
      </c>
      <c r="D18" s="14" t="s">
        <v>126</v>
      </c>
      <c r="E18" s="14" t="s">
        <v>126</v>
      </c>
      <c r="F18" s="14" t="s">
        <v>126</v>
      </c>
      <c r="H18" s="8"/>
      <c r="I18" s="8"/>
      <c r="J18" s="8"/>
      <c r="K18" s="8"/>
    </row>
    <row r="19" spans="1:11" ht="12.75" customHeight="1">
      <c r="A19" s="12">
        <v>58</v>
      </c>
      <c r="B19" s="13" t="s">
        <v>20</v>
      </c>
      <c r="C19" s="14">
        <f>'(2016-17b)'!C20+'(2016-17b)'!D20+'(2016-17c)'!C19+'(2016-17d)'!C19</f>
        <v>9</v>
      </c>
      <c r="D19" s="14">
        <f>'(2016-17b)'!E20+'(2016-17b)'!F20+'(2016-17c)'!D19+'(2016-17d)'!D19</f>
        <v>4</v>
      </c>
      <c r="E19" s="14">
        <f>'(2016-17b)'!G20+'(2016-17b)'!H20+'(2016-17c)'!E19+'(2016-17d)'!E19</f>
        <v>0</v>
      </c>
      <c r="F19" s="14">
        <f>'(2016-17b)'!I20+'(2016-17b)'!J20+'(2016-17c)'!F19+'(2016-17d)'!F19</f>
        <v>0</v>
      </c>
      <c r="H19" s="8"/>
      <c r="I19" s="8"/>
      <c r="J19" s="8"/>
      <c r="K19" s="8"/>
    </row>
    <row r="20" spans="1:11" ht="12.75" customHeight="1">
      <c r="A20" s="12">
        <v>63</v>
      </c>
      <c r="B20" s="13" t="s">
        <v>21</v>
      </c>
      <c r="C20" s="14">
        <f>'(2016-17b)'!C21+'(2016-17b)'!D21+'(2016-17c)'!C20+'(2016-17d)'!C20</f>
        <v>63</v>
      </c>
      <c r="D20" s="14">
        <f>'(2016-17b)'!E21+'(2016-17b)'!F21+'(2016-17c)'!D20+'(2016-17d)'!D20</f>
        <v>9</v>
      </c>
      <c r="E20" s="14">
        <f>'(2016-17b)'!G21+'(2016-17b)'!H21+'(2016-17c)'!E20+'(2016-17d)'!E20</f>
        <v>7</v>
      </c>
      <c r="F20" s="14">
        <f>'(2016-17b)'!I21+'(2016-17b)'!J21+'(2016-17c)'!F20+'(2016-17d)'!F20</f>
        <v>0</v>
      </c>
      <c r="H20" s="8"/>
      <c r="I20" s="8"/>
      <c r="J20" s="8"/>
      <c r="K20" s="8"/>
    </row>
    <row r="21" spans="1:11" ht="12.75" customHeight="1">
      <c r="A21" s="12">
        <v>64</v>
      </c>
      <c r="B21" s="13" t="s">
        <v>22</v>
      </c>
      <c r="C21" s="14">
        <f>'(2016-17b)'!C22+'(2016-17b)'!D22+'(2016-17c)'!C21+'(2016-17d)'!C21</f>
        <v>164</v>
      </c>
      <c r="D21" s="14">
        <f>'(2016-17b)'!E22+'(2016-17b)'!F22+'(2016-17c)'!D21+'(2016-17d)'!D21</f>
        <v>17</v>
      </c>
      <c r="E21" s="14">
        <f>'(2016-17b)'!G22+'(2016-17b)'!H22+'(2016-17c)'!E21+'(2016-17d)'!E21</f>
        <v>0</v>
      </c>
      <c r="F21" s="14">
        <f>'(2016-17b)'!I22+'(2016-17b)'!J22+'(2016-17c)'!F21+'(2016-17d)'!F21</f>
        <v>0</v>
      </c>
      <c r="H21" s="8"/>
      <c r="I21" s="8"/>
      <c r="J21" s="8"/>
      <c r="K21" s="8"/>
    </row>
    <row r="22" spans="1:11">
      <c r="A22" s="12">
        <v>65</v>
      </c>
      <c r="B22" s="13" t="s">
        <v>23</v>
      </c>
      <c r="C22" s="14">
        <f>'(2016-17b)'!C23+'(2016-17b)'!D23+'(2016-17c)'!C22+'(2016-17d)'!C22</f>
        <v>56</v>
      </c>
      <c r="D22" s="14">
        <f>'(2016-17b)'!E23+'(2016-17b)'!F23+'(2016-17c)'!D22+'(2016-17d)'!D22</f>
        <v>0</v>
      </c>
      <c r="E22" s="14">
        <f>'(2016-17b)'!G23+'(2016-17b)'!H23+'(2016-17c)'!E22+'(2016-17d)'!E22</f>
        <v>0</v>
      </c>
      <c r="F22" s="14">
        <f>'(2016-17b)'!I23+'(2016-17b)'!J23+'(2016-17c)'!F22+'(2016-17d)'!F22</f>
        <v>0</v>
      </c>
      <c r="H22" s="8"/>
      <c r="I22" s="8"/>
      <c r="J22" s="8"/>
      <c r="K22" s="8"/>
    </row>
    <row r="23" spans="1:11" ht="12.75" customHeight="1">
      <c r="A23" s="12">
        <v>67</v>
      </c>
      <c r="B23" s="13" t="s">
        <v>24</v>
      </c>
      <c r="C23" s="14">
        <f>'(2016-17b)'!C24+'(2016-17b)'!D24+'(2016-17c)'!C23+'(2016-17d)'!C23</f>
        <v>80</v>
      </c>
      <c r="D23" s="14">
        <f>'(2016-17b)'!E24+'(2016-17b)'!F24+'(2016-17c)'!D23+'(2016-17d)'!D23</f>
        <v>12</v>
      </c>
      <c r="E23" s="14">
        <f>'(2016-17b)'!G24+'(2016-17b)'!H24+'(2016-17c)'!E23+'(2016-17d)'!E23</f>
        <v>2</v>
      </c>
      <c r="F23" s="14">
        <f>'(2016-17b)'!I24+'(2016-17b)'!J24+'(2016-17c)'!F23+'(2016-17d)'!F23</f>
        <v>0</v>
      </c>
      <c r="H23" s="8"/>
      <c r="I23" s="8"/>
      <c r="J23" s="8"/>
      <c r="K23" s="8"/>
    </row>
    <row r="24" spans="1:11">
      <c r="A24" s="12">
        <v>68</v>
      </c>
      <c r="B24" s="13" t="s">
        <v>25</v>
      </c>
      <c r="C24" s="14">
        <f>'(2016-17b)'!C25+'(2016-17b)'!D25+'(2016-17c)'!C24+'(2016-17d)'!C24</f>
        <v>56</v>
      </c>
      <c r="D24" s="14">
        <f>'(2016-17b)'!E25+'(2016-17b)'!F25+'(2016-17c)'!D24+'(2016-17d)'!D24</f>
        <v>7</v>
      </c>
      <c r="E24" s="14">
        <f>'(2016-17b)'!G25+'(2016-17b)'!H25+'(2016-17c)'!E24+'(2016-17d)'!E24</f>
        <v>0</v>
      </c>
      <c r="F24" s="14">
        <f>'(2016-17b)'!I25+'(2016-17b)'!J25+'(2016-17c)'!F24+'(2016-17d)'!F24</f>
        <v>0</v>
      </c>
      <c r="H24" s="8"/>
      <c r="I24" s="8"/>
      <c r="J24" s="8"/>
      <c r="K24" s="8"/>
    </row>
    <row r="25" spans="1:11">
      <c r="A25" s="12">
        <v>69</v>
      </c>
      <c r="B25" s="13" t="s">
        <v>26</v>
      </c>
      <c r="C25" s="14">
        <f>'(2016-17b)'!C26+'(2016-17b)'!D26+'(2016-17c)'!C25+'(2016-17d)'!C25</f>
        <v>58</v>
      </c>
      <c r="D25" s="14">
        <f>'(2016-17b)'!E26+'(2016-17b)'!F26+'(2016-17c)'!D25+'(2016-17d)'!D25</f>
        <v>19</v>
      </c>
      <c r="E25" s="14">
        <f>'(2016-17b)'!G26+'(2016-17b)'!H26+'(2016-17c)'!E25+'(2016-17d)'!E25</f>
        <v>0</v>
      </c>
      <c r="F25" s="14">
        <f>'(2016-17b)'!I26+'(2016-17b)'!J26+'(2016-17c)'!F25+'(2016-17d)'!F25</f>
        <v>0</v>
      </c>
      <c r="H25" s="8"/>
      <c r="I25" s="8"/>
      <c r="J25" s="8"/>
      <c r="K25" s="8"/>
    </row>
    <row r="26" spans="1:11">
      <c r="A26" s="12">
        <v>70</v>
      </c>
      <c r="B26" s="13" t="s">
        <v>27</v>
      </c>
      <c r="C26" s="14">
        <f>'(2016-17b)'!C27+'(2016-17b)'!D27+'(2016-17c)'!C26+'(2016-17d)'!C26</f>
        <v>85</v>
      </c>
      <c r="D26" s="14">
        <f>'(2016-17b)'!E27+'(2016-17b)'!F27+'(2016-17c)'!D26+'(2016-17d)'!D26</f>
        <v>15</v>
      </c>
      <c r="E26" s="14">
        <f>'(2016-17b)'!G27+'(2016-17b)'!H27+'(2016-17c)'!E26+'(2016-17d)'!E26</f>
        <v>4</v>
      </c>
      <c r="F26" s="14">
        <f>'(2016-17b)'!I27+'(2016-17b)'!J27+'(2016-17c)'!F26+'(2016-17d)'!F26</f>
        <v>0</v>
      </c>
      <c r="H26" s="8"/>
      <c r="I26" s="8"/>
      <c r="J26" s="8"/>
      <c r="K26" s="8"/>
    </row>
    <row r="27" spans="1:11">
      <c r="A27" s="12">
        <v>71</v>
      </c>
      <c r="B27" s="16" t="s">
        <v>28</v>
      </c>
      <c r="C27" s="14">
        <f>'(2016-17b)'!C28+'(2016-17b)'!D28+'(2016-17c)'!C27+'(2016-17d)'!C27</f>
        <v>8</v>
      </c>
      <c r="D27" s="14">
        <f>'(2016-17b)'!E28+'(2016-17b)'!F28+'(2016-17c)'!D27+'(2016-17d)'!D27</f>
        <v>1</v>
      </c>
      <c r="E27" s="14">
        <f>'(2016-17b)'!G28+'(2016-17b)'!H28+'(2016-17c)'!E27+'(2016-17d)'!E27</f>
        <v>0</v>
      </c>
      <c r="F27" s="14">
        <f>'(2016-17b)'!I28+'(2016-17b)'!J28+'(2016-17c)'!F27+'(2016-17d)'!F27</f>
        <v>0</v>
      </c>
      <c r="H27" s="8"/>
      <c r="I27" s="8"/>
      <c r="J27" s="8"/>
      <c r="K27" s="8"/>
    </row>
    <row r="28" spans="1:11">
      <c r="A28" s="12">
        <v>73</v>
      </c>
      <c r="B28" s="13" t="s">
        <v>29</v>
      </c>
      <c r="C28" s="14">
        <f>'(2016-17b)'!C29+'(2016-17b)'!D29+'(2016-17c)'!C28+'(2016-17d)'!C28</f>
        <v>59</v>
      </c>
      <c r="D28" s="14">
        <f>'(2016-17b)'!E29+'(2016-17b)'!F29+'(2016-17c)'!D28+'(2016-17d)'!D28</f>
        <v>15</v>
      </c>
      <c r="E28" s="14">
        <f>'(2016-17b)'!G29+'(2016-17b)'!H29+'(2016-17c)'!E28+'(2016-17d)'!E28</f>
        <v>2</v>
      </c>
      <c r="F28" s="14">
        <f>'(2016-17b)'!I29+'(2016-17b)'!J29+'(2016-17c)'!F28+'(2016-17d)'!F28</f>
        <v>0</v>
      </c>
      <c r="H28" s="8"/>
      <c r="I28" s="8"/>
      <c r="J28" s="8"/>
      <c r="K28" s="8"/>
    </row>
    <row r="29" spans="1:11">
      <c r="A29" s="12">
        <v>74</v>
      </c>
      <c r="B29" s="13" t="s">
        <v>30</v>
      </c>
      <c r="C29" s="14">
        <f>'(2016-17b)'!C30+'(2016-17b)'!D30+'(2016-17c)'!C29+'(2016-17d)'!C29</f>
        <v>53</v>
      </c>
      <c r="D29" s="14">
        <f>'(2016-17b)'!E30+'(2016-17b)'!F30+'(2016-17c)'!D29+'(2016-17d)'!D29</f>
        <v>19</v>
      </c>
      <c r="E29" s="14">
        <f>'(2016-17b)'!G30+'(2016-17b)'!H30+'(2016-17c)'!E29+'(2016-17d)'!E29</f>
        <v>1</v>
      </c>
      <c r="F29" s="14">
        <f>'(2016-17b)'!I30+'(2016-17b)'!J30+'(2016-17c)'!F29+'(2016-17d)'!F29</f>
        <v>0</v>
      </c>
      <c r="H29" s="8"/>
      <c r="I29" s="8"/>
      <c r="J29" s="8"/>
      <c r="K29" s="8"/>
    </row>
    <row r="30" spans="1:11">
      <c r="A30" s="12">
        <v>75</v>
      </c>
      <c r="B30" s="13" t="s">
        <v>31</v>
      </c>
      <c r="C30" s="14">
        <f>'(2016-17b)'!C31+'(2016-17b)'!D31+'(2016-17c)'!C30+'(2016-17d)'!C30</f>
        <v>62</v>
      </c>
      <c r="D30" s="14">
        <f>'(2016-17b)'!E31+'(2016-17b)'!F31+'(2016-17c)'!D30+'(2016-17d)'!D30</f>
        <v>24</v>
      </c>
      <c r="E30" s="14">
        <f>'(2016-17b)'!G31+'(2016-17b)'!H31+'(2016-17c)'!E30+'(2016-17d)'!E30</f>
        <v>15</v>
      </c>
      <c r="F30" s="14">
        <f>'(2016-17b)'!I31+'(2016-17b)'!J31+'(2016-17c)'!F30+'(2016-17d)'!F30</f>
        <v>0</v>
      </c>
      <c r="H30" s="8"/>
      <c r="I30" s="8"/>
      <c r="J30" s="8"/>
      <c r="K30" s="8"/>
    </row>
    <row r="31" spans="1:11">
      <c r="A31" s="12">
        <v>76</v>
      </c>
      <c r="B31" s="13" t="s">
        <v>32</v>
      </c>
      <c r="C31" s="14">
        <f>'(2016-17b)'!C32+'(2016-17b)'!D32+'(2016-17c)'!C31+'(2016-17d)'!C31</f>
        <v>51</v>
      </c>
      <c r="D31" s="14">
        <f>'(2016-17b)'!E32+'(2016-17b)'!F32+'(2016-17c)'!D31+'(2016-17d)'!D31</f>
        <v>12</v>
      </c>
      <c r="E31" s="14">
        <f>'(2016-17b)'!G32+'(2016-17b)'!H32+'(2016-17c)'!E31+'(2016-17d)'!E31</f>
        <v>0</v>
      </c>
      <c r="F31" s="14">
        <f>'(2016-17b)'!I32+'(2016-17b)'!J32+'(2016-17c)'!F31+'(2016-17d)'!F31</f>
        <v>0</v>
      </c>
      <c r="H31" s="8"/>
      <c r="I31" s="8"/>
      <c r="J31" s="8"/>
      <c r="K31" s="8"/>
    </row>
    <row r="32" spans="1:11">
      <c r="A32" s="12">
        <v>79</v>
      </c>
      <c r="B32" s="13" t="s">
        <v>33</v>
      </c>
      <c r="C32" s="14">
        <f>'(2016-17b)'!C33+'(2016-17b)'!D33+'(2016-17c)'!C32+'(2016-17d)'!C32</f>
        <v>83</v>
      </c>
      <c r="D32" s="14">
        <f>'(2016-17b)'!E33+'(2016-17b)'!F33+'(2016-17c)'!D32+'(2016-17d)'!D32</f>
        <v>4</v>
      </c>
      <c r="E32" s="14">
        <f>'(2016-17b)'!G33+'(2016-17b)'!H33+'(2016-17c)'!E32+'(2016-17d)'!E32</f>
        <v>1</v>
      </c>
      <c r="F32" s="14">
        <f>'(2016-17b)'!I33+'(2016-17b)'!J33+'(2016-17c)'!F32+'(2016-17d)'!F32</f>
        <v>0</v>
      </c>
      <c r="H32" s="8"/>
      <c r="I32" s="8"/>
      <c r="J32" s="8"/>
      <c r="K32" s="8"/>
    </row>
    <row r="33" spans="1:11">
      <c r="A33" s="12">
        <v>80</v>
      </c>
      <c r="B33" s="13" t="s">
        <v>34</v>
      </c>
      <c r="C33" s="14">
        <f>'(2016-17b)'!C34+'(2016-17b)'!D34+'(2016-17c)'!C33+'(2016-17d)'!C33</f>
        <v>61</v>
      </c>
      <c r="D33" s="14">
        <f>'(2016-17b)'!E34+'(2016-17b)'!F34+'(2016-17c)'!D33+'(2016-17d)'!D33</f>
        <v>10</v>
      </c>
      <c r="E33" s="14">
        <f>'(2016-17b)'!G34+'(2016-17b)'!H34+'(2016-17c)'!E33+'(2016-17d)'!E33</f>
        <v>6</v>
      </c>
      <c r="F33" s="14">
        <f>'(2016-17b)'!I34+'(2016-17b)'!J34+'(2016-17c)'!F33+'(2016-17d)'!F33</f>
        <v>0</v>
      </c>
      <c r="H33" s="8"/>
      <c r="I33" s="8"/>
      <c r="J33" s="8"/>
      <c r="K33" s="8"/>
    </row>
    <row r="34" spans="1:11">
      <c r="A34" s="12">
        <v>81</v>
      </c>
      <c r="B34" s="13" t="s">
        <v>35</v>
      </c>
      <c r="C34" s="14">
        <f>'(2016-17b)'!C35+'(2016-17b)'!D35+'(2016-17c)'!C34+'(2016-17d)'!C34</f>
        <v>47</v>
      </c>
      <c r="D34" s="14">
        <f>'(2016-17b)'!E35+'(2016-17b)'!F35+'(2016-17c)'!D34+'(2016-17d)'!D34</f>
        <v>9</v>
      </c>
      <c r="E34" s="14">
        <f>'(2016-17b)'!G35+'(2016-17b)'!H35+'(2016-17c)'!E34+'(2016-17d)'!E34</f>
        <v>0</v>
      </c>
      <c r="F34" s="14">
        <f>'(2016-17b)'!I35+'(2016-17b)'!J35+'(2016-17c)'!F34+'(2016-17d)'!F34</f>
        <v>0</v>
      </c>
      <c r="H34" s="8"/>
      <c r="I34" s="8"/>
      <c r="J34" s="8"/>
      <c r="K34" s="8"/>
    </row>
    <row r="35" spans="1:11">
      <c r="A35" s="12">
        <v>83</v>
      </c>
      <c r="B35" s="13" t="s">
        <v>36</v>
      </c>
      <c r="C35" s="14">
        <f>'(2016-17b)'!C36+'(2016-17b)'!D36+'(2016-17c)'!C35+'(2016-17d)'!C35</f>
        <v>21</v>
      </c>
      <c r="D35" s="14">
        <f>'(2016-17b)'!E36+'(2016-17b)'!F36+'(2016-17c)'!D35+'(2016-17d)'!D35</f>
        <v>0</v>
      </c>
      <c r="E35" s="14">
        <f>'(2016-17b)'!G36+'(2016-17b)'!H36+'(2016-17c)'!E35+'(2016-17d)'!E35</f>
        <v>1</v>
      </c>
      <c r="F35" s="14">
        <f>'(2016-17b)'!I36+'(2016-17b)'!J36+'(2016-17c)'!F35+'(2016-17d)'!F35</f>
        <v>0</v>
      </c>
      <c r="H35" s="8"/>
      <c r="I35" s="8"/>
      <c r="J35" s="8"/>
      <c r="K35" s="8"/>
    </row>
    <row r="36" spans="1:11">
      <c r="A36" s="12">
        <v>84</v>
      </c>
      <c r="B36" s="13" t="s">
        <v>37</v>
      </c>
      <c r="C36" s="14">
        <f>'(2016-17b)'!C37+'(2016-17b)'!D37+'(2016-17c)'!C36+'(2016-17d)'!C36</f>
        <v>23</v>
      </c>
      <c r="D36" s="14">
        <f>'(2016-17b)'!E37+'(2016-17b)'!F37+'(2016-17c)'!D36+'(2016-17d)'!D36</f>
        <v>3</v>
      </c>
      <c r="E36" s="14">
        <f>'(2016-17b)'!G37+'(2016-17b)'!H37+'(2016-17c)'!E36+'(2016-17d)'!E36</f>
        <v>0</v>
      </c>
      <c r="F36" s="14">
        <f>'(2016-17b)'!I37+'(2016-17b)'!J37+'(2016-17c)'!F36+'(2016-17d)'!F36</f>
        <v>0</v>
      </c>
      <c r="H36" s="8"/>
      <c r="I36" s="8"/>
      <c r="J36" s="8"/>
      <c r="K36" s="8"/>
    </row>
    <row r="37" spans="1:11">
      <c r="A37" s="12">
        <v>85</v>
      </c>
      <c r="B37" s="13" t="s">
        <v>38</v>
      </c>
      <c r="C37" s="14">
        <f>'(2016-17b)'!C38+'(2016-17b)'!D38+'(2016-17c)'!C37+'(2016-17d)'!C37</f>
        <v>42</v>
      </c>
      <c r="D37" s="14">
        <f>'(2016-17b)'!E38+'(2016-17b)'!F38+'(2016-17c)'!D37+'(2016-17d)'!D37</f>
        <v>6</v>
      </c>
      <c r="E37" s="14">
        <f>'(2016-17b)'!G38+'(2016-17b)'!H38+'(2016-17c)'!E37+'(2016-17d)'!E37</f>
        <v>0</v>
      </c>
      <c r="F37" s="14">
        <f>'(2016-17b)'!I38+'(2016-17b)'!J38+'(2016-17c)'!F37+'(2016-17d)'!F37</f>
        <v>0</v>
      </c>
      <c r="H37" s="8"/>
      <c r="I37" s="8"/>
      <c r="J37" s="8"/>
      <c r="K37" s="8"/>
    </row>
    <row r="38" spans="1:11">
      <c r="A38" s="12">
        <v>87</v>
      </c>
      <c r="B38" s="13" t="s">
        <v>39</v>
      </c>
      <c r="C38" s="14">
        <f>'(2016-17b)'!C39+'(2016-17b)'!D39+'(2016-17c)'!C38+'(2016-17d)'!C38</f>
        <v>32</v>
      </c>
      <c r="D38" s="14">
        <f>'(2016-17b)'!E39+'(2016-17b)'!F39+'(2016-17c)'!D38+'(2016-17d)'!D38</f>
        <v>4</v>
      </c>
      <c r="E38" s="14">
        <f>'(2016-17b)'!G39+'(2016-17b)'!H39+'(2016-17c)'!E38+'(2016-17d)'!E38</f>
        <v>2</v>
      </c>
      <c r="F38" s="14">
        <f>'(2016-17b)'!I39+'(2016-17b)'!J39+'(2016-17c)'!F38+'(2016-17d)'!F38</f>
        <v>0</v>
      </c>
      <c r="H38" s="8"/>
      <c r="I38" s="8"/>
      <c r="J38" s="8"/>
      <c r="K38" s="8"/>
    </row>
    <row r="39" spans="1:11">
      <c r="A39" s="12">
        <v>90</v>
      </c>
      <c r="B39" s="13" t="s">
        <v>40</v>
      </c>
      <c r="C39" s="14">
        <f>'(2016-17b)'!C40+'(2016-17b)'!D40+'(2016-17c)'!C39+'(2016-17d)'!C39</f>
        <v>49</v>
      </c>
      <c r="D39" s="14">
        <f>'(2016-17b)'!E40+'(2016-17b)'!F40+'(2016-17c)'!D39+'(2016-17d)'!D39</f>
        <v>6</v>
      </c>
      <c r="E39" s="14">
        <f>'(2016-17b)'!G40+'(2016-17b)'!H40+'(2016-17c)'!E39+'(2016-17d)'!E39</f>
        <v>1</v>
      </c>
      <c r="F39" s="14">
        <f>'(2016-17b)'!I40+'(2016-17b)'!J40+'(2016-17c)'!F39+'(2016-17d)'!F39</f>
        <v>0</v>
      </c>
      <c r="H39" s="8"/>
      <c r="I39" s="8"/>
      <c r="J39" s="8"/>
      <c r="K39" s="8"/>
    </row>
    <row r="40" spans="1:11">
      <c r="A40" s="12">
        <v>91</v>
      </c>
      <c r="B40" s="13" t="s">
        <v>41</v>
      </c>
      <c r="C40" s="14">
        <f>'(2016-17b)'!C41+'(2016-17b)'!D41+'(2016-17c)'!C40+'(2016-17d)'!C40</f>
        <v>55</v>
      </c>
      <c r="D40" s="14">
        <f>'(2016-17b)'!E41+'(2016-17b)'!F41+'(2016-17c)'!D40+'(2016-17d)'!D40</f>
        <v>9</v>
      </c>
      <c r="E40" s="14">
        <f>'(2016-17b)'!G41+'(2016-17b)'!H41+'(2016-17c)'!E40+'(2016-17d)'!E40</f>
        <v>0</v>
      </c>
      <c r="F40" s="14">
        <f>'(2016-17b)'!I41+'(2016-17b)'!J41+'(2016-17c)'!F40+'(2016-17d)'!F40</f>
        <v>0</v>
      </c>
      <c r="H40" s="8"/>
      <c r="I40" s="8"/>
      <c r="J40" s="8"/>
      <c r="K40" s="8"/>
    </row>
    <row r="41" spans="1:11">
      <c r="A41" s="12">
        <v>92</v>
      </c>
      <c r="B41" s="13" t="s">
        <v>42</v>
      </c>
      <c r="C41" s="14">
        <f>'(2016-17b)'!C42+'(2016-17b)'!D42+'(2016-17c)'!C41+'(2016-17d)'!C41</f>
        <v>49</v>
      </c>
      <c r="D41" s="14">
        <f>'(2016-17b)'!E42+'(2016-17b)'!F42+'(2016-17c)'!D41+'(2016-17d)'!D41</f>
        <v>8</v>
      </c>
      <c r="E41" s="14">
        <f>'(2016-17b)'!G42+'(2016-17b)'!H42+'(2016-17c)'!E41+'(2016-17d)'!E41</f>
        <v>0</v>
      </c>
      <c r="F41" s="14">
        <f>'(2016-17b)'!I42+'(2016-17b)'!J42+'(2016-17c)'!F41+'(2016-17d)'!F41</f>
        <v>0</v>
      </c>
      <c r="H41" s="8"/>
      <c r="I41" s="8"/>
      <c r="J41" s="8"/>
      <c r="K41" s="8"/>
    </row>
    <row r="42" spans="1:11">
      <c r="A42" s="12">
        <v>94</v>
      </c>
      <c r="B42" s="13" t="s">
        <v>43</v>
      </c>
      <c r="C42" s="14">
        <f>'(2016-17b)'!C43+'(2016-17b)'!D43+'(2016-17c)'!C42+'(2016-17d)'!C42</f>
        <v>34</v>
      </c>
      <c r="D42" s="14">
        <f>'(2016-17b)'!E43+'(2016-17b)'!F43+'(2016-17c)'!D42+'(2016-17d)'!D42</f>
        <v>3</v>
      </c>
      <c r="E42" s="14">
        <f>'(2016-17b)'!G43+'(2016-17b)'!H43+'(2016-17c)'!E42+'(2016-17d)'!E42</f>
        <v>0</v>
      </c>
      <c r="F42" s="14">
        <f>'(2016-17b)'!I43+'(2016-17b)'!J43+'(2016-17c)'!F42+'(2016-17d)'!F42</f>
        <v>0</v>
      </c>
      <c r="H42" s="8"/>
      <c r="I42" s="8"/>
      <c r="J42" s="8"/>
      <c r="K42" s="8"/>
    </row>
    <row r="43" spans="1:11">
      <c r="A43" s="12">
        <v>96</v>
      </c>
      <c r="B43" s="13" t="s">
        <v>44</v>
      </c>
      <c r="C43" s="14">
        <f>'(2016-17b)'!C44+'(2016-17b)'!D44+'(2016-17c)'!C43+'(2016-17d)'!C43</f>
        <v>33</v>
      </c>
      <c r="D43" s="14">
        <f>'(2016-17b)'!E44+'(2016-17b)'!F44+'(2016-17c)'!D43+'(2016-17d)'!D43</f>
        <v>1</v>
      </c>
      <c r="E43" s="14">
        <f>'(2016-17b)'!G44+'(2016-17b)'!H44+'(2016-17c)'!E43+'(2016-17d)'!E43</f>
        <v>0</v>
      </c>
      <c r="F43" s="14">
        <f>'(2016-17b)'!I44+'(2016-17b)'!J44+'(2016-17c)'!F43+'(2016-17d)'!F43</f>
        <v>0</v>
      </c>
      <c r="H43" s="8"/>
      <c r="I43" s="8"/>
      <c r="J43" s="8"/>
      <c r="K43" s="8"/>
    </row>
    <row r="44" spans="1:11">
      <c r="A44" s="12">
        <v>98</v>
      </c>
      <c r="B44" s="13" t="s">
        <v>45</v>
      </c>
      <c r="C44" s="14" t="s">
        <v>126</v>
      </c>
      <c r="D44" s="14" t="s">
        <v>126</v>
      </c>
      <c r="E44" s="14" t="s">
        <v>126</v>
      </c>
      <c r="F44" s="14" t="s">
        <v>126</v>
      </c>
      <c r="H44" s="8"/>
      <c r="I44" s="8"/>
      <c r="J44" s="8"/>
      <c r="K44" s="8"/>
    </row>
    <row r="45" spans="1:11">
      <c r="A45" s="12">
        <v>72</v>
      </c>
      <c r="B45" s="16" t="s">
        <v>46</v>
      </c>
      <c r="C45" s="14">
        <f>'(2016-17b)'!C46+'(2016-17b)'!D46+'(2016-17c)'!C45+'(2016-17d)'!C45</f>
        <v>0</v>
      </c>
      <c r="D45" s="14">
        <f>'(2016-17b)'!E46+'(2016-17b)'!F46+'(2016-17c)'!D45+'(2016-17d)'!D45</f>
        <v>0</v>
      </c>
      <c r="E45" s="14">
        <f>'(2016-17b)'!G46+'(2016-17b)'!H46+'(2016-17c)'!E45+'(2016-17d)'!E45</f>
        <v>0</v>
      </c>
      <c r="F45" s="14">
        <f>'(2016-17b)'!I46+'(2016-17b)'!J46+'(2016-17c)'!F45+'(2016-17d)'!F45</f>
        <v>0</v>
      </c>
      <c r="H45" s="8"/>
      <c r="I45" s="8"/>
      <c r="J45" s="8"/>
      <c r="K45" s="8"/>
    </row>
    <row r="46" spans="1:11" s="11" customFormat="1" ht="25.5" customHeight="1">
      <c r="B46" s="6" t="s">
        <v>47</v>
      </c>
      <c r="C46" s="18">
        <f>SUM(C47:C53)</f>
        <v>649</v>
      </c>
      <c r="D46" s="18">
        <f>SUM(D47:D53)</f>
        <v>153</v>
      </c>
      <c r="E46" s="18">
        <f>SUM(E47:E53)</f>
        <v>69</v>
      </c>
      <c r="F46" s="18">
        <f>SUM(F47:F53)</f>
        <v>0</v>
      </c>
      <c r="H46" s="8"/>
      <c r="I46" s="8"/>
      <c r="J46" s="8"/>
      <c r="K46" s="8"/>
    </row>
    <row r="47" spans="1:11" ht="12.75" customHeight="1">
      <c r="A47" s="12">
        <v>66</v>
      </c>
      <c r="B47" s="19" t="s">
        <v>48</v>
      </c>
      <c r="C47" s="14">
        <f>'(2016-17b)'!C48+'(2016-17b)'!D48+'(2016-17c)'!C47+'(2016-17d)'!C47</f>
        <v>66</v>
      </c>
      <c r="D47" s="14">
        <f>'(2016-17b)'!E48+'(2016-17b)'!F48+'(2016-17c)'!D47+'(2016-17d)'!D47</f>
        <v>8</v>
      </c>
      <c r="E47" s="14">
        <f>'(2016-17b)'!G48+'(2016-17b)'!H48+'(2016-17c)'!E47+'(2016-17d)'!E47</f>
        <v>4</v>
      </c>
      <c r="F47" s="14">
        <f>'(2016-17b)'!I48+'(2016-17b)'!J48+'(2016-17c)'!F47+'(2016-17d)'!F47</f>
        <v>0</v>
      </c>
      <c r="H47" s="8"/>
      <c r="I47" s="8"/>
      <c r="J47" s="8"/>
      <c r="K47" s="8"/>
    </row>
    <row r="48" spans="1:11" ht="12.75" customHeight="1">
      <c r="A48" s="12">
        <v>78</v>
      </c>
      <c r="B48" s="13" t="s">
        <v>49</v>
      </c>
      <c r="C48" s="14">
        <f>'(2016-17b)'!C49+'(2016-17b)'!D49+'(2016-17c)'!C48+'(2016-17d)'!C48</f>
        <v>43</v>
      </c>
      <c r="D48" s="14">
        <f>'(2016-17b)'!E49+'(2016-17b)'!F49+'(2016-17c)'!D48+'(2016-17d)'!D48</f>
        <v>9</v>
      </c>
      <c r="E48" s="14">
        <f>'(2016-17b)'!G49+'(2016-17b)'!H49+'(2016-17c)'!E48+'(2016-17d)'!E48</f>
        <v>1</v>
      </c>
      <c r="F48" s="14">
        <f>'(2016-17b)'!I49+'(2016-17b)'!J49+'(2016-17c)'!F48+'(2016-17d)'!F48</f>
        <v>0</v>
      </c>
      <c r="H48" s="8"/>
      <c r="I48" s="8"/>
      <c r="J48" s="8"/>
      <c r="K48" s="8"/>
    </row>
    <row r="49" spans="1:11" ht="12.75" customHeight="1">
      <c r="A49" s="12">
        <v>89</v>
      </c>
      <c r="B49" s="13" t="s">
        <v>50</v>
      </c>
      <c r="C49" s="14">
        <f>'(2016-17b)'!C50+'(2016-17b)'!D50+'(2016-17c)'!C49+'(2016-17d)'!C49</f>
        <v>53</v>
      </c>
      <c r="D49" s="14">
        <f>'(2016-17b)'!E50+'(2016-17b)'!F50+'(2016-17c)'!D49+'(2016-17d)'!D49</f>
        <v>6</v>
      </c>
      <c r="E49" s="14">
        <f>'(2016-17b)'!G50+'(2016-17b)'!H50+'(2016-17c)'!E49+'(2016-17d)'!E49</f>
        <v>10</v>
      </c>
      <c r="F49" s="14">
        <f>'(2016-17b)'!I50+'(2016-17b)'!J50+'(2016-17c)'!F49+'(2016-17d)'!F49</f>
        <v>0</v>
      </c>
      <c r="H49" s="8"/>
      <c r="I49" s="8"/>
      <c r="J49" s="8"/>
      <c r="K49" s="8"/>
    </row>
    <row r="50" spans="1:11" ht="12.75" customHeight="1">
      <c r="A50" s="12">
        <v>93</v>
      </c>
      <c r="B50" s="13" t="s">
        <v>51</v>
      </c>
      <c r="C50" s="14">
        <f>'(2016-17b)'!C51+'(2016-17b)'!D51+'(2016-17c)'!C50+'(2016-17d)'!C50</f>
        <v>27</v>
      </c>
      <c r="D50" s="14">
        <f>'(2016-17b)'!E51+'(2016-17b)'!F51+'(2016-17c)'!D50+'(2016-17d)'!D50</f>
        <v>6</v>
      </c>
      <c r="E50" s="14">
        <f>'(2016-17b)'!G51+'(2016-17b)'!H51+'(2016-17c)'!E50+'(2016-17d)'!E50</f>
        <v>0</v>
      </c>
      <c r="F50" s="14">
        <f>'(2016-17b)'!I51+'(2016-17b)'!J51+'(2016-17c)'!F50+'(2016-17d)'!F50</f>
        <v>0</v>
      </c>
      <c r="H50" s="8"/>
      <c r="I50" s="8"/>
      <c r="J50" s="8"/>
      <c r="K50" s="8"/>
    </row>
    <row r="51" spans="1:11" ht="12.75" customHeight="1">
      <c r="A51" s="12">
        <v>95</v>
      </c>
      <c r="B51" s="13" t="s">
        <v>52</v>
      </c>
      <c r="C51" s="14">
        <f>'(2016-17b)'!C52+'(2016-17b)'!D52+'(2016-17c)'!C51+'(2016-17d)'!C51</f>
        <v>99</v>
      </c>
      <c r="D51" s="14">
        <f>'(2016-17b)'!E52+'(2016-17b)'!F52+'(2016-17c)'!D51+'(2016-17d)'!D51</f>
        <v>11</v>
      </c>
      <c r="E51" s="14">
        <f>'(2016-17b)'!G52+'(2016-17b)'!H52+'(2016-17c)'!E51+'(2016-17d)'!E51</f>
        <v>0</v>
      </c>
      <c r="F51" s="14">
        <f>'(2016-17b)'!I52+'(2016-17b)'!J52+'(2016-17c)'!F51+'(2016-17d)'!F51</f>
        <v>0</v>
      </c>
      <c r="H51" s="8"/>
      <c r="I51" s="8"/>
      <c r="J51" s="8"/>
      <c r="K51" s="8"/>
    </row>
    <row r="52" spans="1:11" ht="12.75" customHeight="1">
      <c r="A52" s="12">
        <v>97</v>
      </c>
      <c r="B52" s="13" t="s">
        <v>53</v>
      </c>
      <c r="C52" s="14">
        <f>'(2016-17b)'!C53+'(2016-17b)'!D53+'(2016-17c)'!C52+'(2016-17d)'!C52</f>
        <v>136</v>
      </c>
      <c r="D52" s="14">
        <f>'(2016-17b)'!E53+'(2016-17b)'!F53+'(2016-17c)'!D52+'(2016-17d)'!D52</f>
        <v>21</v>
      </c>
      <c r="E52" s="14">
        <f>'(2016-17b)'!G53+'(2016-17b)'!H53+'(2016-17c)'!E52+'(2016-17d)'!E52</f>
        <v>6</v>
      </c>
      <c r="F52" s="14">
        <f>'(2016-17b)'!I53+'(2016-17b)'!J53+'(2016-17c)'!F52+'(2016-17d)'!F52</f>
        <v>0</v>
      </c>
      <c r="H52" s="8"/>
      <c r="I52" s="8"/>
      <c r="J52" s="8"/>
      <c r="K52" s="8"/>
    </row>
    <row r="53" spans="1:11" ht="12.75" customHeight="1">
      <c r="A53" s="12">
        <v>77</v>
      </c>
      <c r="B53" s="20" t="s">
        <v>54</v>
      </c>
      <c r="C53" s="14">
        <f>'(2016-17b)'!C54+'(2016-17b)'!D54+'(2016-17c)'!C53+'(2016-17d)'!C53</f>
        <v>225</v>
      </c>
      <c r="D53" s="14">
        <f>'(2016-17b)'!E54+'(2016-17b)'!F54+'(2016-17c)'!D53+'(2016-17d)'!D53</f>
        <v>92</v>
      </c>
      <c r="E53" s="14">
        <f>'(2016-17b)'!G54+'(2016-17b)'!H54+'(2016-17c)'!E53+'(2016-17d)'!E53</f>
        <v>48</v>
      </c>
      <c r="F53" s="14">
        <f>'(2016-17b)'!I54+'(2016-17b)'!J54+'(2016-17c)'!F53+'(2016-17d)'!F53</f>
        <v>0</v>
      </c>
      <c r="H53" s="8"/>
      <c r="I53" s="8"/>
      <c r="J53" s="8"/>
      <c r="K53" s="8"/>
    </row>
    <row r="55" spans="1:11" ht="12.75" customHeight="1">
      <c r="B55" s="12" t="s">
        <v>55</v>
      </c>
      <c r="C55" s="22"/>
    </row>
    <row r="56" spans="1:11" ht="12.75" customHeight="1">
      <c r="B56" s="201" t="s">
        <v>56</v>
      </c>
      <c r="C56" s="202"/>
      <c r="D56" s="202"/>
      <c r="E56" s="202"/>
      <c r="F56" s="202"/>
    </row>
    <row r="57" spans="1:11" ht="12.75" customHeight="1">
      <c r="B57" s="202"/>
      <c r="C57" s="202"/>
      <c r="D57" s="202"/>
      <c r="E57" s="202"/>
      <c r="F57" s="202"/>
    </row>
    <row r="58" spans="1:11" ht="12.75" customHeight="1">
      <c r="B58" s="202"/>
      <c r="C58" s="202"/>
      <c r="D58" s="202"/>
      <c r="E58" s="202"/>
      <c r="F58" s="202"/>
    </row>
    <row r="59" spans="1:11" ht="12.75" customHeight="1">
      <c r="B59" s="202"/>
      <c r="C59" s="202"/>
      <c r="D59" s="202"/>
      <c r="E59" s="202"/>
      <c r="F59" s="202"/>
    </row>
    <row r="60" spans="1:11" ht="12.75" customHeight="1">
      <c r="B60" s="202"/>
      <c r="C60" s="202"/>
      <c r="D60" s="202"/>
      <c r="E60" s="202"/>
      <c r="F60" s="202"/>
    </row>
    <row r="61" spans="1:11" ht="12.75" customHeight="1">
      <c r="B61" s="202"/>
      <c r="C61" s="202"/>
      <c r="D61" s="202"/>
      <c r="E61" s="202"/>
      <c r="F61" s="202"/>
    </row>
    <row r="62" spans="1:11" ht="39" customHeight="1">
      <c r="B62" s="202"/>
      <c r="C62" s="202"/>
      <c r="D62" s="202"/>
      <c r="E62" s="202"/>
      <c r="F62" s="202"/>
    </row>
    <row r="63" spans="1:11" ht="12.75" customHeight="1">
      <c r="B63" s="23"/>
      <c r="C63" s="23"/>
      <c r="D63" s="23"/>
      <c r="E63" s="23"/>
      <c r="F63" s="23"/>
    </row>
    <row r="64" spans="1:11" ht="12.75" customHeight="1">
      <c r="B64" s="24" t="s">
        <v>57</v>
      </c>
      <c r="C64" s="25"/>
      <c r="D64" s="25"/>
      <c r="E64" s="25"/>
    </row>
    <row r="65" spans="2:5">
      <c r="B65" s="26"/>
      <c r="C65" s="25"/>
      <c r="D65" s="25"/>
      <c r="E65" s="25"/>
    </row>
    <row r="66" spans="2:5">
      <c r="C66" s="25"/>
      <c r="D66" s="25"/>
      <c r="E66" s="25"/>
    </row>
    <row r="67" spans="2:5">
      <c r="B67" s="27"/>
      <c r="C67" s="25"/>
      <c r="D67" s="25"/>
      <c r="E67" s="25"/>
    </row>
    <row r="68" spans="2:5">
      <c r="C68" s="25"/>
      <c r="D68" s="25"/>
      <c r="E68" s="25"/>
    </row>
  </sheetData>
  <mergeCells count="5">
    <mergeCell ref="B1:F1"/>
    <mergeCell ref="B2:B3"/>
    <mergeCell ref="C2:C3"/>
    <mergeCell ref="D2:E2"/>
    <mergeCell ref="B56:F6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B1:K66"/>
  <sheetViews>
    <sheetView showGridLines="0" zoomScale="85" workbookViewId="0">
      <pane xSplit="2" ySplit="3" topLeftCell="C4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RowHeight="12.75"/>
  <cols>
    <col min="1" max="1" width="9.140625" style="124"/>
    <col min="2" max="2" width="24.7109375" style="124" customWidth="1"/>
    <col min="3" max="3" width="18" style="124" customWidth="1"/>
    <col min="4" max="4" width="18.42578125" style="124" customWidth="1"/>
    <col min="5" max="5" width="13.85546875" style="124" customWidth="1"/>
    <col min="6" max="6" width="14" style="124" customWidth="1"/>
    <col min="7" max="257" width="9.140625" style="124"/>
    <col min="258" max="258" width="24.7109375" style="124" customWidth="1"/>
    <col min="259" max="259" width="18" style="124" customWidth="1"/>
    <col min="260" max="260" width="18.42578125" style="124" customWidth="1"/>
    <col min="261" max="261" width="13.85546875" style="124" customWidth="1"/>
    <col min="262" max="262" width="14" style="124" customWidth="1"/>
    <col min="263" max="513" width="9.140625" style="124"/>
    <col min="514" max="514" width="24.7109375" style="124" customWidth="1"/>
    <col min="515" max="515" width="18" style="124" customWidth="1"/>
    <col min="516" max="516" width="18.42578125" style="124" customWidth="1"/>
    <col min="517" max="517" width="13.85546875" style="124" customWidth="1"/>
    <col min="518" max="518" width="14" style="124" customWidth="1"/>
    <col min="519" max="769" width="9.140625" style="124"/>
    <col min="770" max="770" width="24.7109375" style="124" customWidth="1"/>
    <col min="771" max="771" width="18" style="124" customWidth="1"/>
    <col min="772" max="772" width="18.42578125" style="124" customWidth="1"/>
    <col min="773" max="773" width="13.85546875" style="124" customWidth="1"/>
    <col min="774" max="774" width="14" style="124" customWidth="1"/>
    <col min="775" max="1025" width="9.140625" style="124"/>
    <col min="1026" max="1026" width="24.7109375" style="124" customWidth="1"/>
    <col min="1027" max="1027" width="18" style="124" customWidth="1"/>
    <col min="1028" max="1028" width="18.42578125" style="124" customWidth="1"/>
    <col min="1029" max="1029" width="13.85546875" style="124" customWidth="1"/>
    <col min="1030" max="1030" width="14" style="124" customWidth="1"/>
    <col min="1031" max="1281" width="9.140625" style="124"/>
    <col min="1282" max="1282" width="24.7109375" style="124" customWidth="1"/>
    <col min="1283" max="1283" width="18" style="124" customWidth="1"/>
    <col min="1284" max="1284" width="18.42578125" style="124" customWidth="1"/>
    <col min="1285" max="1285" width="13.85546875" style="124" customWidth="1"/>
    <col min="1286" max="1286" width="14" style="124" customWidth="1"/>
    <col min="1287" max="1537" width="9.140625" style="124"/>
    <col min="1538" max="1538" width="24.7109375" style="124" customWidth="1"/>
    <col min="1539" max="1539" width="18" style="124" customWidth="1"/>
    <col min="1540" max="1540" width="18.42578125" style="124" customWidth="1"/>
    <col min="1541" max="1541" width="13.85546875" style="124" customWidth="1"/>
    <col min="1542" max="1542" width="14" style="124" customWidth="1"/>
    <col min="1543" max="1793" width="9.140625" style="124"/>
    <col min="1794" max="1794" width="24.7109375" style="124" customWidth="1"/>
    <col min="1795" max="1795" width="18" style="124" customWidth="1"/>
    <col min="1796" max="1796" width="18.42578125" style="124" customWidth="1"/>
    <col min="1797" max="1797" width="13.85546875" style="124" customWidth="1"/>
    <col min="1798" max="1798" width="14" style="124" customWidth="1"/>
    <col min="1799" max="2049" width="9.140625" style="124"/>
    <col min="2050" max="2050" width="24.7109375" style="124" customWidth="1"/>
    <col min="2051" max="2051" width="18" style="124" customWidth="1"/>
    <col min="2052" max="2052" width="18.42578125" style="124" customWidth="1"/>
    <col min="2053" max="2053" width="13.85546875" style="124" customWidth="1"/>
    <col min="2054" max="2054" width="14" style="124" customWidth="1"/>
    <col min="2055" max="2305" width="9.140625" style="124"/>
    <col min="2306" max="2306" width="24.7109375" style="124" customWidth="1"/>
    <col min="2307" max="2307" width="18" style="124" customWidth="1"/>
    <col min="2308" max="2308" width="18.42578125" style="124" customWidth="1"/>
    <col min="2309" max="2309" width="13.85546875" style="124" customWidth="1"/>
    <col min="2310" max="2310" width="14" style="124" customWidth="1"/>
    <col min="2311" max="2561" width="9.140625" style="124"/>
    <col min="2562" max="2562" width="24.7109375" style="124" customWidth="1"/>
    <col min="2563" max="2563" width="18" style="124" customWidth="1"/>
    <col min="2564" max="2564" width="18.42578125" style="124" customWidth="1"/>
    <col min="2565" max="2565" width="13.85546875" style="124" customWidth="1"/>
    <col min="2566" max="2566" width="14" style="124" customWidth="1"/>
    <col min="2567" max="2817" width="9.140625" style="124"/>
    <col min="2818" max="2818" width="24.7109375" style="124" customWidth="1"/>
    <col min="2819" max="2819" width="18" style="124" customWidth="1"/>
    <col min="2820" max="2820" width="18.42578125" style="124" customWidth="1"/>
    <col min="2821" max="2821" width="13.85546875" style="124" customWidth="1"/>
    <col min="2822" max="2822" width="14" style="124" customWidth="1"/>
    <col min="2823" max="3073" width="9.140625" style="124"/>
    <col min="3074" max="3074" width="24.7109375" style="124" customWidth="1"/>
    <col min="3075" max="3075" width="18" style="124" customWidth="1"/>
    <col min="3076" max="3076" width="18.42578125" style="124" customWidth="1"/>
    <col min="3077" max="3077" width="13.85546875" style="124" customWidth="1"/>
    <col min="3078" max="3078" width="14" style="124" customWidth="1"/>
    <col min="3079" max="3329" width="9.140625" style="124"/>
    <col min="3330" max="3330" width="24.7109375" style="124" customWidth="1"/>
    <col min="3331" max="3331" width="18" style="124" customWidth="1"/>
    <col min="3332" max="3332" width="18.42578125" style="124" customWidth="1"/>
    <col min="3333" max="3333" width="13.85546875" style="124" customWidth="1"/>
    <col min="3334" max="3334" width="14" style="124" customWidth="1"/>
    <col min="3335" max="3585" width="9.140625" style="124"/>
    <col min="3586" max="3586" width="24.7109375" style="124" customWidth="1"/>
    <col min="3587" max="3587" width="18" style="124" customWidth="1"/>
    <col min="3588" max="3588" width="18.42578125" style="124" customWidth="1"/>
    <col min="3589" max="3589" width="13.85546875" style="124" customWidth="1"/>
    <col min="3590" max="3590" width="14" style="124" customWidth="1"/>
    <col min="3591" max="3841" width="9.140625" style="124"/>
    <col min="3842" max="3842" width="24.7109375" style="124" customWidth="1"/>
    <col min="3843" max="3843" width="18" style="124" customWidth="1"/>
    <col min="3844" max="3844" width="18.42578125" style="124" customWidth="1"/>
    <col min="3845" max="3845" width="13.85546875" style="124" customWidth="1"/>
    <col min="3846" max="3846" width="14" style="124" customWidth="1"/>
    <col min="3847" max="4097" width="9.140625" style="124"/>
    <col min="4098" max="4098" width="24.7109375" style="124" customWidth="1"/>
    <col min="4099" max="4099" width="18" style="124" customWidth="1"/>
    <col min="4100" max="4100" width="18.42578125" style="124" customWidth="1"/>
    <col min="4101" max="4101" width="13.85546875" style="124" customWidth="1"/>
    <col min="4102" max="4102" width="14" style="124" customWidth="1"/>
    <col min="4103" max="4353" width="9.140625" style="124"/>
    <col min="4354" max="4354" width="24.7109375" style="124" customWidth="1"/>
    <col min="4355" max="4355" width="18" style="124" customWidth="1"/>
    <col min="4356" max="4356" width="18.42578125" style="124" customWidth="1"/>
    <col min="4357" max="4357" width="13.85546875" style="124" customWidth="1"/>
    <col min="4358" max="4358" width="14" style="124" customWidth="1"/>
    <col min="4359" max="4609" width="9.140625" style="124"/>
    <col min="4610" max="4610" width="24.7109375" style="124" customWidth="1"/>
    <col min="4611" max="4611" width="18" style="124" customWidth="1"/>
    <col min="4612" max="4612" width="18.42578125" style="124" customWidth="1"/>
    <col min="4613" max="4613" width="13.85546875" style="124" customWidth="1"/>
    <col min="4614" max="4614" width="14" style="124" customWidth="1"/>
    <col min="4615" max="4865" width="9.140625" style="124"/>
    <col min="4866" max="4866" width="24.7109375" style="124" customWidth="1"/>
    <col min="4867" max="4867" width="18" style="124" customWidth="1"/>
    <col min="4868" max="4868" width="18.42578125" style="124" customWidth="1"/>
    <col min="4869" max="4869" width="13.85546875" style="124" customWidth="1"/>
    <col min="4870" max="4870" width="14" style="124" customWidth="1"/>
    <col min="4871" max="5121" width="9.140625" style="124"/>
    <col min="5122" max="5122" width="24.7109375" style="124" customWidth="1"/>
    <col min="5123" max="5123" width="18" style="124" customWidth="1"/>
    <col min="5124" max="5124" width="18.42578125" style="124" customWidth="1"/>
    <col min="5125" max="5125" width="13.85546875" style="124" customWidth="1"/>
    <col min="5126" max="5126" width="14" style="124" customWidth="1"/>
    <col min="5127" max="5377" width="9.140625" style="124"/>
    <col min="5378" max="5378" width="24.7109375" style="124" customWidth="1"/>
    <col min="5379" max="5379" width="18" style="124" customWidth="1"/>
    <col min="5380" max="5380" width="18.42578125" style="124" customWidth="1"/>
    <col min="5381" max="5381" width="13.85546875" style="124" customWidth="1"/>
    <col min="5382" max="5382" width="14" style="124" customWidth="1"/>
    <col min="5383" max="5633" width="9.140625" style="124"/>
    <col min="5634" max="5634" width="24.7109375" style="124" customWidth="1"/>
    <col min="5635" max="5635" width="18" style="124" customWidth="1"/>
    <col min="5636" max="5636" width="18.42578125" style="124" customWidth="1"/>
    <col min="5637" max="5637" width="13.85546875" style="124" customWidth="1"/>
    <col min="5638" max="5638" width="14" style="124" customWidth="1"/>
    <col min="5639" max="5889" width="9.140625" style="124"/>
    <col min="5890" max="5890" width="24.7109375" style="124" customWidth="1"/>
    <col min="5891" max="5891" width="18" style="124" customWidth="1"/>
    <col min="5892" max="5892" width="18.42578125" style="124" customWidth="1"/>
    <col min="5893" max="5893" width="13.85546875" style="124" customWidth="1"/>
    <col min="5894" max="5894" width="14" style="124" customWidth="1"/>
    <col min="5895" max="6145" width="9.140625" style="124"/>
    <col min="6146" max="6146" width="24.7109375" style="124" customWidth="1"/>
    <col min="6147" max="6147" width="18" style="124" customWidth="1"/>
    <col min="6148" max="6148" width="18.42578125" style="124" customWidth="1"/>
    <col min="6149" max="6149" width="13.85546875" style="124" customWidth="1"/>
    <col min="6150" max="6150" width="14" style="124" customWidth="1"/>
    <col min="6151" max="6401" width="9.140625" style="124"/>
    <col min="6402" max="6402" width="24.7109375" style="124" customWidth="1"/>
    <col min="6403" max="6403" width="18" style="124" customWidth="1"/>
    <col min="6404" max="6404" width="18.42578125" style="124" customWidth="1"/>
    <col min="6405" max="6405" width="13.85546875" style="124" customWidth="1"/>
    <col min="6406" max="6406" width="14" style="124" customWidth="1"/>
    <col min="6407" max="6657" width="9.140625" style="124"/>
    <col min="6658" max="6658" width="24.7109375" style="124" customWidth="1"/>
    <col min="6659" max="6659" width="18" style="124" customWidth="1"/>
    <col min="6660" max="6660" width="18.42578125" style="124" customWidth="1"/>
    <col min="6661" max="6661" width="13.85546875" style="124" customWidth="1"/>
    <col min="6662" max="6662" width="14" style="124" customWidth="1"/>
    <col min="6663" max="6913" width="9.140625" style="124"/>
    <col min="6914" max="6914" width="24.7109375" style="124" customWidth="1"/>
    <col min="6915" max="6915" width="18" style="124" customWidth="1"/>
    <col min="6916" max="6916" width="18.42578125" style="124" customWidth="1"/>
    <col min="6917" max="6917" width="13.85546875" style="124" customWidth="1"/>
    <col min="6918" max="6918" width="14" style="124" customWidth="1"/>
    <col min="6919" max="7169" width="9.140625" style="124"/>
    <col min="7170" max="7170" width="24.7109375" style="124" customWidth="1"/>
    <col min="7171" max="7171" width="18" style="124" customWidth="1"/>
    <col min="7172" max="7172" width="18.42578125" style="124" customWidth="1"/>
    <col min="7173" max="7173" width="13.85546875" style="124" customWidth="1"/>
    <col min="7174" max="7174" width="14" style="124" customWidth="1"/>
    <col min="7175" max="7425" width="9.140625" style="124"/>
    <col min="7426" max="7426" width="24.7109375" style="124" customWidth="1"/>
    <col min="7427" max="7427" width="18" style="124" customWidth="1"/>
    <col min="7428" max="7428" width="18.42578125" style="124" customWidth="1"/>
    <col min="7429" max="7429" width="13.85546875" style="124" customWidth="1"/>
    <col min="7430" max="7430" width="14" style="124" customWidth="1"/>
    <col min="7431" max="7681" width="9.140625" style="124"/>
    <col min="7682" max="7682" width="24.7109375" style="124" customWidth="1"/>
    <col min="7683" max="7683" width="18" style="124" customWidth="1"/>
    <col min="7684" max="7684" width="18.42578125" style="124" customWidth="1"/>
    <col min="7685" max="7685" width="13.85546875" style="124" customWidth="1"/>
    <col min="7686" max="7686" width="14" style="124" customWidth="1"/>
    <col min="7687" max="7937" width="9.140625" style="124"/>
    <col min="7938" max="7938" width="24.7109375" style="124" customWidth="1"/>
    <col min="7939" max="7939" width="18" style="124" customWidth="1"/>
    <col min="7940" max="7940" width="18.42578125" style="124" customWidth="1"/>
    <col min="7941" max="7941" width="13.85546875" style="124" customWidth="1"/>
    <col min="7942" max="7942" width="14" style="124" customWidth="1"/>
    <col min="7943" max="8193" width="9.140625" style="124"/>
    <col min="8194" max="8194" width="24.7109375" style="124" customWidth="1"/>
    <col min="8195" max="8195" width="18" style="124" customWidth="1"/>
    <col min="8196" max="8196" width="18.42578125" style="124" customWidth="1"/>
    <col min="8197" max="8197" width="13.85546875" style="124" customWidth="1"/>
    <col min="8198" max="8198" width="14" style="124" customWidth="1"/>
    <col min="8199" max="8449" width="9.140625" style="124"/>
    <col min="8450" max="8450" width="24.7109375" style="124" customWidth="1"/>
    <col min="8451" max="8451" width="18" style="124" customWidth="1"/>
    <col min="8452" max="8452" width="18.42578125" style="124" customWidth="1"/>
    <col min="8453" max="8453" width="13.85546875" style="124" customWidth="1"/>
    <col min="8454" max="8454" width="14" style="124" customWidth="1"/>
    <col min="8455" max="8705" width="9.140625" style="124"/>
    <col min="8706" max="8706" width="24.7109375" style="124" customWidth="1"/>
    <col min="8707" max="8707" width="18" style="124" customWidth="1"/>
    <col min="8708" max="8708" width="18.42578125" style="124" customWidth="1"/>
    <col min="8709" max="8709" width="13.85546875" style="124" customWidth="1"/>
    <col min="8710" max="8710" width="14" style="124" customWidth="1"/>
    <col min="8711" max="8961" width="9.140625" style="124"/>
    <col min="8962" max="8962" width="24.7109375" style="124" customWidth="1"/>
    <col min="8963" max="8963" width="18" style="124" customWidth="1"/>
    <col min="8964" max="8964" width="18.42578125" style="124" customWidth="1"/>
    <col min="8965" max="8965" width="13.85546875" style="124" customWidth="1"/>
    <col min="8966" max="8966" width="14" style="124" customWidth="1"/>
    <col min="8967" max="9217" width="9.140625" style="124"/>
    <col min="9218" max="9218" width="24.7109375" style="124" customWidth="1"/>
    <col min="9219" max="9219" width="18" style="124" customWidth="1"/>
    <col min="9220" max="9220" width="18.42578125" style="124" customWidth="1"/>
    <col min="9221" max="9221" width="13.85546875" style="124" customWidth="1"/>
    <col min="9222" max="9222" width="14" style="124" customWidth="1"/>
    <col min="9223" max="9473" width="9.140625" style="124"/>
    <col min="9474" max="9474" width="24.7109375" style="124" customWidth="1"/>
    <col min="9475" max="9475" width="18" style="124" customWidth="1"/>
    <col min="9476" max="9476" width="18.42578125" style="124" customWidth="1"/>
    <col min="9477" max="9477" width="13.85546875" style="124" customWidth="1"/>
    <col min="9478" max="9478" width="14" style="124" customWidth="1"/>
    <col min="9479" max="9729" width="9.140625" style="124"/>
    <col min="9730" max="9730" width="24.7109375" style="124" customWidth="1"/>
    <col min="9731" max="9731" width="18" style="124" customWidth="1"/>
    <col min="9732" max="9732" width="18.42578125" style="124" customWidth="1"/>
    <col min="9733" max="9733" width="13.85546875" style="124" customWidth="1"/>
    <col min="9734" max="9734" width="14" style="124" customWidth="1"/>
    <col min="9735" max="9985" width="9.140625" style="124"/>
    <col min="9986" max="9986" width="24.7109375" style="124" customWidth="1"/>
    <col min="9987" max="9987" width="18" style="124" customWidth="1"/>
    <col min="9988" max="9988" width="18.42578125" style="124" customWidth="1"/>
    <col min="9989" max="9989" width="13.85546875" style="124" customWidth="1"/>
    <col min="9990" max="9990" width="14" style="124" customWidth="1"/>
    <col min="9991" max="10241" width="9.140625" style="124"/>
    <col min="10242" max="10242" width="24.7109375" style="124" customWidth="1"/>
    <col min="10243" max="10243" width="18" style="124" customWidth="1"/>
    <col min="10244" max="10244" width="18.42578125" style="124" customWidth="1"/>
    <col min="10245" max="10245" width="13.85546875" style="124" customWidth="1"/>
    <col min="10246" max="10246" width="14" style="124" customWidth="1"/>
    <col min="10247" max="10497" width="9.140625" style="124"/>
    <col min="10498" max="10498" width="24.7109375" style="124" customWidth="1"/>
    <col min="10499" max="10499" width="18" style="124" customWidth="1"/>
    <col min="10500" max="10500" width="18.42578125" style="124" customWidth="1"/>
    <col min="10501" max="10501" width="13.85546875" style="124" customWidth="1"/>
    <col min="10502" max="10502" width="14" style="124" customWidth="1"/>
    <col min="10503" max="10753" width="9.140625" style="124"/>
    <col min="10754" max="10754" width="24.7109375" style="124" customWidth="1"/>
    <col min="10755" max="10755" width="18" style="124" customWidth="1"/>
    <col min="10756" max="10756" width="18.42578125" style="124" customWidth="1"/>
    <col min="10757" max="10757" width="13.85546875" style="124" customWidth="1"/>
    <col min="10758" max="10758" width="14" style="124" customWidth="1"/>
    <col min="10759" max="11009" width="9.140625" style="124"/>
    <col min="11010" max="11010" width="24.7109375" style="124" customWidth="1"/>
    <col min="11011" max="11011" width="18" style="124" customWidth="1"/>
    <col min="11012" max="11012" width="18.42578125" style="124" customWidth="1"/>
    <col min="11013" max="11013" width="13.85546875" style="124" customWidth="1"/>
    <col min="11014" max="11014" width="14" style="124" customWidth="1"/>
    <col min="11015" max="11265" width="9.140625" style="124"/>
    <col min="11266" max="11266" width="24.7109375" style="124" customWidth="1"/>
    <col min="11267" max="11267" width="18" style="124" customWidth="1"/>
    <col min="11268" max="11268" width="18.42578125" style="124" customWidth="1"/>
    <col min="11269" max="11269" width="13.85546875" style="124" customWidth="1"/>
    <col min="11270" max="11270" width="14" style="124" customWidth="1"/>
    <col min="11271" max="11521" width="9.140625" style="124"/>
    <col min="11522" max="11522" width="24.7109375" style="124" customWidth="1"/>
    <col min="11523" max="11523" width="18" style="124" customWidth="1"/>
    <col min="11524" max="11524" width="18.42578125" style="124" customWidth="1"/>
    <col min="11525" max="11525" width="13.85546875" style="124" customWidth="1"/>
    <col min="11526" max="11526" width="14" style="124" customWidth="1"/>
    <col min="11527" max="11777" width="9.140625" style="124"/>
    <col min="11778" max="11778" width="24.7109375" style="124" customWidth="1"/>
    <col min="11779" max="11779" width="18" style="124" customWidth="1"/>
    <col min="11780" max="11780" width="18.42578125" style="124" customWidth="1"/>
    <col min="11781" max="11781" width="13.85546875" style="124" customWidth="1"/>
    <col min="11782" max="11782" width="14" style="124" customWidth="1"/>
    <col min="11783" max="12033" width="9.140625" style="124"/>
    <col min="12034" max="12034" width="24.7109375" style="124" customWidth="1"/>
    <col min="12035" max="12035" width="18" style="124" customWidth="1"/>
    <col min="12036" max="12036" width="18.42578125" style="124" customWidth="1"/>
    <col min="12037" max="12037" width="13.85546875" style="124" customWidth="1"/>
    <col min="12038" max="12038" width="14" style="124" customWidth="1"/>
    <col min="12039" max="12289" width="9.140625" style="124"/>
    <col min="12290" max="12290" width="24.7109375" style="124" customWidth="1"/>
    <col min="12291" max="12291" width="18" style="124" customWidth="1"/>
    <col min="12292" max="12292" width="18.42578125" style="124" customWidth="1"/>
    <col min="12293" max="12293" width="13.85546875" style="124" customWidth="1"/>
    <col min="12294" max="12294" width="14" style="124" customWidth="1"/>
    <col min="12295" max="12545" width="9.140625" style="124"/>
    <col min="12546" max="12546" width="24.7109375" style="124" customWidth="1"/>
    <col min="12547" max="12547" width="18" style="124" customWidth="1"/>
    <col min="12548" max="12548" width="18.42578125" style="124" customWidth="1"/>
    <col min="12549" max="12549" width="13.85546875" style="124" customWidth="1"/>
    <col min="12550" max="12550" width="14" style="124" customWidth="1"/>
    <col min="12551" max="12801" width="9.140625" style="124"/>
    <col min="12802" max="12802" width="24.7109375" style="124" customWidth="1"/>
    <col min="12803" max="12803" width="18" style="124" customWidth="1"/>
    <col min="12804" max="12804" width="18.42578125" style="124" customWidth="1"/>
    <col min="12805" max="12805" width="13.85546875" style="124" customWidth="1"/>
    <col min="12806" max="12806" width="14" style="124" customWidth="1"/>
    <col min="12807" max="13057" width="9.140625" style="124"/>
    <col min="13058" max="13058" width="24.7109375" style="124" customWidth="1"/>
    <col min="13059" max="13059" width="18" style="124" customWidth="1"/>
    <col min="13060" max="13060" width="18.42578125" style="124" customWidth="1"/>
    <col min="13061" max="13061" width="13.85546875" style="124" customWidth="1"/>
    <col min="13062" max="13062" width="14" style="124" customWidth="1"/>
    <col min="13063" max="13313" width="9.140625" style="124"/>
    <col min="13314" max="13314" width="24.7109375" style="124" customWidth="1"/>
    <col min="13315" max="13315" width="18" style="124" customWidth="1"/>
    <col min="13316" max="13316" width="18.42578125" style="124" customWidth="1"/>
    <col min="13317" max="13317" width="13.85546875" style="124" customWidth="1"/>
    <col min="13318" max="13318" width="14" style="124" customWidth="1"/>
    <col min="13319" max="13569" width="9.140625" style="124"/>
    <col min="13570" max="13570" width="24.7109375" style="124" customWidth="1"/>
    <col min="13571" max="13571" width="18" style="124" customWidth="1"/>
    <col min="13572" max="13572" width="18.42578125" style="124" customWidth="1"/>
    <col min="13573" max="13573" width="13.85546875" style="124" customWidth="1"/>
    <col min="13574" max="13574" width="14" style="124" customWidth="1"/>
    <col min="13575" max="13825" width="9.140625" style="124"/>
    <col min="13826" max="13826" width="24.7109375" style="124" customWidth="1"/>
    <col min="13827" max="13827" width="18" style="124" customWidth="1"/>
    <col min="13828" max="13828" width="18.42578125" style="124" customWidth="1"/>
    <col min="13829" max="13829" width="13.85546875" style="124" customWidth="1"/>
    <col min="13830" max="13830" width="14" style="124" customWidth="1"/>
    <col min="13831" max="14081" width="9.140625" style="124"/>
    <col min="14082" max="14082" width="24.7109375" style="124" customWidth="1"/>
    <col min="14083" max="14083" width="18" style="124" customWidth="1"/>
    <col min="14084" max="14084" width="18.42578125" style="124" customWidth="1"/>
    <col min="14085" max="14085" width="13.85546875" style="124" customWidth="1"/>
    <col min="14086" max="14086" width="14" style="124" customWidth="1"/>
    <col min="14087" max="14337" width="9.140625" style="124"/>
    <col min="14338" max="14338" width="24.7109375" style="124" customWidth="1"/>
    <col min="14339" max="14339" width="18" style="124" customWidth="1"/>
    <col min="14340" max="14340" width="18.42578125" style="124" customWidth="1"/>
    <col min="14341" max="14341" width="13.85546875" style="124" customWidth="1"/>
    <col min="14342" max="14342" width="14" style="124" customWidth="1"/>
    <col min="14343" max="14593" width="9.140625" style="124"/>
    <col min="14594" max="14594" width="24.7109375" style="124" customWidth="1"/>
    <col min="14595" max="14595" width="18" style="124" customWidth="1"/>
    <col min="14596" max="14596" width="18.42578125" style="124" customWidth="1"/>
    <col min="14597" max="14597" width="13.85546875" style="124" customWidth="1"/>
    <col min="14598" max="14598" width="14" style="124" customWidth="1"/>
    <col min="14599" max="14849" width="9.140625" style="124"/>
    <col min="14850" max="14850" width="24.7109375" style="124" customWidth="1"/>
    <col min="14851" max="14851" width="18" style="124" customWidth="1"/>
    <col min="14852" max="14852" width="18.42578125" style="124" customWidth="1"/>
    <col min="14853" max="14853" width="13.85546875" style="124" customWidth="1"/>
    <col min="14854" max="14854" width="14" style="124" customWidth="1"/>
    <col min="14855" max="15105" width="9.140625" style="124"/>
    <col min="15106" max="15106" width="24.7109375" style="124" customWidth="1"/>
    <col min="15107" max="15107" width="18" style="124" customWidth="1"/>
    <col min="15108" max="15108" width="18.42578125" style="124" customWidth="1"/>
    <col min="15109" max="15109" width="13.85546875" style="124" customWidth="1"/>
    <col min="15110" max="15110" width="14" style="124" customWidth="1"/>
    <col min="15111" max="15361" width="9.140625" style="124"/>
    <col min="15362" max="15362" width="24.7109375" style="124" customWidth="1"/>
    <col min="15363" max="15363" width="18" style="124" customWidth="1"/>
    <col min="15364" max="15364" width="18.42578125" style="124" customWidth="1"/>
    <col min="15365" max="15365" width="13.85546875" style="124" customWidth="1"/>
    <col min="15366" max="15366" width="14" style="124" customWidth="1"/>
    <col min="15367" max="15617" width="9.140625" style="124"/>
    <col min="15618" max="15618" width="24.7109375" style="124" customWidth="1"/>
    <col min="15619" max="15619" width="18" style="124" customWidth="1"/>
    <col min="15620" max="15620" width="18.42578125" style="124" customWidth="1"/>
    <col min="15621" max="15621" width="13.85546875" style="124" customWidth="1"/>
    <col min="15622" max="15622" width="14" style="124" customWidth="1"/>
    <col min="15623" max="15873" width="9.140625" style="124"/>
    <col min="15874" max="15874" width="24.7109375" style="124" customWidth="1"/>
    <col min="15875" max="15875" width="18" style="124" customWidth="1"/>
    <col min="15876" max="15876" width="18.42578125" style="124" customWidth="1"/>
    <col min="15877" max="15877" width="13.85546875" style="124" customWidth="1"/>
    <col min="15878" max="15878" width="14" style="124" customWidth="1"/>
    <col min="15879" max="16129" width="9.140625" style="124"/>
    <col min="16130" max="16130" width="24.7109375" style="124" customWidth="1"/>
    <col min="16131" max="16131" width="18" style="124" customWidth="1"/>
    <col min="16132" max="16132" width="18.42578125" style="124" customWidth="1"/>
    <col min="16133" max="16133" width="13.85546875" style="124" customWidth="1"/>
    <col min="16134" max="16134" width="14" style="124" customWidth="1"/>
    <col min="16135" max="16384" width="9.140625" style="124"/>
  </cols>
  <sheetData>
    <row r="1" spans="2:6" ht="48.75" customHeight="1">
      <c r="B1" s="196" t="s">
        <v>117</v>
      </c>
      <c r="C1" s="196"/>
      <c r="D1" s="196"/>
      <c r="E1" s="196"/>
      <c r="F1" s="196"/>
    </row>
    <row r="2" spans="2:6" ht="15.75" customHeight="1">
      <c r="B2" s="197"/>
      <c r="C2" s="207" t="s">
        <v>1</v>
      </c>
      <c r="D2" s="204" t="s">
        <v>2</v>
      </c>
      <c r="E2" s="204"/>
      <c r="F2" s="207" t="s">
        <v>5</v>
      </c>
    </row>
    <row r="3" spans="2:6" ht="34.5" customHeight="1">
      <c r="B3" s="197"/>
      <c r="C3" s="199"/>
      <c r="D3" s="145" t="s">
        <v>3</v>
      </c>
      <c r="E3" s="145" t="s">
        <v>108</v>
      </c>
      <c r="F3" s="199"/>
    </row>
    <row r="4" spans="2:6" ht="23.25" customHeight="1">
      <c r="B4" s="129" t="s">
        <v>6</v>
      </c>
      <c r="C4" s="161">
        <v>1348</v>
      </c>
      <c r="D4" s="161">
        <v>287</v>
      </c>
      <c r="E4" s="161">
        <v>29</v>
      </c>
      <c r="F4" s="161">
        <v>1</v>
      </c>
    </row>
    <row r="5" spans="2:6" s="129" customFormat="1" ht="25.5" customHeight="1">
      <c r="B5" s="129" t="s">
        <v>7</v>
      </c>
      <c r="C5" s="170">
        <v>1014</v>
      </c>
      <c r="D5" s="170">
        <v>217</v>
      </c>
      <c r="E5" s="170">
        <v>26</v>
      </c>
      <c r="F5" s="170">
        <v>1</v>
      </c>
    </row>
    <row r="6" spans="2:6">
      <c r="B6" s="124" t="s">
        <v>8</v>
      </c>
      <c r="C6" s="141">
        <v>54</v>
      </c>
      <c r="D6" s="141">
        <v>7</v>
      </c>
      <c r="E6" s="141">
        <v>0</v>
      </c>
      <c r="F6" s="141">
        <v>0</v>
      </c>
    </row>
    <row r="7" spans="2:6">
      <c r="B7" s="124" t="s">
        <v>9</v>
      </c>
      <c r="C7" s="141">
        <v>79</v>
      </c>
      <c r="D7" s="141">
        <v>20</v>
      </c>
      <c r="E7" s="141">
        <v>0</v>
      </c>
      <c r="F7" s="141">
        <v>0</v>
      </c>
    </row>
    <row r="8" spans="2:6">
      <c r="B8" s="124" t="s">
        <v>10</v>
      </c>
      <c r="C8" s="141">
        <v>20</v>
      </c>
      <c r="D8" s="150">
        <v>7</v>
      </c>
      <c r="E8" s="150">
        <v>1</v>
      </c>
      <c r="F8" s="141">
        <v>1</v>
      </c>
    </row>
    <row r="9" spans="2:6">
      <c r="B9" s="124" t="s">
        <v>11</v>
      </c>
      <c r="C9" s="141">
        <v>18</v>
      </c>
      <c r="D9" s="141">
        <v>1</v>
      </c>
      <c r="E9" s="141">
        <v>0</v>
      </c>
      <c r="F9" s="141">
        <v>0</v>
      </c>
    </row>
    <row r="10" spans="2:6">
      <c r="B10" s="124" t="s">
        <v>12</v>
      </c>
      <c r="C10" s="141">
        <v>39</v>
      </c>
      <c r="D10" s="141">
        <v>7</v>
      </c>
      <c r="E10" s="141">
        <v>0</v>
      </c>
      <c r="F10" s="141">
        <v>0</v>
      </c>
    </row>
    <row r="11" spans="2:6">
      <c r="B11" s="124" t="s">
        <v>13</v>
      </c>
      <c r="C11" s="141">
        <v>2</v>
      </c>
      <c r="D11" s="141">
        <v>0</v>
      </c>
      <c r="E11" s="141">
        <v>0</v>
      </c>
      <c r="F11" s="141">
        <v>0</v>
      </c>
    </row>
    <row r="12" spans="2:6">
      <c r="B12" s="124" t="s">
        <v>14</v>
      </c>
      <c r="C12" s="141">
        <v>5</v>
      </c>
      <c r="D12" s="141">
        <v>2</v>
      </c>
      <c r="E12" s="141">
        <v>0</v>
      </c>
      <c r="F12" s="141">
        <v>0</v>
      </c>
    </row>
    <row r="13" spans="2:6">
      <c r="B13" s="124" t="s">
        <v>15</v>
      </c>
      <c r="C13" s="141">
        <v>31</v>
      </c>
      <c r="D13" s="141">
        <v>9</v>
      </c>
      <c r="E13" s="141">
        <v>0</v>
      </c>
      <c r="F13" s="141">
        <v>0</v>
      </c>
    </row>
    <row r="14" spans="2:6">
      <c r="B14" s="124" t="s">
        <v>16</v>
      </c>
      <c r="C14" s="141">
        <v>4</v>
      </c>
      <c r="D14" s="141">
        <v>1</v>
      </c>
      <c r="E14" s="141">
        <v>0</v>
      </c>
      <c r="F14" s="141">
        <v>0</v>
      </c>
    </row>
    <row r="15" spans="2:6">
      <c r="B15" s="124" t="s">
        <v>17</v>
      </c>
      <c r="C15" s="141">
        <v>19</v>
      </c>
      <c r="D15" s="141">
        <v>3</v>
      </c>
      <c r="E15" s="141">
        <v>0</v>
      </c>
      <c r="F15" s="141">
        <v>0</v>
      </c>
    </row>
    <row r="16" spans="2:6">
      <c r="B16" s="151" t="s">
        <v>18</v>
      </c>
      <c r="C16" s="141">
        <v>75</v>
      </c>
      <c r="D16" s="141">
        <v>10</v>
      </c>
      <c r="E16" s="141">
        <v>0</v>
      </c>
      <c r="F16" s="141">
        <v>0</v>
      </c>
    </row>
    <row r="17" spans="2:6" s="184" customFormat="1">
      <c r="B17" s="132" t="s">
        <v>125</v>
      </c>
      <c r="C17" s="165" t="s">
        <v>126</v>
      </c>
      <c r="D17" s="165" t="s">
        <v>126</v>
      </c>
      <c r="E17" s="165" t="s">
        <v>126</v>
      </c>
      <c r="F17" s="165" t="s">
        <v>126</v>
      </c>
    </row>
    <row r="18" spans="2:6">
      <c r="B18" s="124" t="s">
        <v>19</v>
      </c>
      <c r="C18" s="141">
        <v>23</v>
      </c>
      <c r="D18" s="141">
        <v>1</v>
      </c>
      <c r="E18" s="141">
        <v>0</v>
      </c>
      <c r="F18" s="141">
        <v>0</v>
      </c>
    </row>
    <row r="19" spans="2:6">
      <c r="B19" s="124" t="s">
        <v>20</v>
      </c>
      <c r="C19" s="141">
        <v>3</v>
      </c>
      <c r="D19" s="141">
        <v>0</v>
      </c>
      <c r="E19" s="141">
        <v>0</v>
      </c>
      <c r="F19" s="141">
        <v>0</v>
      </c>
    </row>
    <row r="20" spans="2:6">
      <c r="B20" s="124" t="s">
        <v>21</v>
      </c>
      <c r="C20" s="141">
        <v>32</v>
      </c>
      <c r="D20" s="141">
        <v>3</v>
      </c>
      <c r="E20" s="141">
        <v>1</v>
      </c>
      <c r="F20" s="141">
        <v>0</v>
      </c>
    </row>
    <row r="21" spans="2:6">
      <c r="B21" s="124" t="s">
        <v>22</v>
      </c>
      <c r="C21" s="141">
        <v>46</v>
      </c>
      <c r="D21" s="141">
        <v>12</v>
      </c>
      <c r="E21" s="141">
        <v>1</v>
      </c>
      <c r="F21" s="141">
        <v>0</v>
      </c>
    </row>
    <row r="22" spans="2:6">
      <c r="B22" s="124" t="s">
        <v>23</v>
      </c>
      <c r="C22" s="141">
        <v>41</v>
      </c>
      <c r="D22" s="141">
        <v>7</v>
      </c>
      <c r="E22" s="141">
        <v>1</v>
      </c>
      <c r="F22" s="141">
        <v>0</v>
      </c>
    </row>
    <row r="23" spans="2:6" ht="14.25">
      <c r="B23" s="124" t="s">
        <v>109</v>
      </c>
      <c r="C23" s="141">
        <v>37</v>
      </c>
      <c r="D23" s="141">
        <v>13</v>
      </c>
      <c r="E23" s="167">
        <v>12</v>
      </c>
      <c r="F23" s="141">
        <v>0</v>
      </c>
    </row>
    <row r="24" spans="2:6">
      <c r="B24" s="124" t="s">
        <v>25</v>
      </c>
      <c r="C24" s="141">
        <v>38</v>
      </c>
      <c r="D24" s="141">
        <v>9</v>
      </c>
      <c r="E24" s="141">
        <v>1</v>
      </c>
      <c r="F24" s="141">
        <v>0</v>
      </c>
    </row>
    <row r="25" spans="2:6">
      <c r="B25" s="124" t="s">
        <v>26</v>
      </c>
      <c r="C25" s="141">
        <v>35</v>
      </c>
      <c r="D25" s="141">
        <v>16</v>
      </c>
      <c r="E25" s="141">
        <v>3</v>
      </c>
      <c r="F25" s="141">
        <v>0</v>
      </c>
    </row>
    <row r="26" spans="2:6">
      <c r="B26" s="124" t="s">
        <v>27</v>
      </c>
      <c r="C26" s="141">
        <v>30</v>
      </c>
      <c r="D26" s="141">
        <v>5</v>
      </c>
      <c r="E26" s="141">
        <v>1</v>
      </c>
      <c r="F26" s="141">
        <v>0</v>
      </c>
    </row>
    <row r="27" spans="2:6">
      <c r="B27" s="152" t="s">
        <v>28</v>
      </c>
      <c r="C27" s="141">
        <v>4</v>
      </c>
      <c r="D27" s="141">
        <v>0</v>
      </c>
      <c r="E27" s="141">
        <v>0</v>
      </c>
      <c r="F27" s="141">
        <v>0</v>
      </c>
    </row>
    <row r="28" spans="2:6">
      <c r="B28" s="124" t="s">
        <v>29</v>
      </c>
      <c r="C28" s="141">
        <v>45</v>
      </c>
      <c r="D28" s="150">
        <v>8</v>
      </c>
      <c r="E28" s="150">
        <v>0</v>
      </c>
      <c r="F28" s="141">
        <v>0</v>
      </c>
    </row>
    <row r="29" spans="2:6">
      <c r="B29" s="124" t="s">
        <v>30</v>
      </c>
      <c r="C29" s="141">
        <v>27</v>
      </c>
      <c r="D29" s="150">
        <v>9</v>
      </c>
      <c r="E29" s="150">
        <v>1</v>
      </c>
      <c r="F29" s="141">
        <v>0</v>
      </c>
    </row>
    <row r="30" spans="2:6">
      <c r="B30" s="124" t="s">
        <v>31</v>
      </c>
      <c r="C30" s="141">
        <v>12</v>
      </c>
      <c r="D30" s="150">
        <v>3</v>
      </c>
      <c r="E30" s="150">
        <v>1</v>
      </c>
      <c r="F30" s="141">
        <v>0</v>
      </c>
    </row>
    <row r="31" spans="2:6">
      <c r="B31" s="124" t="s">
        <v>32</v>
      </c>
      <c r="C31" s="141">
        <v>14</v>
      </c>
      <c r="D31" s="150">
        <v>6</v>
      </c>
      <c r="E31" s="150">
        <v>0</v>
      </c>
      <c r="F31" s="141">
        <v>0</v>
      </c>
    </row>
    <row r="32" spans="2:6">
      <c r="B32" s="124" t="s">
        <v>33</v>
      </c>
      <c r="C32" s="141">
        <v>28</v>
      </c>
      <c r="D32" s="150">
        <v>10</v>
      </c>
      <c r="E32" s="150">
        <v>0</v>
      </c>
      <c r="F32" s="141">
        <v>0</v>
      </c>
    </row>
    <row r="33" spans="2:11">
      <c r="B33" s="124" t="s">
        <v>34</v>
      </c>
      <c r="C33" s="141">
        <v>21</v>
      </c>
      <c r="D33" s="150">
        <v>4</v>
      </c>
      <c r="E33" s="150">
        <v>1</v>
      </c>
      <c r="F33" s="141">
        <v>0</v>
      </c>
    </row>
    <row r="34" spans="2:11">
      <c r="B34" s="124" t="s">
        <v>35</v>
      </c>
      <c r="C34" s="141">
        <v>23</v>
      </c>
      <c r="D34" s="150">
        <v>6</v>
      </c>
      <c r="E34" s="150">
        <v>0</v>
      </c>
      <c r="F34" s="141">
        <v>0</v>
      </c>
    </row>
    <row r="35" spans="2:11">
      <c r="B35" s="124" t="s">
        <v>36</v>
      </c>
      <c r="C35" s="141">
        <v>10</v>
      </c>
      <c r="D35" s="150">
        <v>0</v>
      </c>
      <c r="E35" s="150">
        <v>0</v>
      </c>
      <c r="F35" s="141">
        <v>0</v>
      </c>
    </row>
    <row r="36" spans="2:11">
      <c r="B36" s="124" t="s">
        <v>37</v>
      </c>
      <c r="C36" s="141">
        <v>26</v>
      </c>
      <c r="D36" s="150">
        <v>7</v>
      </c>
      <c r="E36" s="150">
        <v>0</v>
      </c>
      <c r="F36" s="141">
        <v>0</v>
      </c>
    </row>
    <row r="37" spans="2:11" ht="15">
      <c r="B37" s="124" t="s">
        <v>38</v>
      </c>
      <c r="C37" s="141">
        <v>41</v>
      </c>
      <c r="D37" s="150">
        <v>11</v>
      </c>
      <c r="E37" s="150">
        <v>0</v>
      </c>
      <c r="F37" s="141">
        <v>0</v>
      </c>
      <c r="G37" s="129"/>
    </row>
    <row r="38" spans="2:11" ht="15">
      <c r="B38" s="124" t="s">
        <v>39</v>
      </c>
      <c r="C38" s="141">
        <v>10</v>
      </c>
      <c r="D38" s="150">
        <v>2</v>
      </c>
      <c r="E38" s="150">
        <v>1</v>
      </c>
      <c r="F38" s="141">
        <v>0</v>
      </c>
      <c r="H38" s="129"/>
      <c r="I38" s="129"/>
    </row>
    <row r="39" spans="2:11">
      <c r="B39" s="124" t="s">
        <v>40</v>
      </c>
      <c r="C39" s="141">
        <v>19</v>
      </c>
      <c r="D39" s="150">
        <v>6</v>
      </c>
      <c r="E39" s="150">
        <v>0</v>
      </c>
      <c r="F39" s="141">
        <v>0</v>
      </c>
    </row>
    <row r="40" spans="2:11">
      <c r="B40" s="124" t="s">
        <v>41</v>
      </c>
      <c r="C40" s="141">
        <v>22</v>
      </c>
      <c r="D40" s="150">
        <v>2</v>
      </c>
      <c r="E40" s="150">
        <v>0</v>
      </c>
      <c r="F40" s="141">
        <v>0</v>
      </c>
    </row>
    <row r="41" spans="2:11">
      <c r="B41" s="124" t="s">
        <v>42</v>
      </c>
      <c r="C41" s="141">
        <v>30</v>
      </c>
      <c r="D41" s="150">
        <v>3</v>
      </c>
      <c r="E41" s="150">
        <v>0</v>
      </c>
      <c r="F41" s="141">
        <v>0</v>
      </c>
    </row>
    <row r="42" spans="2:11">
      <c r="B42" s="124" t="s">
        <v>43</v>
      </c>
      <c r="C42" s="141">
        <v>17</v>
      </c>
      <c r="D42" s="150">
        <v>2</v>
      </c>
      <c r="E42" s="150">
        <v>0</v>
      </c>
      <c r="F42" s="141">
        <v>0</v>
      </c>
    </row>
    <row r="43" spans="2:11" ht="15">
      <c r="B43" s="124" t="s">
        <v>44</v>
      </c>
      <c r="C43" s="141">
        <v>15</v>
      </c>
      <c r="D43" s="150">
        <v>2</v>
      </c>
      <c r="E43" s="150">
        <v>1</v>
      </c>
      <c r="F43" s="141">
        <v>0</v>
      </c>
      <c r="J43" s="129"/>
    </row>
    <row r="44" spans="2:11" ht="15">
      <c r="B44" s="124" t="s">
        <v>45</v>
      </c>
      <c r="C44" s="141">
        <v>18</v>
      </c>
      <c r="D44" s="150">
        <v>3</v>
      </c>
      <c r="E44" s="150">
        <v>0</v>
      </c>
      <c r="F44" s="141">
        <v>0</v>
      </c>
      <c r="K44" s="129"/>
    </row>
    <row r="45" spans="2:11">
      <c r="B45" s="152" t="s">
        <v>46</v>
      </c>
      <c r="C45" s="150">
        <v>1</v>
      </c>
      <c r="D45" s="150">
        <v>0</v>
      </c>
      <c r="E45" s="150">
        <v>0</v>
      </c>
      <c r="F45" s="141">
        <v>0</v>
      </c>
    </row>
    <row r="46" spans="2:11" s="129" customFormat="1" ht="25.5" customHeight="1">
      <c r="B46" s="129" t="s">
        <v>47</v>
      </c>
      <c r="C46" s="155">
        <v>334</v>
      </c>
      <c r="D46" s="155">
        <v>70</v>
      </c>
      <c r="E46" s="155">
        <v>3</v>
      </c>
      <c r="F46" s="155">
        <v>0</v>
      </c>
    </row>
    <row r="47" spans="2:11">
      <c r="B47" s="124" t="s">
        <v>48</v>
      </c>
      <c r="C47" s="141">
        <v>28</v>
      </c>
      <c r="D47" s="141">
        <v>7</v>
      </c>
      <c r="E47" s="141">
        <v>0</v>
      </c>
      <c r="F47" s="141">
        <v>0</v>
      </c>
    </row>
    <row r="48" spans="2:11">
      <c r="B48" s="124" t="s">
        <v>49</v>
      </c>
      <c r="C48" s="141">
        <v>20</v>
      </c>
      <c r="D48" s="141">
        <v>3</v>
      </c>
      <c r="E48" s="141">
        <v>0</v>
      </c>
      <c r="F48" s="141">
        <v>0</v>
      </c>
    </row>
    <row r="49" spans="2:6">
      <c r="B49" s="124" t="s">
        <v>50</v>
      </c>
      <c r="C49" s="141">
        <v>28</v>
      </c>
      <c r="D49" s="141">
        <v>4</v>
      </c>
      <c r="E49" s="141">
        <v>0</v>
      </c>
      <c r="F49" s="141">
        <v>0</v>
      </c>
    </row>
    <row r="50" spans="2:6">
      <c r="B50" s="124" t="s">
        <v>51</v>
      </c>
      <c r="C50" s="141">
        <v>26</v>
      </c>
      <c r="D50" s="141">
        <v>9</v>
      </c>
      <c r="E50" s="141">
        <v>1</v>
      </c>
      <c r="F50" s="141">
        <v>0</v>
      </c>
    </row>
    <row r="51" spans="2:6">
      <c r="B51" s="124" t="s">
        <v>52</v>
      </c>
      <c r="C51" s="141">
        <v>39</v>
      </c>
      <c r="D51" s="141">
        <v>3</v>
      </c>
      <c r="E51" s="141">
        <v>0</v>
      </c>
      <c r="F51" s="141">
        <v>0</v>
      </c>
    </row>
    <row r="52" spans="2:6">
      <c r="B52" s="124" t="s">
        <v>53</v>
      </c>
      <c r="C52" s="167">
        <v>59</v>
      </c>
      <c r="D52" s="141">
        <v>8</v>
      </c>
      <c r="E52" s="141">
        <v>2</v>
      </c>
      <c r="F52" s="141">
        <v>0</v>
      </c>
    </row>
    <row r="53" spans="2:6">
      <c r="B53" s="156" t="s">
        <v>54</v>
      </c>
      <c r="C53" s="171">
        <v>134</v>
      </c>
      <c r="D53" s="171">
        <v>36</v>
      </c>
      <c r="E53" s="171">
        <v>0</v>
      </c>
      <c r="F53" s="171">
        <v>0</v>
      </c>
    </row>
    <row r="54" spans="2:6">
      <c r="C54" s="141"/>
      <c r="D54" s="172"/>
      <c r="E54" s="141"/>
      <c r="F54" s="141"/>
    </row>
    <row r="55" spans="2:6" ht="13.5" customHeight="1">
      <c r="B55" s="12" t="s">
        <v>55</v>
      </c>
    </row>
    <row r="56" spans="2:6" ht="13.5" customHeight="1">
      <c r="B56" s="124" t="s">
        <v>110</v>
      </c>
    </row>
    <row r="57" spans="2:6" ht="14.25" customHeight="1">
      <c r="B57" s="201" t="s">
        <v>111</v>
      </c>
      <c r="C57" s="202"/>
      <c r="D57" s="202"/>
      <c r="E57" s="202"/>
      <c r="F57" s="202"/>
    </row>
    <row r="58" spans="2:6" ht="15" customHeight="1">
      <c r="B58" s="202"/>
      <c r="C58" s="202"/>
      <c r="D58" s="202"/>
      <c r="E58" s="202"/>
      <c r="F58" s="202"/>
    </row>
    <row r="59" spans="2:6" ht="13.5" customHeight="1">
      <c r="B59" s="202"/>
      <c r="C59" s="202"/>
      <c r="D59" s="202"/>
      <c r="E59" s="202"/>
      <c r="F59" s="202"/>
    </row>
    <row r="60" spans="2:6" ht="12.75" customHeight="1">
      <c r="B60" s="202"/>
      <c r="C60" s="202"/>
      <c r="D60" s="202"/>
      <c r="E60" s="202"/>
      <c r="F60" s="202"/>
    </row>
    <row r="61" spans="2:6" ht="15.75" customHeight="1">
      <c r="B61" s="202"/>
      <c r="C61" s="202"/>
      <c r="D61" s="202"/>
      <c r="E61" s="202"/>
      <c r="F61" s="202"/>
    </row>
    <row r="62" spans="2:6" ht="67.5" customHeight="1">
      <c r="B62" s="202"/>
      <c r="C62" s="202"/>
      <c r="D62" s="202"/>
      <c r="E62" s="202"/>
      <c r="F62" s="202"/>
    </row>
    <row r="63" spans="2:6" ht="9.75" customHeight="1">
      <c r="B63" s="57"/>
      <c r="C63" s="57"/>
      <c r="D63" s="57"/>
      <c r="E63" s="57"/>
      <c r="F63" s="57"/>
    </row>
    <row r="64" spans="2:6">
      <c r="B64" s="140" t="s">
        <v>112</v>
      </c>
    </row>
    <row r="66" spans="2:2">
      <c r="B66" s="143"/>
    </row>
  </sheetData>
  <mergeCells count="6">
    <mergeCell ref="B57:F62"/>
    <mergeCell ref="B1:F1"/>
    <mergeCell ref="B2:B3"/>
    <mergeCell ref="C2:C3"/>
    <mergeCell ref="D2:E2"/>
    <mergeCell ref="F2:F3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L68"/>
  <sheetViews>
    <sheetView showGridLines="0" zoomScale="85" workbookViewId="0">
      <pane xSplit="2" ySplit="4" topLeftCell="C50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RowHeight="12.75"/>
  <cols>
    <col min="1" max="1" width="4.7109375" style="28" hidden="1" customWidth="1"/>
    <col min="2" max="2" width="24.7109375" style="186" customWidth="1"/>
    <col min="3" max="3" width="11" style="186" customWidth="1"/>
    <col min="4" max="4" width="11.85546875" style="186" customWidth="1"/>
    <col min="5" max="10" width="11" style="186" customWidth="1"/>
    <col min="11" max="256" width="9.140625" style="186"/>
    <col min="257" max="257" width="0" style="186" hidden="1" customWidth="1"/>
    <col min="258" max="258" width="24.7109375" style="186" customWidth="1"/>
    <col min="259" max="259" width="11" style="186" customWidth="1"/>
    <col min="260" max="260" width="11.85546875" style="186" customWidth="1"/>
    <col min="261" max="266" width="11" style="186" customWidth="1"/>
    <col min="267" max="512" width="9.140625" style="186"/>
    <col min="513" max="513" width="0" style="186" hidden="1" customWidth="1"/>
    <col min="514" max="514" width="24.7109375" style="186" customWidth="1"/>
    <col min="515" max="515" width="11" style="186" customWidth="1"/>
    <col min="516" max="516" width="11.85546875" style="186" customWidth="1"/>
    <col min="517" max="522" width="11" style="186" customWidth="1"/>
    <col min="523" max="768" width="9.140625" style="186"/>
    <col min="769" max="769" width="0" style="186" hidden="1" customWidth="1"/>
    <col min="770" max="770" width="24.7109375" style="186" customWidth="1"/>
    <col min="771" max="771" width="11" style="186" customWidth="1"/>
    <col min="772" max="772" width="11.85546875" style="186" customWidth="1"/>
    <col min="773" max="778" width="11" style="186" customWidth="1"/>
    <col min="779" max="1024" width="9.140625" style="186"/>
    <col min="1025" max="1025" width="0" style="186" hidden="1" customWidth="1"/>
    <col min="1026" max="1026" width="24.7109375" style="186" customWidth="1"/>
    <col min="1027" max="1027" width="11" style="186" customWidth="1"/>
    <col min="1028" max="1028" width="11.85546875" style="186" customWidth="1"/>
    <col min="1029" max="1034" width="11" style="186" customWidth="1"/>
    <col min="1035" max="1280" width="9.140625" style="186"/>
    <col min="1281" max="1281" width="0" style="186" hidden="1" customWidth="1"/>
    <col min="1282" max="1282" width="24.7109375" style="186" customWidth="1"/>
    <col min="1283" max="1283" width="11" style="186" customWidth="1"/>
    <col min="1284" max="1284" width="11.85546875" style="186" customWidth="1"/>
    <col min="1285" max="1290" width="11" style="186" customWidth="1"/>
    <col min="1291" max="1536" width="9.140625" style="186"/>
    <col min="1537" max="1537" width="0" style="186" hidden="1" customWidth="1"/>
    <col min="1538" max="1538" width="24.7109375" style="186" customWidth="1"/>
    <col min="1539" max="1539" width="11" style="186" customWidth="1"/>
    <col min="1540" max="1540" width="11.85546875" style="186" customWidth="1"/>
    <col min="1541" max="1546" width="11" style="186" customWidth="1"/>
    <col min="1547" max="1792" width="9.140625" style="186"/>
    <col min="1793" max="1793" width="0" style="186" hidden="1" customWidth="1"/>
    <col min="1794" max="1794" width="24.7109375" style="186" customWidth="1"/>
    <col min="1795" max="1795" width="11" style="186" customWidth="1"/>
    <col min="1796" max="1796" width="11.85546875" style="186" customWidth="1"/>
    <col min="1797" max="1802" width="11" style="186" customWidth="1"/>
    <col min="1803" max="2048" width="9.140625" style="186"/>
    <col min="2049" max="2049" width="0" style="186" hidden="1" customWidth="1"/>
    <col min="2050" max="2050" width="24.7109375" style="186" customWidth="1"/>
    <col min="2051" max="2051" width="11" style="186" customWidth="1"/>
    <col min="2052" max="2052" width="11.85546875" style="186" customWidth="1"/>
    <col min="2053" max="2058" width="11" style="186" customWidth="1"/>
    <col min="2059" max="2304" width="9.140625" style="186"/>
    <col min="2305" max="2305" width="0" style="186" hidden="1" customWidth="1"/>
    <col min="2306" max="2306" width="24.7109375" style="186" customWidth="1"/>
    <col min="2307" max="2307" width="11" style="186" customWidth="1"/>
    <col min="2308" max="2308" width="11.85546875" style="186" customWidth="1"/>
    <col min="2309" max="2314" width="11" style="186" customWidth="1"/>
    <col min="2315" max="2560" width="9.140625" style="186"/>
    <col min="2561" max="2561" width="0" style="186" hidden="1" customWidth="1"/>
    <col min="2562" max="2562" width="24.7109375" style="186" customWidth="1"/>
    <col min="2563" max="2563" width="11" style="186" customWidth="1"/>
    <col min="2564" max="2564" width="11.85546875" style="186" customWidth="1"/>
    <col min="2565" max="2570" width="11" style="186" customWidth="1"/>
    <col min="2571" max="2816" width="9.140625" style="186"/>
    <col min="2817" max="2817" width="0" style="186" hidden="1" customWidth="1"/>
    <col min="2818" max="2818" width="24.7109375" style="186" customWidth="1"/>
    <col min="2819" max="2819" width="11" style="186" customWidth="1"/>
    <col min="2820" max="2820" width="11.85546875" style="186" customWidth="1"/>
    <col min="2821" max="2826" width="11" style="186" customWidth="1"/>
    <col min="2827" max="3072" width="9.140625" style="186"/>
    <col min="3073" max="3073" width="0" style="186" hidden="1" customWidth="1"/>
    <col min="3074" max="3074" width="24.7109375" style="186" customWidth="1"/>
    <col min="3075" max="3075" width="11" style="186" customWidth="1"/>
    <col min="3076" max="3076" width="11.85546875" style="186" customWidth="1"/>
    <col min="3077" max="3082" width="11" style="186" customWidth="1"/>
    <col min="3083" max="3328" width="9.140625" style="186"/>
    <col min="3329" max="3329" width="0" style="186" hidden="1" customWidth="1"/>
    <col min="3330" max="3330" width="24.7109375" style="186" customWidth="1"/>
    <col min="3331" max="3331" width="11" style="186" customWidth="1"/>
    <col min="3332" max="3332" width="11.85546875" style="186" customWidth="1"/>
    <col min="3333" max="3338" width="11" style="186" customWidth="1"/>
    <col min="3339" max="3584" width="9.140625" style="186"/>
    <col min="3585" max="3585" width="0" style="186" hidden="1" customWidth="1"/>
    <col min="3586" max="3586" width="24.7109375" style="186" customWidth="1"/>
    <col min="3587" max="3587" width="11" style="186" customWidth="1"/>
    <col min="3588" max="3588" width="11.85546875" style="186" customWidth="1"/>
    <col min="3589" max="3594" width="11" style="186" customWidth="1"/>
    <col min="3595" max="3840" width="9.140625" style="186"/>
    <col min="3841" max="3841" width="0" style="186" hidden="1" customWidth="1"/>
    <col min="3842" max="3842" width="24.7109375" style="186" customWidth="1"/>
    <col min="3843" max="3843" width="11" style="186" customWidth="1"/>
    <col min="3844" max="3844" width="11.85546875" style="186" customWidth="1"/>
    <col min="3845" max="3850" width="11" style="186" customWidth="1"/>
    <col min="3851" max="4096" width="9.140625" style="186"/>
    <col min="4097" max="4097" width="0" style="186" hidden="1" customWidth="1"/>
    <col min="4098" max="4098" width="24.7109375" style="186" customWidth="1"/>
    <col min="4099" max="4099" width="11" style="186" customWidth="1"/>
    <col min="4100" max="4100" width="11.85546875" style="186" customWidth="1"/>
    <col min="4101" max="4106" width="11" style="186" customWidth="1"/>
    <col min="4107" max="4352" width="9.140625" style="186"/>
    <col min="4353" max="4353" width="0" style="186" hidden="1" customWidth="1"/>
    <col min="4354" max="4354" width="24.7109375" style="186" customWidth="1"/>
    <col min="4355" max="4355" width="11" style="186" customWidth="1"/>
    <col min="4356" max="4356" width="11.85546875" style="186" customWidth="1"/>
    <col min="4357" max="4362" width="11" style="186" customWidth="1"/>
    <col min="4363" max="4608" width="9.140625" style="186"/>
    <col min="4609" max="4609" width="0" style="186" hidden="1" customWidth="1"/>
    <col min="4610" max="4610" width="24.7109375" style="186" customWidth="1"/>
    <col min="4611" max="4611" width="11" style="186" customWidth="1"/>
    <col min="4612" max="4612" width="11.85546875" style="186" customWidth="1"/>
    <col min="4613" max="4618" width="11" style="186" customWidth="1"/>
    <col min="4619" max="4864" width="9.140625" style="186"/>
    <col min="4865" max="4865" width="0" style="186" hidden="1" customWidth="1"/>
    <col min="4866" max="4866" width="24.7109375" style="186" customWidth="1"/>
    <col min="4867" max="4867" width="11" style="186" customWidth="1"/>
    <col min="4868" max="4868" width="11.85546875" style="186" customWidth="1"/>
    <col min="4869" max="4874" width="11" style="186" customWidth="1"/>
    <col min="4875" max="5120" width="9.140625" style="186"/>
    <col min="5121" max="5121" width="0" style="186" hidden="1" customWidth="1"/>
    <col min="5122" max="5122" width="24.7109375" style="186" customWidth="1"/>
    <col min="5123" max="5123" width="11" style="186" customWidth="1"/>
    <col min="5124" max="5124" width="11.85546875" style="186" customWidth="1"/>
    <col min="5125" max="5130" width="11" style="186" customWidth="1"/>
    <col min="5131" max="5376" width="9.140625" style="186"/>
    <col min="5377" max="5377" width="0" style="186" hidden="1" customWidth="1"/>
    <col min="5378" max="5378" width="24.7109375" style="186" customWidth="1"/>
    <col min="5379" max="5379" width="11" style="186" customWidth="1"/>
    <col min="5380" max="5380" width="11.85546875" style="186" customWidth="1"/>
    <col min="5381" max="5386" width="11" style="186" customWidth="1"/>
    <col min="5387" max="5632" width="9.140625" style="186"/>
    <col min="5633" max="5633" width="0" style="186" hidden="1" customWidth="1"/>
    <col min="5634" max="5634" width="24.7109375" style="186" customWidth="1"/>
    <col min="5635" max="5635" width="11" style="186" customWidth="1"/>
    <col min="5636" max="5636" width="11.85546875" style="186" customWidth="1"/>
    <col min="5637" max="5642" width="11" style="186" customWidth="1"/>
    <col min="5643" max="5888" width="9.140625" style="186"/>
    <col min="5889" max="5889" width="0" style="186" hidden="1" customWidth="1"/>
    <col min="5890" max="5890" width="24.7109375" style="186" customWidth="1"/>
    <col min="5891" max="5891" width="11" style="186" customWidth="1"/>
    <col min="5892" max="5892" width="11.85546875" style="186" customWidth="1"/>
    <col min="5893" max="5898" width="11" style="186" customWidth="1"/>
    <col min="5899" max="6144" width="9.140625" style="186"/>
    <col min="6145" max="6145" width="0" style="186" hidden="1" customWidth="1"/>
    <col min="6146" max="6146" width="24.7109375" style="186" customWidth="1"/>
    <col min="6147" max="6147" width="11" style="186" customWidth="1"/>
    <col min="6148" max="6148" width="11.85546875" style="186" customWidth="1"/>
    <col min="6149" max="6154" width="11" style="186" customWidth="1"/>
    <col min="6155" max="6400" width="9.140625" style="186"/>
    <col min="6401" max="6401" width="0" style="186" hidden="1" customWidth="1"/>
    <col min="6402" max="6402" width="24.7109375" style="186" customWidth="1"/>
    <col min="6403" max="6403" width="11" style="186" customWidth="1"/>
    <col min="6404" max="6404" width="11.85546875" style="186" customWidth="1"/>
    <col min="6405" max="6410" width="11" style="186" customWidth="1"/>
    <col min="6411" max="6656" width="9.140625" style="186"/>
    <col min="6657" max="6657" width="0" style="186" hidden="1" customWidth="1"/>
    <col min="6658" max="6658" width="24.7109375" style="186" customWidth="1"/>
    <col min="6659" max="6659" width="11" style="186" customWidth="1"/>
    <col min="6660" max="6660" width="11.85546875" style="186" customWidth="1"/>
    <col min="6661" max="6666" width="11" style="186" customWidth="1"/>
    <col min="6667" max="6912" width="9.140625" style="186"/>
    <col min="6913" max="6913" width="0" style="186" hidden="1" customWidth="1"/>
    <col min="6914" max="6914" width="24.7109375" style="186" customWidth="1"/>
    <col min="6915" max="6915" width="11" style="186" customWidth="1"/>
    <col min="6916" max="6916" width="11.85546875" style="186" customWidth="1"/>
    <col min="6917" max="6922" width="11" style="186" customWidth="1"/>
    <col min="6923" max="7168" width="9.140625" style="186"/>
    <col min="7169" max="7169" width="0" style="186" hidden="1" customWidth="1"/>
    <col min="7170" max="7170" width="24.7109375" style="186" customWidth="1"/>
    <col min="7171" max="7171" width="11" style="186" customWidth="1"/>
    <col min="7172" max="7172" width="11.85546875" style="186" customWidth="1"/>
    <col min="7173" max="7178" width="11" style="186" customWidth="1"/>
    <col min="7179" max="7424" width="9.140625" style="186"/>
    <col min="7425" max="7425" width="0" style="186" hidden="1" customWidth="1"/>
    <col min="7426" max="7426" width="24.7109375" style="186" customWidth="1"/>
    <col min="7427" max="7427" width="11" style="186" customWidth="1"/>
    <col min="7428" max="7428" width="11.85546875" style="186" customWidth="1"/>
    <col min="7429" max="7434" width="11" style="186" customWidth="1"/>
    <col min="7435" max="7680" width="9.140625" style="186"/>
    <col min="7681" max="7681" width="0" style="186" hidden="1" customWidth="1"/>
    <col min="7682" max="7682" width="24.7109375" style="186" customWidth="1"/>
    <col min="7683" max="7683" width="11" style="186" customWidth="1"/>
    <col min="7684" max="7684" width="11.85546875" style="186" customWidth="1"/>
    <col min="7685" max="7690" width="11" style="186" customWidth="1"/>
    <col min="7691" max="7936" width="9.140625" style="186"/>
    <col min="7937" max="7937" width="0" style="186" hidden="1" customWidth="1"/>
    <col min="7938" max="7938" width="24.7109375" style="186" customWidth="1"/>
    <col min="7939" max="7939" width="11" style="186" customWidth="1"/>
    <col min="7940" max="7940" width="11.85546875" style="186" customWidth="1"/>
    <col min="7941" max="7946" width="11" style="186" customWidth="1"/>
    <col min="7947" max="8192" width="9.140625" style="186"/>
    <col min="8193" max="8193" width="0" style="186" hidden="1" customWidth="1"/>
    <col min="8194" max="8194" width="24.7109375" style="186" customWidth="1"/>
    <col min="8195" max="8195" width="11" style="186" customWidth="1"/>
    <col min="8196" max="8196" width="11.85546875" style="186" customWidth="1"/>
    <col min="8197" max="8202" width="11" style="186" customWidth="1"/>
    <col min="8203" max="8448" width="9.140625" style="186"/>
    <col min="8449" max="8449" width="0" style="186" hidden="1" customWidth="1"/>
    <col min="8450" max="8450" width="24.7109375" style="186" customWidth="1"/>
    <col min="8451" max="8451" width="11" style="186" customWidth="1"/>
    <col min="8452" max="8452" width="11.85546875" style="186" customWidth="1"/>
    <col min="8453" max="8458" width="11" style="186" customWidth="1"/>
    <col min="8459" max="8704" width="9.140625" style="186"/>
    <col min="8705" max="8705" width="0" style="186" hidden="1" customWidth="1"/>
    <col min="8706" max="8706" width="24.7109375" style="186" customWidth="1"/>
    <col min="8707" max="8707" width="11" style="186" customWidth="1"/>
    <col min="8708" max="8708" width="11.85546875" style="186" customWidth="1"/>
    <col min="8709" max="8714" width="11" style="186" customWidth="1"/>
    <col min="8715" max="8960" width="9.140625" style="186"/>
    <col min="8961" max="8961" width="0" style="186" hidden="1" customWidth="1"/>
    <col min="8962" max="8962" width="24.7109375" style="186" customWidth="1"/>
    <col min="8963" max="8963" width="11" style="186" customWidth="1"/>
    <col min="8964" max="8964" width="11.85546875" style="186" customWidth="1"/>
    <col min="8965" max="8970" width="11" style="186" customWidth="1"/>
    <col min="8971" max="9216" width="9.140625" style="186"/>
    <col min="9217" max="9217" width="0" style="186" hidden="1" customWidth="1"/>
    <col min="9218" max="9218" width="24.7109375" style="186" customWidth="1"/>
    <col min="9219" max="9219" width="11" style="186" customWidth="1"/>
    <col min="9220" max="9220" width="11.85546875" style="186" customWidth="1"/>
    <col min="9221" max="9226" width="11" style="186" customWidth="1"/>
    <col min="9227" max="9472" width="9.140625" style="186"/>
    <col min="9473" max="9473" width="0" style="186" hidden="1" customWidth="1"/>
    <col min="9474" max="9474" width="24.7109375" style="186" customWidth="1"/>
    <col min="9475" max="9475" width="11" style="186" customWidth="1"/>
    <col min="9476" max="9476" width="11.85546875" style="186" customWidth="1"/>
    <col min="9477" max="9482" width="11" style="186" customWidth="1"/>
    <col min="9483" max="9728" width="9.140625" style="186"/>
    <col min="9729" max="9729" width="0" style="186" hidden="1" customWidth="1"/>
    <col min="9730" max="9730" width="24.7109375" style="186" customWidth="1"/>
    <col min="9731" max="9731" width="11" style="186" customWidth="1"/>
    <col min="9732" max="9732" width="11.85546875" style="186" customWidth="1"/>
    <col min="9733" max="9738" width="11" style="186" customWidth="1"/>
    <col min="9739" max="9984" width="9.140625" style="186"/>
    <col min="9985" max="9985" width="0" style="186" hidden="1" customWidth="1"/>
    <col min="9986" max="9986" width="24.7109375" style="186" customWidth="1"/>
    <col min="9987" max="9987" width="11" style="186" customWidth="1"/>
    <col min="9988" max="9988" width="11.85546875" style="186" customWidth="1"/>
    <col min="9989" max="9994" width="11" style="186" customWidth="1"/>
    <col min="9995" max="10240" width="9.140625" style="186"/>
    <col min="10241" max="10241" width="0" style="186" hidden="1" customWidth="1"/>
    <col min="10242" max="10242" width="24.7109375" style="186" customWidth="1"/>
    <col min="10243" max="10243" width="11" style="186" customWidth="1"/>
    <col min="10244" max="10244" width="11.85546875" style="186" customWidth="1"/>
    <col min="10245" max="10250" width="11" style="186" customWidth="1"/>
    <col min="10251" max="10496" width="9.140625" style="186"/>
    <col min="10497" max="10497" width="0" style="186" hidden="1" customWidth="1"/>
    <col min="10498" max="10498" width="24.7109375" style="186" customWidth="1"/>
    <col min="10499" max="10499" width="11" style="186" customWidth="1"/>
    <col min="10500" max="10500" width="11.85546875" style="186" customWidth="1"/>
    <col min="10501" max="10506" width="11" style="186" customWidth="1"/>
    <col min="10507" max="10752" width="9.140625" style="186"/>
    <col min="10753" max="10753" width="0" style="186" hidden="1" customWidth="1"/>
    <col min="10754" max="10754" width="24.7109375" style="186" customWidth="1"/>
    <col min="10755" max="10755" width="11" style="186" customWidth="1"/>
    <col min="10756" max="10756" width="11.85546875" style="186" customWidth="1"/>
    <col min="10757" max="10762" width="11" style="186" customWidth="1"/>
    <col min="10763" max="11008" width="9.140625" style="186"/>
    <col min="11009" max="11009" width="0" style="186" hidden="1" customWidth="1"/>
    <col min="11010" max="11010" width="24.7109375" style="186" customWidth="1"/>
    <col min="11011" max="11011" width="11" style="186" customWidth="1"/>
    <col min="11012" max="11012" width="11.85546875" style="186" customWidth="1"/>
    <col min="11013" max="11018" width="11" style="186" customWidth="1"/>
    <col min="11019" max="11264" width="9.140625" style="186"/>
    <col min="11265" max="11265" width="0" style="186" hidden="1" customWidth="1"/>
    <col min="11266" max="11266" width="24.7109375" style="186" customWidth="1"/>
    <col min="11267" max="11267" width="11" style="186" customWidth="1"/>
    <col min="11268" max="11268" width="11.85546875" style="186" customWidth="1"/>
    <col min="11269" max="11274" width="11" style="186" customWidth="1"/>
    <col min="11275" max="11520" width="9.140625" style="186"/>
    <col min="11521" max="11521" width="0" style="186" hidden="1" customWidth="1"/>
    <col min="11522" max="11522" width="24.7109375" style="186" customWidth="1"/>
    <col min="11523" max="11523" width="11" style="186" customWidth="1"/>
    <col min="11524" max="11524" width="11.85546875" style="186" customWidth="1"/>
    <col min="11525" max="11530" width="11" style="186" customWidth="1"/>
    <col min="11531" max="11776" width="9.140625" style="186"/>
    <col min="11777" max="11777" width="0" style="186" hidden="1" customWidth="1"/>
    <col min="11778" max="11778" width="24.7109375" style="186" customWidth="1"/>
    <col min="11779" max="11779" width="11" style="186" customWidth="1"/>
    <col min="11780" max="11780" width="11.85546875" style="186" customWidth="1"/>
    <col min="11781" max="11786" width="11" style="186" customWidth="1"/>
    <col min="11787" max="12032" width="9.140625" style="186"/>
    <col min="12033" max="12033" width="0" style="186" hidden="1" customWidth="1"/>
    <col min="12034" max="12034" width="24.7109375" style="186" customWidth="1"/>
    <col min="12035" max="12035" width="11" style="186" customWidth="1"/>
    <col min="12036" max="12036" width="11.85546875" style="186" customWidth="1"/>
    <col min="12037" max="12042" width="11" style="186" customWidth="1"/>
    <col min="12043" max="12288" width="9.140625" style="186"/>
    <col min="12289" max="12289" width="0" style="186" hidden="1" customWidth="1"/>
    <col min="12290" max="12290" width="24.7109375" style="186" customWidth="1"/>
    <col min="12291" max="12291" width="11" style="186" customWidth="1"/>
    <col min="12292" max="12292" width="11.85546875" style="186" customWidth="1"/>
    <col min="12293" max="12298" width="11" style="186" customWidth="1"/>
    <col min="12299" max="12544" width="9.140625" style="186"/>
    <col min="12545" max="12545" width="0" style="186" hidden="1" customWidth="1"/>
    <col min="12546" max="12546" width="24.7109375" style="186" customWidth="1"/>
    <col min="12547" max="12547" width="11" style="186" customWidth="1"/>
    <col min="12548" max="12548" width="11.85546875" style="186" customWidth="1"/>
    <col min="12549" max="12554" width="11" style="186" customWidth="1"/>
    <col min="12555" max="12800" width="9.140625" style="186"/>
    <col min="12801" max="12801" width="0" style="186" hidden="1" customWidth="1"/>
    <col min="12802" max="12802" width="24.7109375" style="186" customWidth="1"/>
    <col min="12803" max="12803" width="11" style="186" customWidth="1"/>
    <col min="12804" max="12804" width="11.85546875" style="186" customWidth="1"/>
    <col min="12805" max="12810" width="11" style="186" customWidth="1"/>
    <col min="12811" max="13056" width="9.140625" style="186"/>
    <col min="13057" max="13057" width="0" style="186" hidden="1" customWidth="1"/>
    <col min="13058" max="13058" width="24.7109375" style="186" customWidth="1"/>
    <col min="13059" max="13059" width="11" style="186" customWidth="1"/>
    <col min="13060" max="13060" width="11.85546875" style="186" customWidth="1"/>
    <col min="13061" max="13066" width="11" style="186" customWidth="1"/>
    <col min="13067" max="13312" width="9.140625" style="186"/>
    <col min="13313" max="13313" width="0" style="186" hidden="1" customWidth="1"/>
    <col min="13314" max="13314" width="24.7109375" style="186" customWidth="1"/>
    <col min="13315" max="13315" width="11" style="186" customWidth="1"/>
    <col min="13316" max="13316" width="11.85546875" style="186" customWidth="1"/>
    <col min="13317" max="13322" width="11" style="186" customWidth="1"/>
    <col min="13323" max="13568" width="9.140625" style="186"/>
    <col min="13569" max="13569" width="0" style="186" hidden="1" customWidth="1"/>
    <col min="13570" max="13570" width="24.7109375" style="186" customWidth="1"/>
    <col min="13571" max="13571" width="11" style="186" customWidth="1"/>
    <col min="13572" max="13572" width="11.85546875" style="186" customWidth="1"/>
    <col min="13573" max="13578" width="11" style="186" customWidth="1"/>
    <col min="13579" max="13824" width="9.140625" style="186"/>
    <col min="13825" max="13825" width="0" style="186" hidden="1" customWidth="1"/>
    <col min="13826" max="13826" width="24.7109375" style="186" customWidth="1"/>
    <col min="13827" max="13827" width="11" style="186" customWidth="1"/>
    <col min="13828" max="13828" width="11.85546875" style="186" customWidth="1"/>
    <col min="13829" max="13834" width="11" style="186" customWidth="1"/>
    <col min="13835" max="14080" width="9.140625" style="186"/>
    <col min="14081" max="14081" width="0" style="186" hidden="1" customWidth="1"/>
    <col min="14082" max="14082" width="24.7109375" style="186" customWidth="1"/>
    <col min="14083" max="14083" width="11" style="186" customWidth="1"/>
    <col min="14084" max="14084" width="11.85546875" style="186" customWidth="1"/>
    <col min="14085" max="14090" width="11" style="186" customWidth="1"/>
    <col min="14091" max="14336" width="9.140625" style="186"/>
    <col min="14337" max="14337" width="0" style="186" hidden="1" customWidth="1"/>
    <col min="14338" max="14338" width="24.7109375" style="186" customWidth="1"/>
    <col min="14339" max="14339" width="11" style="186" customWidth="1"/>
    <col min="14340" max="14340" width="11.85546875" style="186" customWidth="1"/>
    <col min="14341" max="14346" width="11" style="186" customWidth="1"/>
    <col min="14347" max="14592" width="9.140625" style="186"/>
    <col min="14593" max="14593" width="0" style="186" hidden="1" customWidth="1"/>
    <col min="14594" max="14594" width="24.7109375" style="186" customWidth="1"/>
    <col min="14595" max="14595" width="11" style="186" customWidth="1"/>
    <col min="14596" max="14596" width="11.85546875" style="186" customWidth="1"/>
    <col min="14597" max="14602" width="11" style="186" customWidth="1"/>
    <col min="14603" max="14848" width="9.140625" style="186"/>
    <col min="14849" max="14849" width="0" style="186" hidden="1" customWidth="1"/>
    <col min="14850" max="14850" width="24.7109375" style="186" customWidth="1"/>
    <col min="14851" max="14851" width="11" style="186" customWidth="1"/>
    <col min="14852" max="14852" width="11.85546875" style="186" customWidth="1"/>
    <col min="14853" max="14858" width="11" style="186" customWidth="1"/>
    <col min="14859" max="15104" width="9.140625" style="186"/>
    <col min="15105" max="15105" width="0" style="186" hidden="1" customWidth="1"/>
    <col min="15106" max="15106" width="24.7109375" style="186" customWidth="1"/>
    <col min="15107" max="15107" width="11" style="186" customWidth="1"/>
    <col min="15108" max="15108" width="11.85546875" style="186" customWidth="1"/>
    <col min="15109" max="15114" width="11" style="186" customWidth="1"/>
    <col min="15115" max="15360" width="9.140625" style="186"/>
    <col min="15361" max="15361" width="0" style="186" hidden="1" customWidth="1"/>
    <col min="15362" max="15362" width="24.7109375" style="186" customWidth="1"/>
    <col min="15363" max="15363" width="11" style="186" customWidth="1"/>
    <col min="15364" max="15364" width="11.85546875" style="186" customWidth="1"/>
    <col min="15365" max="15370" width="11" style="186" customWidth="1"/>
    <col min="15371" max="15616" width="9.140625" style="186"/>
    <col min="15617" max="15617" width="0" style="186" hidden="1" customWidth="1"/>
    <col min="15618" max="15618" width="24.7109375" style="186" customWidth="1"/>
    <col min="15619" max="15619" width="11" style="186" customWidth="1"/>
    <col min="15620" max="15620" width="11.85546875" style="186" customWidth="1"/>
    <col min="15621" max="15626" width="11" style="186" customWidth="1"/>
    <col min="15627" max="15872" width="9.140625" style="186"/>
    <col min="15873" max="15873" width="0" style="186" hidden="1" customWidth="1"/>
    <col min="15874" max="15874" width="24.7109375" style="186" customWidth="1"/>
    <col min="15875" max="15875" width="11" style="186" customWidth="1"/>
    <col min="15876" max="15876" width="11.85546875" style="186" customWidth="1"/>
    <col min="15877" max="15882" width="11" style="186" customWidth="1"/>
    <col min="15883" max="16128" width="9.140625" style="186"/>
    <col min="16129" max="16129" width="0" style="186" hidden="1" customWidth="1"/>
    <col min="16130" max="16130" width="24.7109375" style="186" customWidth="1"/>
    <col min="16131" max="16131" width="11" style="186" customWidth="1"/>
    <col min="16132" max="16132" width="11.85546875" style="186" customWidth="1"/>
    <col min="16133" max="16138" width="11" style="186" customWidth="1"/>
    <col min="16139" max="16384" width="9.140625" style="186"/>
  </cols>
  <sheetData>
    <row r="1" spans="1:12" ht="48" customHeight="1">
      <c r="B1" s="208" t="s">
        <v>58</v>
      </c>
      <c r="C1" s="208"/>
      <c r="D1" s="208"/>
      <c r="E1" s="208"/>
      <c r="F1" s="208"/>
      <c r="G1" s="208"/>
      <c r="H1" s="208"/>
      <c r="I1" s="208"/>
      <c r="J1" s="208"/>
    </row>
    <row r="2" spans="1:12" ht="12.75" customHeight="1">
      <c r="B2" s="209"/>
      <c r="C2" s="214" t="s">
        <v>1</v>
      </c>
      <c r="D2" s="214"/>
      <c r="E2" s="216" t="s">
        <v>2</v>
      </c>
      <c r="F2" s="216"/>
      <c r="G2" s="216"/>
      <c r="H2" s="216"/>
      <c r="I2" s="217" t="s">
        <v>5</v>
      </c>
      <c r="J2" s="217"/>
    </row>
    <row r="3" spans="1:12" ht="30" customHeight="1">
      <c r="A3" s="29"/>
      <c r="B3" s="209"/>
      <c r="C3" s="215"/>
      <c r="D3" s="215"/>
      <c r="E3" s="30" t="s">
        <v>3</v>
      </c>
      <c r="F3" s="30"/>
      <c r="G3" s="30" t="s">
        <v>4</v>
      </c>
      <c r="H3" s="30"/>
      <c r="I3" s="215"/>
      <c r="J3" s="215"/>
    </row>
    <row r="4" spans="1:12" ht="45.75" customHeight="1">
      <c r="B4" s="213"/>
      <c r="C4" s="31" t="s">
        <v>59</v>
      </c>
      <c r="D4" s="32" t="s">
        <v>60</v>
      </c>
      <c r="E4" s="31" t="s">
        <v>59</v>
      </c>
      <c r="F4" s="32" t="s">
        <v>60</v>
      </c>
      <c r="G4" s="31" t="s">
        <v>59</v>
      </c>
      <c r="H4" s="32" t="s">
        <v>60</v>
      </c>
      <c r="I4" s="31" t="s">
        <v>59</v>
      </c>
      <c r="J4" s="32" t="s">
        <v>60</v>
      </c>
    </row>
    <row r="5" spans="1:12" ht="30" customHeight="1">
      <c r="B5" s="11" t="s">
        <v>6</v>
      </c>
      <c r="C5" s="18">
        <f>C6+C47</f>
        <v>717</v>
      </c>
      <c r="D5" s="18">
        <f t="shared" ref="D5:J5" si="0">D6+D47</f>
        <v>354</v>
      </c>
      <c r="E5" s="18">
        <f t="shared" si="0"/>
        <v>142</v>
      </c>
      <c r="F5" s="18">
        <f t="shared" si="0"/>
        <v>68</v>
      </c>
      <c r="G5" s="18">
        <f t="shared" si="0"/>
        <v>51</v>
      </c>
      <c r="H5" s="18">
        <f t="shared" si="0"/>
        <v>24</v>
      </c>
      <c r="I5" s="18">
        <f t="shared" si="0"/>
        <v>0</v>
      </c>
      <c r="J5" s="18">
        <f t="shared" si="0"/>
        <v>0</v>
      </c>
      <c r="L5" s="8"/>
    </row>
    <row r="6" spans="1:12" s="11" customFormat="1" ht="25.5" customHeight="1">
      <c r="A6" s="33"/>
      <c r="B6" s="11" t="s">
        <v>7</v>
      </c>
      <c r="C6" s="34">
        <f>SUM(C7:C46)</f>
        <v>477</v>
      </c>
      <c r="D6" s="34">
        <f t="shared" ref="D6:J6" si="1">SUM(D7:D46)</f>
        <v>231</v>
      </c>
      <c r="E6" s="34">
        <f t="shared" si="1"/>
        <v>89</v>
      </c>
      <c r="F6" s="34">
        <f t="shared" si="1"/>
        <v>27</v>
      </c>
      <c r="G6" s="34">
        <f t="shared" si="1"/>
        <v>13</v>
      </c>
      <c r="H6" s="34">
        <f t="shared" si="1"/>
        <v>4</v>
      </c>
      <c r="I6" s="34">
        <f t="shared" si="1"/>
        <v>0</v>
      </c>
      <c r="J6" s="34">
        <f t="shared" si="1"/>
        <v>0</v>
      </c>
    </row>
    <row r="7" spans="1:12" ht="12.75" customHeight="1">
      <c r="A7" s="35">
        <v>51</v>
      </c>
      <c r="B7" s="186" t="s">
        <v>8</v>
      </c>
      <c r="C7" s="36">
        <v>15</v>
      </c>
      <c r="D7" s="36">
        <v>1</v>
      </c>
      <c r="E7" s="36">
        <v>5</v>
      </c>
      <c r="F7" s="36">
        <v>0</v>
      </c>
      <c r="G7" s="36">
        <v>2</v>
      </c>
      <c r="H7" s="36">
        <v>0</v>
      </c>
      <c r="I7" s="36">
        <v>0</v>
      </c>
      <c r="J7" s="36">
        <v>0</v>
      </c>
    </row>
    <row r="8" spans="1:12" ht="12.75" customHeight="1">
      <c r="A8" s="35">
        <v>52</v>
      </c>
      <c r="B8" s="186" t="s">
        <v>9</v>
      </c>
      <c r="C8" s="36">
        <v>9</v>
      </c>
      <c r="D8" s="36">
        <v>6</v>
      </c>
      <c r="E8" s="36">
        <v>1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</row>
    <row r="9" spans="1:12" ht="12.75" customHeight="1">
      <c r="A9" s="35">
        <v>86</v>
      </c>
      <c r="B9" s="186" t="s">
        <v>10</v>
      </c>
      <c r="C9" s="36">
        <v>10</v>
      </c>
      <c r="D9" s="36">
        <v>9</v>
      </c>
      <c r="E9" s="36">
        <v>2</v>
      </c>
      <c r="F9" s="36">
        <v>1</v>
      </c>
      <c r="G9" s="36">
        <v>0</v>
      </c>
      <c r="H9" s="36">
        <v>0</v>
      </c>
      <c r="I9" s="36">
        <v>0</v>
      </c>
      <c r="J9" s="36">
        <v>0</v>
      </c>
    </row>
    <row r="10" spans="1:12" ht="12.75" customHeight="1">
      <c r="A10" s="35">
        <v>53</v>
      </c>
      <c r="B10" s="186" t="s">
        <v>11</v>
      </c>
      <c r="C10" s="36">
        <v>5</v>
      </c>
      <c r="D10" s="36">
        <v>5</v>
      </c>
      <c r="E10" s="36">
        <v>1</v>
      </c>
      <c r="F10" s="36">
        <v>2</v>
      </c>
      <c r="G10" s="36">
        <v>0</v>
      </c>
      <c r="H10" s="36">
        <v>0</v>
      </c>
      <c r="I10" s="36">
        <v>0</v>
      </c>
      <c r="J10" s="36">
        <v>0</v>
      </c>
    </row>
    <row r="11" spans="1:12" ht="12.75" customHeight="1">
      <c r="A11" s="35">
        <v>54</v>
      </c>
      <c r="B11" s="186" t="s">
        <v>12</v>
      </c>
      <c r="C11" s="36">
        <v>33</v>
      </c>
      <c r="D11" s="36">
        <v>22</v>
      </c>
      <c r="E11" s="36">
        <v>1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</row>
    <row r="12" spans="1:12" ht="12.75" customHeight="1">
      <c r="A12" s="35">
        <v>55</v>
      </c>
      <c r="B12" s="186" t="s">
        <v>13</v>
      </c>
      <c r="C12" s="36">
        <v>5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</row>
    <row r="13" spans="1:12" ht="12.75" customHeight="1">
      <c r="A13" s="35">
        <v>56</v>
      </c>
      <c r="B13" s="186" t="s">
        <v>14</v>
      </c>
      <c r="C13" s="36">
        <v>1</v>
      </c>
      <c r="D13" s="36">
        <v>1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</row>
    <row r="14" spans="1:12" ht="12.75" customHeight="1">
      <c r="A14" s="35">
        <v>57</v>
      </c>
      <c r="B14" s="186" t="s">
        <v>15</v>
      </c>
      <c r="C14" s="36">
        <v>5</v>
      </c>
      <c r="D14" s="36">
        <v>2</v>
      </c>
      <c r="E14" s="36">
        <v>3</v>
      </c>
      <c r="F14" s="36">
        <v>1</v>
      </c>
      <c r="G14" s="36">
        <v>0</v>
      </c>
      <c r="H14" s="36">
        <v>1</v>
      </c>
      <c r="I14" s="36">
        <v>0</v>
      </c>
      <c r="J14" s="36">
        <v>0</v>
      </c>
    </row>
    <row r="15" spans="1:12" ht="12.75" customHeight="1">
      <c r="A15" s="35">
        <v>59</v>
      </c>
      <c r="B15" s="186" t="s">
        <v>16</v>
      </c>
      <c r="C15" s="36">
        <v>9</v>
      </c>
      <c r="D15" s="36">
        <v>1</v>
      </c>
      <c r="E15" s="36">
        <v>3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</row>
    <row r="16" spans="1:12" ht="12.75" customHeight="1">
      <c r="A16" s="35">
        <v>60</v>
      </c>
      <c r="B16" s="186" t="s">
        <v>17</v>
      </c>
      <c r="C16" s="36">
        <v>9</v>
      </c>
      <c r="D16" s="36">
        <v>2</v>
      </c>
      <c r="E16" s="36">
        <v>5</v>
      </c>
      <c r="F16" s="36">
        <v>1</v>
      </c>
      <c r="G16" s="36">
        <v>0</v>
      </c>
      <c r="H16" s="36">
        <v>0</v>
      </c>
      <c r="I16" s="36">
        <v>0</v>
      </c>
      <c r="J16" s="36">
        <v>0</v>
      </c>
    </row>
    <row r="17" spans="1:10" ht="12.75" customHeight="1">
      <c r="A17" s="35">
        <v>61</v>
      </c>
      <c r="B17" s="38" t="s">
        <v>18</v>
      </c>
      <c r="C17" s="36">
        <v>22</v>
      </c>
      <c r="D17" s="36">
        <v>4</v>
      </c>
      <c r="E17" s="36">
        <v>5</v>
      </c>
      <c r="F17" s="36">
        <v>1</v>
      </c>
      <c r="G17" s="36">
        <v>0</v>
      </c>
      <c r="H17" s="36">
        <v>0</v>
      </c>
      <c r="I17" s="36">
        <v>0</v>
      </c>
      <c r="J17" s="36">
        <v>0</v>
      </c>
    </row>
    <row r="18" spans="1:10" ht="12.75" customHeight="1">
      <c r="A18" s="35"/>
      <c r="B18" s="132" t="s">
        <v>125</v>
      </c>
      <c r="C18" s="36">
        <v>30</v>
      </c>
      <c r="D18" s="36">
        <v>15</v>
      </c>
      <c r="E18" s="36">
        <v>5</v>
      </c>
      <c r="F18" s="36">
        <v>2</v>
      </c>
      <c r="G18" s="36">
        <v>0</v>
      </c>
      <c r="H18" s="36">
        <v>0</v>
      </c>
      <c r="I18" s="36">
        <v>0</v>
      </c>
      <c r="J18" s="36">
        <v>0</v>
      </c>
    </row>
    <row r="19" spans="1:10" ht="12.75" customHeight="1">
      <c r="A19" s="35">
        <v>62</v>
      </c>
      <c r="B19" s="186" t="s">
        <v>19</v>
      </c>
      <c r="C19" s="131" t="s">
        <v>126</v>
      </c>
      <c r="D19" s="131" t="s">
        <v>126</v>
      </c>
      <c r="E19" s="131" t="s">
        <v>126</v>
      </c>
      <c r="F19" s="131" t="s">
        <v>126</v>
      </c>
      <c r="G19" s="149" t="s">
        <v>126</v>
      </c>
      <c r="H19" s="150" t="s">
        <v>126</v>
      </c>
      <c r="I19" s="150" t="s">
        <v>126</v>
      </c>
      <c r="J19" s="150" t="s">
        <v>126</v>
      </c>
    </row>
    <row r="20" spans="1:10" ht="12.75" customHeight="1">
      <c r="A20" s="35">
        <v>58</v>
      </c>
      <c r="B20" s="186" t="s">
        <v>20</v>
      </c>
      <c r="C20" s="36">
        <v>1</v>
      </c>
      <c r="D20" s="36">
        <v>2</v>
      </c>
      <c r="E20" s="36">
        <v>1</v>
      </c>
      <c r="F20" s="36">
        <v>2</v>
      </c>
      <c r="G20" s="36">
        <v>0</v>
      </c>
      <c r="H20" s="36">
        <v>0</v>
      </c>
      <c r="I20" s="36">
        <v>0</v>
      </c>
      <c r="J20" s="36">
        <v>0</v>
      </c>
    </row>
    <row r="21" spans="1:10" ht="12.75" customHeight="1">
      <c r="A21" s="35">
        <v>63</v>
      </c>
      <c r="B21" s="186" t="s">
        <v>21</v>
      </c>
      <c r="C21" s="36">
        <v>10</v>
      </c>
      <c r="D21" s="36">
        <v>10</v>
      </c>
      <c r="E21" s="36">
        <v>1</v>
      </c>
      <c r="F21" s="36">
        <v>1</v>
      </c>
      <c r="G21" s="36">
        <v>3</v>
      </c>
      <c r="H21" s="36">
        <v>1</v>
      </c>
      <c r="I21" s="36">
        <v>0</v>
      </c>
      <c r="J21" s="36">
        <v>0</v>
      </c>
    </row>
    <row r="22" spans="1:10" ht="12.75" customHeight="1">
      <c r="A22" s="35">
        <v>64</v>
      </c>
      <c r="B22" s="186" t="s">
        <v>22</v>
      </c>
      <c r="C22" s="36">
        <v>63</v>
      </c>
      <c r="D22" s="36">
        <v>45</v>
      </c>
      <c r="E22" s="36">
        <v>8</v>
      </c>
      <c r="F22" s="36">
        <v>2</v>
      </c>
      <c r="G22" s="36">
        <v>0</v>
      </c>
      <c r="H22" s="36">
        <v>0</v>
      </c>
      <c r="I22" s="36">
        <v>0</v>
      </c>
      <c r="J22" s="36">
        <v>0</v>
      </c>
    </row>
    <row r="23" spans="1:10" ht="12.75" customHeight="1">
      <c r="A23" s="35">
        <v>65</v>
      </c>
      <c r="B23" s="186" t="s">
        <v>23</v>
      </c>
      <c r="C23" s="36">
        <v>7</v>
      </c>
      <c r="D23" s="36">
        <v>4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</row>
    <row r="24" spans="1:10" ht="12.75" customHeight="1">
      <c r="A24" s="35">
        <v>67</v>
      </c>
      <c r="B24" s="186" t="s">
        <v>24</v>
      </c>
      <c r="C24" s="36">
        <v>15</v>
      </c>
      <c r="D24" s="36">
        <v>10</v>
      </c>
      <c r="E24" s="36">
        <v>3</v>
      </c>
      <c r="F24" s="36">
        <v>2</v>
      </c>
      <c r="G24" s="36">
        <v>2</v>
      </c>
      <c r="H24" s="36">
        <v>0</v>
      </c>
      <c r="I24" s="36">
        <v>0</v>
      </c>
      <c r="J24" s="36">
        <v>0</v>
      </c>
    </row>
    <row r="25" spans="1:10" ht="12.75" customHeight="1">
      <c r="A25" s="35">
        <v>68</v>
      </c>
      <c r="B25" s="186" t="s">
        <v>25</v>
      </c>
      <c r="C25" s="36">
        <v>14</v>
      </c>
      <c r="D25" s="36">
        <v>4</v>
      </c>
      <c r="E25" s="36">
        <v>1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</row>
    <row r="26" spans="1:10" ht="12.75" customHeight="1">
      <c r="A26" s="35">
        <v>69</v>
      </c>
      <c r="B26" s="186" t="s">
        <v>26</v>
      </c>
      <c r="C26" s="36">
        <v>17</v>
      </c>
      <c r="D26" s="36">
        <v>0</v>
      </c>
      <c r="E26" s="36">
        <v>7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</row>
    <row r="27" spans="1:10" ht="12.75" customHeight="1">
      <c r="A27" s="35">
        <v>70</v>
      </c>
      <c r="B27" s="186" t="s">
        <v>27</v>
      </c>
      <c r="C27" s="36">
        <v>24</v>
      </c>
      <c r="D27" s="36">
        <v>8</v>
      </c>
      <c r="E27" s="36">
        <v>6</v>
      </c>
      <c r="F27" s="36">
        <v>0</v>
      </c>
      <c r="G27" s="36">
        <v>2</v>
      </c>
      <c r="H27" s="36">
        <v>0</v>
      </c>
      <c r="I27" s="36">
        <v>0</v>
      </c>
      <c r="J27" s="36">
        <v>0</v>
      </c>
    </row>
    <row r="28" spans="1:10" ht="12.75" customHeight="1">
      <c r="A28" s="35">
        <v>71</v>
      </c>
      <c r="B28" s="39" t="s">
        <v>28</v>
      </c>
      <c r="C28" s="36">
        <v>2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</row>
    <row r="29" spans="1:10" ht="12.75" customHeight="1">
      <c r="A29" s="35">
        <v>73</v>
      </c>
      <c r="B29" s="186" t="s">
        <v>29</v>
      </c>
      <c r="C29" s="36">
        <v>16</v>
      </c>
      <c r="D29" s="36">
        <v>7</v>
      </c>
      <c r="E29" s="36">
        <v>3</v>
      </c>
      <c r="F29" s="36">
        <v>2</v>
      </c>
      <c r="G29" s="36">
        <v>0</v>
      </c>
      <c r="H29" s="36">
        <v>0</v>
      </c>
      <c r="I29" s="36">
        <v>0</v>
      </c>
      <c r="J29" s="36">
        <v>0</v>
      </c>
    </row>
    <row r="30" spans="1:10" ht="12.75" customHeight="1">
      <c r="A30" s="35">
        <v>74</v>
      </c>
      <c r="B30" s="186" t="s">
        <v>30</v>
      </c>
      <c r="C30" s="36">
        <v>9</v>
      </c>
      <c r="D30" s="36">
        <v>5</v>
      </c>
      <c r="E30" s="36">
        <v>3</v>
      </c>
      <c r="F30" s="36">
        <v>1</v>
      </c>
      <c r="G30" s="36">
        <v>0</v>
      </c>
      <c r="H30" s="36">
        <v>0</v>
      </c>
      <c r="I30" s="36">
        <v>0</v>
      </c>
      <c r="J30" s="36">
        <v>0</v>
      </c>
    </row>
    <row r="31" spans="1:10" ht="12.75" customHeight="1">
      <c r="A31" s="35">
        <v>75</v>
      </c>
      <c r="B31" s="186" t="s">
        <v>31</v>
      </c>
      <c r="C31" s="36">
        <v>12</v>
      </c>
      <c r="D31" s="36">
        <v>5</v>
      </c>
      <c r="E31" s="36">
        <v>1</v>
      </c>
      <c r="F31" s="36">
        <v>1</v>
      </c>
      <c r="G31" s="36">
        <v>1</v>
      </c>
      <c r="H31" s="36">
        <v>1</v>
      </c>
      <c r="I31" s="36">
        <v>0</v>
      </c>
      <c r="J31" s="36">
        <v>0</v>
      </c>
    </row>
    <row r="32" spans="1:10" ht="12.75" customHeight="1">
      <c r="A32" s="35">
        <v>76</v>
      </c>
      <c r="B32" s="186" t="s">
        <v>32</v>
      </c>
      <c r="C32" s="36">
        <v>21</v>
      </c>
      <c r="D32" s="36">
        <v>9</v>
      </c>
      <c r="E32" s="36">
        <v>5</v>
      </c>
      <c r="F32" s="36">
        <v>3</v>
      </c>
      <c r="G32" s="36">
        <v>0</v>
      </c>
      <c r="H32" s="36">
        <v>0</v>
      </c>
      <c r="I32" s="36">
        <v>0</v>
      </c>
      <c r="J32" s="36">
        <v>0</v>
      </c>
    </row>
    <row r="33" spans="1:12" ht="12.75" customHeight="1">
      <c r="A33" s="35">
        <v>79</v>
      </c>
      <c r="B33" s="186" t="s">
        <v>33</v>
      </c>
      <c r="C33" s="36">
        <v>22</v>
      </c>
      <c r="D33" s="36">
        <v>8</v>
      </c>
      <c r="E33" s="36">
        <v>0</v>
      </c>
      <c r="F33" s="36">
        <v>1</v>
      </c>
      <c r="G33" s="36">
        <v>0</v>
      </c>
      <c r="H33" s="36">
        <v>1</v>
      </c>
      <c r="I33" s="36">
        <v>0</v>
      </c>
      <c r="J33" s="36">
        <v>0</v>
      </c>
    </row>
    <row r="34" spans="1:12" ht="12.75" customHeight="1">
      <c r="A34" s="35">
        <v>80</v>
      </c>
      <c r="B34" s="186" t="s">
        <v>34</v>
      </c>
      <c r="C34" s="36">
        <v>1</v>
      </c>
      <c r="D34" s="36">
        <v>2</v>
      </c>
      <c r="E34" s="36">
        <v>0</v>
      </c>
      <c r="F34" s="36">
        <v>2</v>
      </c>
      <c r="G34" s="36">
        <v>1</v>
      </c>
      <c r="H34" s="36">
        <v>0</v>
      </c>
      <c r="I34" s="36">
        <v>0</v>
      </c>
      <c r="J34" s="36">
        <v>0</v>
      </c>
    </row>
    <row r="35" spans="1:12" ht="12.75" customHeight="1">
      <c r="A35" s="35">
        <v>81</v>
      </c>
      <c r="B35" s="186" t="s">
        <v>35</v>
      </c>
      <c r="C35" s="36">
        <v>12</v>
      </c>
      <c r="D35" s="36">
        <v>8</v>
      </c>
      <c r="E35" s="36">
        <v>3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</row>
    <row r="36" spans="1:12" ht="12.75" customHeight="1">
      <c r="A36" s="35">
        <v>83</v>
      </c>
      <c r="B36" s="186" t="s">
        <v>36</v>
      </c>
      <c r="C36" s="36">
        <v>2</v>
      </c>
      <c r="D36" s="36">
        <v>2</v>
      </c>
      <c r="E36" s="36">
        <v>0</v>
      </c>
      <c r="F36" s="36">
        <v>0</v>
      </c>
      <c r="G36" s="36">
        <v>1</v>
      </c>
      <c r="H36" s="36">
        <v>0</v>
      </c>
      <c r="I36" s="36">
        <v>0</v>
      </c>
      <c r="J36" s="36">
        <v>0</v>
      </c>
    </row>
    <row r="37" spans="1:12" ht="12.75" customHeight="1">
      <c r="A37" s="35">
        <v>84</v>
      </c>
      <c r="B37" s="186" t="s">
        <v>37</v>
      </c>
      <c r="C37" s="36">
        <v>4</v>
      </c>
      <c r="D37" s="36">
        <v>1</v>
      </c>
      <c r="E37" s="36">
        <v>2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</row>
    <row r="38" spans="1:12" ht="12.75" customHeight="1">
      <c r="A38" s="35">
        <v>85</v>
      </c>
      <c r="B38" s="186" t="s">
        <v>38</v>
      </c>
      <c r="C38" s="36">
        <v>9</v>
      </c>
      <c r="D38" s="36">
        <v>4</v>
      </c>
      <c r="E38" s="36">
        <v>2</v>
      </c>
      <c r="F38" s="36">
        <v>1</v>
      </c>
      <c r="G38" s="36">
        <v>0</v>
      </c>
      <c r="H38" s="36">
        <v>0</v>
      </c>
      <c r="I38" s="36">
        <v>0</v>
      </c>
      <c r="J38" s="36">
        <v>0</v>
      </c>
    </row>
    <row r="39" spans="1:12" ht="12.75" customHeight="1">
      <c r="A39" s="35">
        <v>87</v>
      </c>
      <c r="B39" s="186" t="s">
        <v>39</v>
      </c>
      <c r="C39" s="36">
        <v>9</v>
      </c>
      <c r="D39" s="36">
        <v>9</v>
      </c>
      <c r="E39" s="36">
        <v>2</v>
      </c>
      <c r="F39" s="36">
        <v>0</v>
      </c>
      <c r="G39" s="36">
        <v>1</v>
      </c>
      <c r="H39" s="36">
        <v>0</v>
      </c>
      <c r="I39" s="36">
        <v>0</v>
      </c>
      <c r="J39" s="36">
        <v>0</v>
      </c>
    </row>
    <row r="40" spans="1:12" ht="12.75" customHeight="1">
      <c r="A40" s="35">
        <v>90</v>
      </c>
      <c r="B40" s="186" t="s">
        <v>40</v>
      </c>
      <c r="C40" s="36">
        <v>14</v>
      </c>
      <c r="D40" s="36">
        <v>3</v>
      </c>
      <c r="E40" s="36">
        <v>4</v>
      </c>
      <c r="F40" s="36">
        <v>1</v>
      </c>
      <c r="G40" s="36">
        <v>0</v>
      </c>
      <c r="H40" s="36">
        <v>0</v>
      </c>
      <c r="I40" s="36">
        <v>0</v>
      </c>
      <c r="J40" s="36">
        <v>0</v>
      </c>
    </row>
    <row r="41" spans="1:12" ht="12.75" customHeight="1">
      <c r="A41" s="35">
        <v>91</v>
      </c>
      <c r="B41" s="186" t="s">
        <v>41</v>
      </c>
      <c r="C41" s="36">
        <v>8</v>
      </c>
      <c r="D41" s="36">
        <v>4</v>
      </c>
      <c r="E41" s="36">
        <v>1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11"/>
    </row>
    <row r="42" spans="1:12" ht="12.75" customHeight="1">
      <c r="A42" s="35">
        <v>92</v>
      </c>
      <c r="B42" s="186" t="s">
        <v>42</v>
      </c>
      <c r="C42" s="36">
        <v>20</v>
      </c>
      <c r="D42" s="36">
        <v>2</v>
      </c>
      <c r="E42" s="36">
        <v>4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</row>
    <row r="43" spans="1:12" ht="12.75" customHeight="1">
      <c r="A43" s="35">
        <v>94</v>
      </c>
      <c r="B43" s="186" t="s">
        <v>43</v>
      </c>
      <c r="C43" s="36">
        <v>5</v>
      </c>
      <c r="D43" s="36">
        <v>5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</row>
    <row r="44" spans="1:12" ht="12.75" customHeight="1">
      <c r="A44" s="35">
        <v>96</v>
      </c>
      <c r="B44" s="186" t="s">
        <v>44</v>
      </c>
      <c r="C44" s="36">
        <v>7</v>
      </c>
      <c r="D44" s="36">
        <v>6</v>
      </c>
      <c r="E44" s="36">
        <v>1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L44" s="11"/>
    </row>
    <row r="45" spans="1:12" ht="12.75" customHeight="1">
      <c r="A45" s="35">
        <v>98</v>
      </c>
      <c r="B45" s="186" t="s">
        <v>45</v>
      </c>
      <c r="C45" s="131" t="s">
        <v>126</v>
      </c>
      <c r="D45" s="131" t="s">
        <v>126</v>
      </c>
      <c r="E45" s="131" t="s">
        <v>126</v>
      </c>
      <c r="F45" s="131" t="s">
        <v>126</v>
      </c>
      <c r="G45" s="149" t="s">
        <v>126</v>
      </c>
      <c r="H45" s="150" t="s">
        <v>126</v>
      </c>
      <c r="I45" s="150" t="s">
        <v>126</v>
      </c>
      <c r="J45" s="150" t="s">
        <v>126</v>
      </c>
      <c r="L45" s="41"/>
    </row>
    <row r="46" spans="1:12" ht="12.75" customHeight="1">
      <c r="A46" s="35">
        <v>72</v>
      </c>
      <c r="B46" s="39" t="s">
        <v>46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</row>
    <row r="47" spans="1:12" s="11" customFormat="1" ht="25.5" customHeight="1">
      <c r="B47" s="11" t="s">
        <v>47</v>
      </c>
      <c r="C47" s="42">
        <f>SUM(C48:C54)</f>
        <v>240</v>
      </c>
      <c r="D47" s="42">
        <f t="shared" ref="D47:J47" si="2">SUM(D48:D54)</f>
        <v>123</v>
      </c>
      <c r="E47" s="42">
        <f t="shared" si="2"/>
        <v>53</v>
      </c>
      <c r="F47" s="42">
        <f t="shared" si="2"/>
        <v>41</v>
      </c>
      <c r="G47" s="42">
        <f t="shared" si="2"/>
        <v>38</v>
      </c>
      <c r="H47" s="42">
        <f t="shared" si="2"/>
        <v>20</v>
      </c>
      <c r="I47" s="42">
        <f t="shared" si="2"/>
        <v>0</v>
      </c>
      <c r="J47" s="42">
        <f t="shared" si="2"/>
        <v>0</v>
      </c>
    </row>
    <row r="48" spans="1:12" ht="12.75" customHeight="1">
      <c r="A48" s="35">
        <v>66</v>
      </c>
      <c r="B48" s="186" t="s">
        <v>48</v>
      </c>
      <c r="C48" s="36">
        <v>16</v>
      </c>
      <c r="D48" s="36">
        <v>12</v>
      </c>
      <c r="E48" s="36">
        <v>0</v>
      </c>
      <c r="F48" s="36">
        <v>1</v>
      </c>
      <c r="G48" s="36">
        <v>0</v>
      </c>
      <c r="H48" s="36">
        <v>1</v>
      </c>
      <c r="I48" s="36">
        <v>0</v>
      </c>
      <c r="J48" s="36">
        <v>0</v>
      </c>
    </row>
    <row r="49" spans="1:12" ht="12.75" customHeight="1">
      <c r="A49" s="35">
        <v>78</v>
      </c>
      <c r="B49" s="186" t="s">
        <v>49</v>
      </c>
      <c r="C49" s="36">
        <v>14</v>
      </c>
      <c r="D49" s="36">
        <v>2</v>
      </c>
      <c r="E49" s="36">
        <v>4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</row>
    <row r="50" spans="1:12" ht="12.75" customHeight="1">
      <c r="A50" s="35">
        <v>89</v>
      </c>
      <c r="B50" s="186" t="s">
        <v>50</v>
      </c>
      <c r="C50" s="36">
        <v>21</v>
      </c>
      <c r="D50" s="36">
        <v>15</v>
      </c>
      <c r="E50" s="36">
        <v>0</v>
      </c>
      <c r="F50" s="36">
        <v>3</v>
      </c>
      <c r="G50" s="36">
        <v>3</v>
      </c>
      <c r="H50" s="36">
        <v>2</v>
      </c>
      <c r="I50" s="36">
        <v>0</v>
      </c>
      <c r="J50" s="36">
        <v>0</v>
      </c>
    </row>
    <row r="51" spans="1:12" ht="12.75" customHeight="1">
      <c r="A51" s="35">
        <v>93</v>
      </c>
      <c r="B51" s="186" t="s">
        <v>51</v>
      </c>
      <c r="C51" s="36">
        <v>13</v>
      </c>
      <c r="D51" s="36">
        <v>0</v>
      </c>
      <c r="E51" s="36">
        <v>1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</row>
    <row r="52" spans="1:12" ht="12.75" customHeight="1">
      <c r="A52" s="35">
        <v>95</v>
      </c>
      <c r="B52" s="186" t="s">
        <v>52</v>
      </c>
      <c r="C52" s="36">
        <v>31</v>
      </c>
      <c r="D52" s="36">
        <v>12</v>
      </c>
      <c r="E52" s="36">
        <v>4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</row>
    <row r="53" spans="1:12" ht="12.75" customHeight="1">
      <c r="A53" s="35">
        <v>97</v>
      </c>
      <c r="B53" s="186" t="s">
        <v>53</v>
      </c>
      <c r="C53" s="36">
        <v>53</v>
      </c>
      <c r="D53" s="36">
        <v>7</v>
      </c>
      <c r="E53" s="36">
        <v>5</v>
      </c>
      <c r="F53" s="36">
        <v>0</v>
      </c>
      <c r="G53" s="36">
        <v>3</v>
      </c>
      <c r="H53" s="36">
        <v>1</v>
      </c>
      <c r="I53" s="36">
        <v>0</v>
      </c>
      <c r="J53" s="36">
        <v>0</v>
      </c>
    </row>
    <row r="54" spans="1:12" ht="12.75" customHeight="1">
      <c r="A54" s="35">
        <v>77</v>
      </c>
      <c r="B54" s="188" t="s">
        <v>54</v>
      </c>
      <c r="C54" s="36">
        <v>92</v>
      </c>
      <c r="D54" s="36">
        <v>75</v>
      </c>
      <c r="E54" s="36">
        <v>39</v>
      </c>
      <c r="F54" s="36">
        <v>37</v>
      </c>
      <c r="G54" s="36">
        <v>32</v>
      </c>
      <c r="H54" s="36">
        <v>16</v>
      </c>
      <c r="I54" s="36">
        <v>0</v>
      </c>
      <c r="J54" s="36">
        <v>0</v>
      </c>
    </row>
    <row r="55" spans="1:12" s="41" customFormat="1" ht="13.5" customHeight="1">
      <c r="A55" s="28"/>
      <c r="C55" s="46"/>
      <c r="D55" s="47"/>
      <c r="E55" s="46"/>
      <c r="F55" s="46"/>
      <c r="G55" s="46"/>
      <c r="H55" s="46"/>
      <c r="I55" s="46"/>
      <c r="J55" s="46"/>
      <c r="K55" s="186"/>
      <c r="L55" s="186"/>
    </row>
    <row r="56" spans="1:12" ht="18.75" customHeight="1">
      <c r="B56" s="35" t="s">
        <v>55</v>
      </c>
    </row>
    <row r="57" spans="1:12">
      <c r="B57" s="229" t="s">
        <v>56</v>
      </c>
      <c r="C57" s="229"/>
      <c r="D57" s="229"/>
      <c r="E57" s="229"/>
      <c r="F57" s="229"/>
      <c r="G57" s="229"/>
      <c r="H57" s="229"/>
      <c r="I57" s="229"/>
      <c r="J57" s="229"/>
    </row>
    <row r="58" spans="1:12" ht="12.75" customHeight="1">
      <c r="B58" s="229"/>
      <c r="C58" s="229"/>
      <c r="D58" s="229"/>
      <c r="E58" s="229"/>
      <c r="F58" s="229"/>
      <c r="G58" s="229"/>
      <c r="H58" s="229"/>
      <c r="I58" s="229"/>
      <c r="J58" s="229"/>
    </row>
    <row r="59" spans="1:12" ht="18.75" customHeight="1">
      <c r="B59" s="229"/>
      <c r="C59" s="229"/>
      <c r="D59" s="229"/>
      <c r="E59" s="229"/>
      <c r="F59" s="229"/>
      <c r="G59" s="229"/>
      <c r="H59" s="229"/>
      <c r="I59" s="229"/>
      <c r="J59" s="229"/>
    </row>
    <row r="60" spans="1:12" ht="18.75" customHeight="1">
      <c r="B60" s="229"/>
      <c r="C60" s="229"/>
      <c r="D60" s="229"/>
      <c r="E60" s="229"/>
      <c r="F60" s="229"/>
      <c r="G60" s="229"/>
      <c r="H60" s="229"/>
      <c r="I60" s="229"/>
      <c r="J60" s="229"/>
    </row>
    <row r="61" spans="1:12" ht="18.75" customHeight="1">
      <c r="B61" s="229"/>
      <c r="C61" s="229"/>
      <c r="D61" s="229"/>
      <c r="E61" s="229"/>
      <c r="F61" s="229"/>
      <c r="G61" s="229"/>
      <c r="H61" s="229"/>
      <c r="I61" s="229"/>
      <c r="J61" s="229"/>
    </row>
    <row r="62" spans="1:12" ht="17.25" customHeight="1">
      <c r="B62" s="229"/>
      <c r="C62" s="229"/>
      <c r="D62" s="229"/>
      <c r="E62" s="229"/>
      <c r="F62" s="229"/>
      <c r="G62" s="229"/>
      <c r="H62" s="229"/>
      <c r="I62" s="229"/>
      <c r="J62" s="229"/>
    </row>
    <row r="63" spans="1:12" ht="15.75" customHeight="1">
      <c r="B63" s="35" t="s">
        <v>61</v>
      </c>
    </row>
    <row r="64" spans="1:12" ht="9.75" customHeight="1">
      <c r="B64" s="229"/>
      <c r="C64" s="229"/>
      <c r="D64" s="229"/>
      <c r="E64" s="48"/>
      <c r="F64" s="48"/>
      <c r="G64" s="48"/>
      <c r="H64" s="48"/>
      <c r="I64" s="48"/>
      <c r="J64" s="48"/>
    </row>
    <row r="65" spans="2:2" ht="18.75" customHeight="1">
      <c r="B65" s="24" t="s">
        <v>62</v>
      </c>
    </row>
    <row r="66" spans="2:2">
      <c r="B66" s="26"/>
    </row>
    <row r="68" spans="2:2">
      <c r="B68" s="27"/>
    </row>
  </sheetData>
  <mergeCells count="7">
    <mergeCell ref="B64:D64"/>
    <mergeCell ref="B1:J1"/>
    <mergeCell ref="B2:B4"/>
    <mergeCell ref="C2:D3"/>
    <mergeCell ref="E2:H2"/>
    <mergeCell ref="I2:J3"/>
    <mergeCell ref="B57:J6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K65"/>
  <sheetViews>
    <sheetView showGridLines="0" zoomScale="85" workbookViewId="0">
      <pane xSplit="2" ySplit="3" topLeftCell="C4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RowHeight="12.75"/>
  <cols>
    <col min="1" max="1" width="3.140625" style="1" hidden="1" customWidth="1"/>
    <col min="2" max="2" width="24.7109375" style="186" customWidth="1"/>
    <col min="3" max="3" width="18" style="52" customWidth="1"/>
    <col min="4" max="4" width="18.42578125" style="52" customWidth="1"/>
    <col min="5" max="5" width="13.85546875" style="52" customWidth="1"/>
    <col min="6" max="6" width="14" style="52" customWidth="1"/>
    <col min="7" max="256" width="9.140625" style="186"/>
    <col min="257" max="257" width="0" style="186" hidden="1" customWidth="1"/>
    <col min="258" max="258" width="24.7109375" style="186" customWidth="1"/>
    <col min="259" max="259" width="18" style="186" customWidth="1"/>
    <col min="260" max="260" width="18.42578125" style="186" customWidth="1"/>
    <col min="261" max="261" width="13.85546875" style="186" customWidth="1"/>
    <col min="262" max="262" width="14" style="186" customWidth="1"/>
    <col min="263" max="512" width="9.140625" style="186"/>
    <col min="513" max="513" width="0" style="186" hidden="1" customWidth="1"/>
    <col min="514" max="514" width="24.7109375" style="186" customWidth="1"/>
    <col min="515" max="515" width="18" style="186" customWidth="1"/>
    <col min="516" max="516" width="18.42578125" style="186" customWidth="1"/>
    <col min="517" max="517" width="13.85546875" style="186" customWidth="1"/>
    <col min="518" max="518" width="14" style="186" customWidth="1"/>
    <col min="519" max="768" width="9.140625" style="186"/>
    <col min="769" max="769" width="0" style="186" hidden="1" customWidth="1"/>
    <col min="770" max="770" width="24.7109375" style="186" customWidth="1"/>
    <col min="771" max="771" width="18" style="186" customWidth="1"/>
    <col min="772" max="772" width="18.42578125" style="186" customWidth="1"/>
    <col min="773" max="773" width="13.85546875" style="186" customWidth="1"/>
    <col min="774" max="774" width="14" style="186" customWidth="1"/>
    <col min="775" max="1024" width="9.140625" style="186"/>
    <col min="1025" max="1025" width="0" style="186" hidden="1" customWidth="1"/>
    <col min="1026" max="1026" width="24.7109375" style="186" customWidth="1"/>
    <col min="1027" max="1027" width="18" style="186" customWidth="1"/>
    <col min="1028" max="1028" width="18.42578125" style="186" customWidth="1"/>
    <col min="1029" max="1029" width="13.85546875" style="186" customWidth="1"/>
    <col min="1030" max="1030" width="14" style="186" customWidth="1"/>
    <col min="1031" max="1280" width="9.140625" style="186"/>
    <col min="1281" max="1281" width="0" style="186" hidden="1" customWidth="1"/>
    <col min="1282" max="1282" width="24.7109375" style="186" customWidth="1"/>
    <col min="1283" max="1283" width="18" style="186" customWidth="1"/>
    <col min="1284" max="1284" width="18.42578125" style="186" customWidth="1"/>
    <col min="1285" max="1285" width="13.85546875" style="186" customWidth="1"/>
    <col min="1286" max="1286" width="14" style="186" customWidth="1"/>
    <col min="1287" max="1536" width="9.140625" style="186"/>
    <col min="1537" max="1537" width="0" style="186" hidden="1" customWidth="1"/>
    <col min="1538" max="1538" width="24.7109375" style="186" customWidth="1"/>
    <col min="1539" max="1539" width="18" style="186" customWidth="1"/>
    <col min="1540" max="1540" width="18.42578125" style="186" customWidth="1"/>
    <col min="1541" max="1541" width="13.85546875" style="186" customWidth="1"/>
    <col min="1542" max="1542" width="14" style="186" customWidth="1"/>
    <col min="1543" max="1792" width="9.140625" style="186"/>
    <col min="1793" max="1793" width="0" style="186" hidden="1" customWidth="1"/>
    <col min="1794" max="1794" width="24.7109375" style="186" customWidth="1"/>
    <col min="1795" max="1795" width="18" style="186" customWidth="1"/>
    <col min="1796" max="1796" width="18.42578125" style="186" customWidth="1"/>
    <col min="1797" max="1797" width="13.85546875" style="186" customWidth="1"/>
    <col min="1798" max="1798" width="14" style="186" customWidth="1"/>
    <col min="1799" max="2048" width="9.140625" style="186"/>
    <col min="2049" max="2049" width="0" style="186" hidden="1" customWidth="1"/>
    <col min="2050" max="2050" width="24.7109375" style="186" customWidth="1"/>
    <col min="2051" max="2051" width="18" style="186" customWidth="1"/>
    <col min="2052" max="2052" width="18.42578125" style="186" customWidth="1"/>
    <col min="2053" max="2053" width="13.85546875" style="186" customWidth="1"/>
    <col min="2054" max="2054" width="14" style="186" customWidth="1"/>
    <col min="2055" max="2304" width="9.140625" style="186"/>
    <col min="2305" max="2305" width="0" style="186" hidden="1" customWidth="1"/>
    <col min="2306" max="2306" width="24.7109375" style="186" customWidth="1"/>
    <col min="2307" max="2307" width="18" style="186" customWidth="1"/>
    <col min="2308" max="2308" width="18.42578125" style="186" customWidth="1"/>
    <col min="2309" max="2309" width="13.85546875" style="186" customWidth="1"/>
    <col min="2310" max="2310" width="14" style="186" customWidth="1"/>
    <col min="2311" max="2560" width="9.140625" style="186"/>
    <col min="2561" max="2561" width="0" style="186" hidden="1" customWidth="1"/>
    <col min="2562" max="2562" width="24.7109375" style="186" customWidth="1"/>
    <col min="2563" max="2563" width="18" style="186" customWidth="1"/>
    <col min="2564" max="2564" width="18.42578125" style="186" customWidth="1"/>
    <col min="2565" max="2565" width="13.85546875" style="186" customWidth="1"/>
    <col min="2566" max="2566" width="14" style="186" customWidth="1"/>
    <col min="2567" max="2816" width="9.140625" style="186"/>
    <col min="2817" max="2817" width="0" style="186" hidden="1" customWidth="1"/>
    <col min="2818" max="2818" width="24.7109375" style="186" customWidth="1"/>
    <col min="2819" max="2819" width="18" style="186" customWidth="1"/>
    <col min="2820" max="2820" width="18.42578125" style="186" customWidth="1"/>
    <col min="2821" max="2821" width="13.85546875" style="186" customWidth="1"/>
    <col min="2822" max="2822" width="14" style="186" customWidth="1"/>
    <col min="2823" max="3072" width="9.140625" style="186"/>
    <col min="3073" max="3073" width="0" style="186" hidden="1" customWidth="1"/>
    <col min="3074" max="3074" width="24.7109375" style="186" customWidth="1"/>
    <col min="3075" max="3075" width="18" style="186" customWidth="1"/>
    <col min="3076" max="3076" width="18.42578125" style="186" customWidth="1"/>
    <col min="3077" max="3077" width="13.85546875" style="186" customWidth="1"/>
    <col min="3078" max="3078" width="14" style="186" customWidth="1"/>
    <col min="3079" max="3328" width="9.140625" style="186"/>
    <col min="3329" max="3329" width="0" style="186" hidden="1" customWidth="1"/>
    <col min="3330" max="3330" width="24.7109375" style="186" customWidth="1"/>
    <col min="3331" max="3331" width="18" style="186" customWidth="1"/>
    <col min="3332" max="3332" width="18.42578125" style="186" customWidth="1"/>
    <col min="3333" max="3333" width="13.85546875" style="186" customWidth="1"/>
    <col min="3334" max="3334" width="14" style="186" customWidth="1"/>
    <col min="3335" max="3584" width="9.140625" style="186"/>
    <col min="3585" max="3585" width="0" style="186" hidden="1" customWidth="1"/>
    <col min="3586" max="3586" width="24.7109375" style="186" customWidth="1"/>
    <col min="3587" max="3587" width="18" style="186" customWidth="1"/>
    <col min="3588" max="3588" width="18.42578125" style="186" customWidth="1"/>
    <col min="3589" max="3589" width="13.85546875" style="186" customWidth="1"/>
    <col min="3590" max="3590" width="14" style="186" customWidth="1"/>
    <col min="3591" max="3840" width="9.140625" style="186"/>
    <col min="3841" max="3841" width="0" style="186" hidden="1" customWidth="1"/>
    <col min="3842" max="3842" width="24.7109375" style="186" customWidth="1"/>
    <col min="3843" max="3843" width="18" style="186" customWidth="1"/>
    <col min="3844" max="3844" width="18.42578125" style="186" customWidth="1"/>
    <col min="3845" max="3845" width="13.85546875" style="186" customWidth="1"/>
    <col min="3846" max="3846" width="14" style="186" customWidth="1"/>
    <col min="3847" max="4096" width="9.140625" style="186"/>
    <col min="4097" max="4097" width="0" style="186" hidden="1" customWidth="1"/>
    <col min="4098" max="4098" width="24.7109375" style="186" customWidth="1"/>
    <col min="4099" max="4099" width="18" style="186" customWidth="1"/>
    <col min="4100" max="4100" width="18.42578125" style="186" customWidth="1"/>
    <col min="4101" max="4101" width="13.85546875" style="186" customWidth="1"/>
    <col min="4102" max="4102" width="14" style="186" customWidth="1"/>
    <col min="4103" max="4352" width="9.140625" style="186"/>
    <col min="4353" max="4353" width="0" style="186" hidden="1" customWidth="1"/>
    <col min="4354" max="4354" width="24.7109375" style="186" customWidth="1"/>
    <col min="4355" max="4355" width="18" style="186" customWidth="1"/>
    <col min="4356" max="4356" width="18.42578125" style="186" customWidth="1"/>
    <col min="4357" max="4357" width="13.85546875" style="186" customWidth="1"/>
    <col min="4358" max="4358" width="14" style="186" customWidth="1"/>
    <col min="4359" max="4608" width="9.140625" style="186"/>
    <col min="4609" max="4609" width="0" style="186" hidden="1" customWidth="1"/>
    <col min="4610" max="4610" width="24.7109375" style="186" customWidth="1"/>
    <col min="4611" max="4611" width="18" style="186" customWidth="1"/>
    <col min="4612" max="4612" width="18.42578125" style="186" customWidth="1"/>
    <col min="4613" max="4613" width="13.85546875" style="186" customWidth="1"/>
    <col min="4614" max="4614" width="14" style="186" customWidth="1"/>
    <col min="4615" max="4864" width="9.140625" style="186"/>
    <col min="4865" max="4865" width="0" style="186" hidden="1" customWidth="1"/>
    <col min="4866" max="4866" width="24.7109375" style="186" customWidth="1"/>
    <col min="4867" max="4867" width="18" style="186" customWidth="1"/>
    <col min="4868" max="4868" width="18.42578125" style="186" customWidth="1"/>
    <col min="4869" max="4869" width="13.85546875" style="186" customWidth="1"/>
    <col min="4870" max="4870" width="14" style="186" customWidth="1"/>
    <col min="4871" max="5120" width="9.140625" style="186"/>
    <col min="5121" max="5121" width="0" style="186" hidden="1" customWidth="1"/>
    <col min="5122" max="5122" width="24.7109375" style="186" customWidth="1"/>
    <col min="5123" max="5123" width="18" style="186" customWidth="1"/>
    <col min="5124" max="5124" width="18.42578125" style="186" customWidth="1"/>
    <col min="5125" max="5125" width="13.85546875" style="186" customWidth="1"/>
    <col min="5126" max="5126" width="14" style="186" customWidth="1"/>
    <col min="5127" max="5376" width="9.140625" style="186"/>
    <col min="5377" max="5377" width="0" style="186" hidden="1" customWidth="1"/>
    <col min="5378" max="5378" width="24.7109375" style="186" customWidth="1"/>
    <col min="5379" max="5379" width="18" style="186" customWidth="1"/>
    <col min="5380" max="5380" width="18.42578125" style="186" customWidth="1"/>
    <col min="5381" max="5381" width="13.85546875" style="186" customWidth="1"/>
    <col min="5382" max="5382" width="14" style="186" customWidth="1"/>
    <col min="5383" max="5632" width="9.140625" style="186"/>
    <col min="5633" max="5633" width="0" style="186" hidden="1" customWidth="1"/>
    <col min="5634" max="5634" width="24.7109375" style="186" customWidth="1"/>
    <col min="5635" max="5635" width="18" style="186" customWidth="1"/>
    <col min="5636" max="5636" width="18.42578125" style="186" customWidth="1"/>
    <col min="5637" max="5637" width="13.85546875" style="186" customWidth="1"/>
    <col min="5638" max="5638" width="14" style="186" customWidth="1"/>
    <col min="5639" max="5888" width="9.140625" style="186"/>
    <col min="5889" max="5889" width="0" style="186" hidden="1" customWidth="1"/>
    <col min="5890" max="5890" width="24.7109375" style="186" customWidth="1"/>
    <col min="5891" max="5891" width="18" style="186" customWidth="1"/>
    <col min="5892" max="5892" width="18.42578125" style="186" customWidth="1"/>
    <col min="5893" max="5893" width="13.85546875" style="186" customWidth="1"/>
    <col min="5894" max="5894" width="14" style="186" customWidth="1"/>
    <col min="5895" max="6144" width="9.140625" style="186"/>
    <col min="6145" max="6145" width="0" style="186" hidden="1" customWidth="1"/>
    <col min="6146" max="6146" width="24.7109375" style="186" customWidth="1"/>
    <col min="6147" max="6147" width="18" style="186" customWidth="1"/>
    <col min="6148" max="6148" width="18.42578125" style="186" customWidth="1"/>
    <col min="6149" max="6149" width="13.85546875" style="186" customWidth="1"/>
    <col min="6150" max="6150" width="14" style="186" customWidth="1"/>
    <col min="6151" max="6400" width="9.140625" style="186"/>
    <col min="6401" max="6401" width="0" style="186" hidden="1" customWidth="1"/>
    <col min="6402" max="6402" width="24.7109375" style="186" customWidth="1"/>
    <col min="6403" max="6403" width="18" style="186" customWidth="1"/>
    <col min="6404" max="6404" width="18.42578125" style="186" customWidth="1"/>
    <col min="6405" max="6405" width="13.85546875" style="186" customWidth="1"/>
    <col min="6406" max="6406" width="14" style="186" customWidth="1"/>
    <col min="6407" max="6656" width="9.140625" style="186"/>
    <col min="6657" max="6657" width="0" style="186" hidden="1" customWidth="1"/>
    <col min="6658" max="6658" width="24.7109375" style="186" customWidth="1"/>
    <col min="6659" max="6659" width="18" style="186" customWidth="1"/>
    <col min="6660" max="6660" width="18.42578125" style="186" customWidth="1"/>
    <col min="6661" max="6661" width="13.85546875" style="186" customWidth="1"/>
    <col min="6662" max="6662" width="14" style="186" customWidth="1"/>
    <col min="6663" max="6912" width="9.140625" style="186"/>
    <col min="6913" max="6913" width="0" style="186" hidden="1" customWidth="1"/>
    <col min="6914" max="6914" width="24.7109375" style="186" customWidth="1"/>
    <col min="6915" max="6915" width="18" style="186" customWidth="1"/>
    <col min="6916" max="6916" width="18.42578125" style="186" customWidth="1"/>
    <col min="6917" max="6917" width="13.85546875" style="186" customWidth="1"/>
    <col min="6918" max="6918" width="14" style="186" customWidth="1"/>
    <col min="6919" max="7168" width="9.140625" style="186"/>
    <col min="7169" max="7169" width="0" style="186" hidden="1" customWidth="1"/>
    <col min="7170" max="7170" width="24.7109375" style="186" customWidth="1"/>
    <col min="7171" max="7171" width="18" style="186" customWidth="1"/>
    <col min="7172" max="7172" width="18.42578125" style="186" customWidth="1"/>
    <col min="7173" max="7173" width="13.85546875" style="186" customWidth="1"/>
    <col min="7174" max="7174" width="14" style="186" customWidth="1"/>
    <col min="7175" max="7424" width="9.140625" style="186"/>
    <col min="7425" max="7425" width="0" style="186" hidden="1" customWidth="1"/>
    <col min="7426" max="7426" width="24.7109375" style="186" customWidth="1"/>
    <col min="7427" max="7427" width="18" style="186" customWidth="1"/>
    <col min="7428" max="7428" width="18.42578125" style="186" customWidth="1"/>
    <col min="7429" max="7429" width="13.85546875" style="186" customWidth="1"/>
    <col min="7430" max="7430" width="14" style="186" customWidth="1"/>
    <col min="7431" max="7680" width="9.140625" style="186"/>
    <col min="7681" max="7681" width="0" style="186" hidden="1" customWidth="1"/>
    <col min="7682" max="7682" width="24.7109375" style="186" customWidth="1"/>
    <col min="7683" max="7683" width="18" style="186" customWidth="1"/>
    <col min="7684" max="7684" width="18.42578125" style="186" customWidth="1"/>
    <col min="7685" max="7685" width="13.85546875" style="186" customWidth="1"/>
    <col min="7686" max="7686" width="14" style="186" customWidth="1"/>
    <col min="7687" max="7936" width="9.140625" style="186"/>
    <col min="7937" max="7937" width="0" style="186" hidden="1" customWidth="1"/>
    <col min="7938" max="7938" width="24.7109375" style="186" customWidth="1"/>
    <col min="7939" max="7939" width="18" style="186" customWidth="1"/>
    <col min="7940" max="7940" width="18.42578125" style="186" customWidth="1"/>
    <col min="7941" max="7941" width="13.85546875" style="186" customWidth="1"/>
    <col min="7942" max="7942" width="14" style="186" customWidth="1"/>
    <col min="7943" max="8192" width="9.140625" style="186"/>
    <col min="8193" max="8193" width="0" style="186" hidden="1" customWidth="1"/>
    <col min="8194" max="8194" width="24.7109375" style="186" customWidth="1"/>
    <col min="8195" max="8195" width="18" style="186" customWidth="1"/>
    <col min="8196" max="8196" width="18.42578125" style="186" customWidth="1"/>
    <col min="8197" max="8197" width="13.85546875" style="186" customWidth="1"/>
    <col min="8198" max="8198" width="14" style="186" customWidth="1"/>
    <col min="8199" max="8448" width="9.140625" style="186"/>
    <col min="8449" max="8449" width="0" style="186" hidden="1" customWidth="1"/>
    <col min="8450" max="8450" width="24.7109375" style="186" customWidth="1"/>
    <col min="8451" max="8451" width="18" style="186" customWidth="1"/>
    <col min="8452" max="8452" width="18.42578125" style="186" customWidth="1"/>
    <col min="8453" max="8453" width="13.85546875" style="186" customWidth="1"/>
    <col min="8454" max="8454" width="14" style="186" customWidth="1"/>
    <col min="8455" max="8704" width="9.140625" style="186"/>
    <col min="8705" max="8705" width="0" style="186" hidden="1" customWidth="1"/>
    <col min="8706" max="8706" width="24.7109375" style="186" customWidth="1"/>
    <col min="8707" max="8707" width="18" style="186" customWidth="1"/>
    <col min="8708" max="8708" width="18.42578125" style="186" customWidth="1"/>
    <col min="8709" max="8709" width="13.85546875" style="186" customWidth="1"/>
    <col min="8710" max="8710" width="14" style="186" customWidth="1"/>
    <col min="8711" max="8960" width="9.140625" style="186"/>
    <col min="8961" max="8961" width="0" style="186" hidden="1" customWidth="1"/>
    <col min="8962" max="8962" width="24.7109375" style="186" customWidth="1"/>
    <col min="8963" max="8963" width="18" style="186" customWidth="1"/>
    <col min="8964" max="8964" width="18.42578125" style="186" customWidth="1"/>
    <col min="8965" max="8965" width="13.85546875" style="186" customWidth="1"/>
    <col min="8966" max="8966" width="14" style="186" customWidth="1"/>
    <col min="8967" max="9216" width="9.140625" style="186"/>
    <col min="9217" max="9217" width="0" style="186" hidden="1" customWidth="1"/>
    <col min="9218" max="9218" width="24.7109375" style="186" customWidth="1"/>
    <col min="9219" max="9219" width="18" style="186" customWidth="1"/>
    <col min="9220" max="9220" width="18.42578125" style="186" customWidth="1"/>
    <col min="9221" max="9221" width="13.85546875" style="186" customWidth="1"/>
    <col min="9222" max="9222" width="14" style="186" customWidth="1"/>
    <col min="9223" max="9472" width="9.140625" style="186"/>
    <col min="9473" max="9473" width="0" style="186" hidden="1" customWidth="1"/>
    <col min="9474" max="9474" width="24.7109375" style="186" customWidth="1"/>
    <col min="9475" max="9475" width="18" style="186" customWidth="1"/>
    <col min="9476" max="9476" width="18.42578125" style="186" customWidth="1"/>
    <col min="9477" max="9477" width="13.85546875" style="186" customWidth="1"/>
    <col min="9478" max="9478" width="14" style="186" customWidth="1"/>
    <col min="9479" max="9728" width="9.140625" style="186"/>
    <col min="9729" max="9729" width="0" style="186" hidden="1" customWidth="1"/>
    <col min="9730" max="9730" width="24.7109375" style="186" customWidth="1"/>
    <col min="9731" max="9731" width="18" style="186" customWidth="1"/>
    <col min="9732" max="9732" width="18.42578125" style="186" customWidth="1"/>
    <col min="9733" max="9733" width="13.85546875" style="186" customWidth="1"/>
    <col min="9734" max="9734" width="14" style="186" customWidth="1"/>
    <col min="9735" max="9984" width="9.140625" style="186"/>
    <col min="9985" max="9985" width="0" style="186" hidden="1" customWidth="1"/>
    <col min="9986" max="9986" width="24.7109375" style="186" customWidth="1"/>
    <col min="9987" max="9987" width="18" style="186" customWidth="1"/>
    <col min="9988" max="9988" width="18.42578125" style="186" customWidth="1"/>
    <col min="9989" max="9989" width="13.85546875" style="186" customWidth="1"/>
    <col min="9990" max="9990" width="14" style="186" customWidth="1"/>
    <col min="9991" max="10240" width="9.140625" style="186"/>
    <col min="10241" max="10241" width="0" style="186" hidden="1" customWidth="1"/>
    <col min="10242" max="10242" width="24.7109375" style="186" customWidth="1"/>
    <col min="10243" max="10243" width="18" style="186" customWidth="1"/>
    <col min="10244" max="10244" width="18.42578125" style="186" customWidth="1"/>
    <col min="10245" max="10245" width="13.85546875" style="186" customWidth="1"/>
    <col min="10246" max="10246" width="14" style="186" customWidth="1"/>
    <col min="10247" max="10496" width="9.140625" style="186"/>
    <col min="10497" max="10497" width="0" style="186" hidden="1" customWidth="1"/>
    <col min="10498" max="10498" width="24.7109375" style="186" customWidth="1"/>
    <col min="10499" max="10499" width="18" style="186" customWidth="1"/>
    <col min="10500" max="10500" width="18.42578125" style="186" customWidth="1"/>
    <col min="10501" max="10501" width="13.85546875" style="186" customWidth="1"/>
    <col min="10502" max="10502" width="14" style="186" customWidth="1"/>
    <col min="10503" max="10752" width="9.140625" style="186"/>
    <col min="10753" max="10753" width="0" style="186" hidden="1" customWidth="1"/>
    <col min="10754" max="10754" width="24.7109375" style="186" customWidth="1"/>
    <col min="10755" max="10755" width="18" style="186" customWidth="1"/>
    <col min="10756" max="10756" width="18.42578125" style="186" customWidth="1"/>
    <col min="10757" max="10757" width="13.85546875" style="186" customWidth="1"/>
    <col min="10758" max="10758" width="14" style="186" customWidth="1"/>
    <col min="10759" max="11008" width="9.140625" style="186"/>
    <col min="11009" max="11009" width="0" style="186" hidden="1" customWidth="1"/>
    <col min="11010" max="11010" width="24.7109375" style="186" customWidth="1"/>
    <col min="11011" max="11011" width="18" style="186" customWidth="1"/>
    <col min="11012" max="11012" width="18.42578125" style="186" customWidth="1"/>
    <col min="11013" max="11013" width="13.85546875" style="186" customWidth="1"/>
    <col min="11014" max="11014" width="14" style="186" customWidth="1"/>
    <col min="11015" max="11264" width="9.140625" style="186"/>
    <col min="11265" max="11265" width="0" style="186" hidden="1" customWidth="1"/>
    <col min="11266" max="11266" width="24.7109375" style="186" customWidth="1"/>
    <col min="11267" max="11267" width="18" style="186" customWidth="1"/>
    <col min="11268" max="11268" width="18.42578125" style="186" customWidth="1"/>
    <col min="11269" max="11269" width="13.85546875" style="186" customWidth="1"/>
    <col min="11270" max="11270" width="14" style="186" customWidth="1"/>
    <col min="11271" max="11520" width="9.140625" style="186"/>
    <col min="11521" max="11521" width="0" style="186" hidden="1" customWidth="1"/>
    <col min="11522" max="11522" width="24.7109375" style="186" customWidth="1"/>
    <col min="11523" max="11523" width="18" style="186" customWidth="1"/>
    <col min="11524" max="11524" width="18.42578125" style="186" customWidth="1"/>
    <col min="11525" max="11525" width="13.85546875" style="186" customWidth="1"/>
    <col min="11526" max="11526" width="14" style="186" customWidth="1"/>
    <col min="11527" max="11776" width="9.140625" style="186"/>
    <col min="11777" max="11777" width="0" style="186" hidden="1" customWidth="1"/>
    <col min="11778" max="11778" width="24.7109375" style="186" customWidth="1"/>
    <col min="11779" max="11779" width="18" style="186" customWidth="1"/>
    <col min="11780" max="11780" width="18.42578125" style="186" customWidth="1"/>
    <col min="11781" max="11781" width="13.85546875" style="186" customWidth="1"/>
    <col min="11782" max="11782" width="14" style="186" customWidth="1"/>
    <col min="11783" max="12032" width="9.140625" style="186"/>
    <col min="12033" max="12033" width="0" style="186" hidden="1" customWidth="1"/>
    <col min="12034" max="12034" width="24.7109375" style="186" customWidth="1"/>
    <col min="12035" max="12035" width="18" style="186" customWidth="1"/>
    <col min="12036" max="12036" width="18.42578125" style="186" customWidth="1"/>
    <col min="12037" max="12037" width="13.85546875" style="186" customWidth="1"/>
    <col min="12038" max="12038" width="14" style="186" customWidth="1"/>
    <col min="12039" max="12288" width="9.140625" style="186"/>
    <col min="12289" max="12289" width="0" style="186" hidden="1" customWidth="1"/>
    <col min="12290" max="12290" width="24.7109375" style="186" customWidth="1"/>
    <col min="12291" max="12291" width="18" style="186" customWidth="1"/>
    <col min="12292" max="12292" width="18.42578125" style="186" customWidth="1"/>
    <col min="12293" max="12293" width="13.85546875" style="186" customWidth="1"/>
    <col min="12294" max="12294" width="14" style="186" customWidth="1"/>
    <col min="12295" max="12544" width="9.140625" style="186"/>
    <col min="12545" max="12545" width="0" style="186" hidden="1" customWidth="1"/>
    <col min="12546" max="12546" width="24.7109375" style="186" customWidth="1"/>
    <col min="12547" max="12547" width="18" style="186" customWidth="1"/>
    <col min="12548" max="12548" width="18.42578125" style="186" customWidth="1"/>
    <col min="12549" max="12549" width="13.85546875" style="186" customWidth="1"/>
    <col min="12550" max="12550" width="14" style="186" customWidth="1"/>
    <col min="12551" max="12800" width="9.140625" style="186"/>
    <col min="12801" max="12801" width="0" style="186" hidden="1" customWidth="1"/>
    <col min="12802" max="12802" width="24.7109375" style="186" customWidth="1"/>
    <col min="12803" max="12803" width="18" style="186" customWidth="1"/>
    <col min="12804" max="12804" width="18.42578125" style="186" customWidth="1"/>
    <col min="12805" max="12805" width="13.85546875" style="186" customWidth="1"/>
    <col min="12806" max="12806" width="14" style="186" customWidth="1"/>
    <col min="12807" max="13056" width="9.140625" style="186"/>
    <col min="13057" max="13057" width="0" style="186" hidden="1" customWidth="1"/>
    <col min="13058" max="13058" width="24.7109375" style="186" customWidth="1"/>
    <col min="13059" max="13059" width="18" style="186" customWidth="1"/>
    <col min="13060" max="13060" width="18.42578125" style="186" customWidth="1"/>
    <col min="13061" max="13061" width="13.85546875" style="186" customWidth="1"/>
    <col min="13062" max="13062" width="14" style="186" customWidth="1"/>
    <col min="13063" max="13312" width="9.140625" style="186"/>
    <col min="13313" max="13313" width="0" style="186" hidden="1" customWidth="1"/>
    <col min="13314" max="13314" width="24.7109375" style="186" customWidth="1"/>
    <col min="13315" max="13315" width="18" style="186" customWidth="1"/>
    <col min="13316" max="13316" width="18.42578125" style="186" customWidth="1"/>
    <col min="13317" max="13317" width="13.85546875" style="186" customWidth="1"/>
    <col min="13318" max="13318" width="14" style="186" customWidth="1"/>
    <col min="13319" max="13568" width="9.140625" style="186"/>
    <col min="13569" max="13569" width="0" style="186" hidden="1" customWidth="1"/>
    <col min="13570" max="13570" width="24.7109375" style="186" customWidth="1"/>
    <col min="13571" max="13571" width="18" style="186" customWidth="1"/>
    <col min="13572" max="13572" width="18.42578125" style="186" customWidth="1"/>
    <col min="13573" max="13573" width="13.85546875" style="186" customWidth="1"/>
    <col min="13574" max="13574" width="14" style="186" customWidth="1"/>
    <col min="13575" max="13824" width="9.140625" style="186"/>
    <col min="13825" max="13825" width="0" style="186" hidden="1" customWidth="1"/>
    <col min="13826" max="13826" width="24.7109375" style="186" customWidth="1"/>
    <col min="13827" max="13827" width="18" style="186" customWidth="1"/>
    <col min="13828" max="13828" width="18.42578125" style="186" customWidth="1"/>
    <col min="13829" max="13829" width="13.85546875" style="186" customWidth="1"/>
    <col min="13830" max="13830" width="14" style="186" customWidth="1"/>
    <col min="13831" max="14080" width="9.140625" style="186"/>
    <col min="14081" max="14081" width="0" style="186" hidden="1" customWidth="1"/>
    <col min="14082" max="14082" width="24.7109375" style="186" customWidth="1"/>
    <col min="14083" max="14083" width="18" style="186" customWidth="1"/>
    <col min="14084" max="14084" width="18.42578125" style="186" customWidth="1"/>
    <col min="14085" max="14085" width="13.85546875" style="186" customWidth="1"/>
    <col min="14086" max="14086" width="14" style="186" customWidth="1"/>
    <col min="14087" max="14336" width="9.140625" style="186"/>
    <col min="14337" max="14337" width="0" style="186" hidden="1" customWidth="1"/>
    <col min="14338" max="14338" width="24.7109375" style="186" customWidth="1"/>
    <col min="14339" max="14339" width="18" style="186" customWidth="1"/>
    <col min="14340" max="14340" width="18.42578125" style="186" customWidth="1"/>
    <col min="14341" max="14341" width="13.85546875" style="186" customWidth="1"/>
    <col min="14342" max="14342" width="14" style="186" customWidth="1"/>
    <col min="14343" max="14592" width="9.140625" style="186"/>
    <col min="14593" max="14593" width="0" style="186" hidden="1" customWidth="1"/>
    <col min="14594" max="14594" width="24.7109375" style="186" customWidth="1"/>
    <col min="14595" max="14595" width="18" style="186" customWidth="1"/>
    <col min="14596" max="14596" width="18.42578125" style="186" customWidth="1"/>
    <col min="14597" max="14597" width="13.85546875" style="186" customWidth="1"/>
    <col min="14598" max="14598" width="14" style="186" customWidth="1"/>
    <col min="14599" max="14848" width="9.140625" style="186"/>
    <col min="14849" max="14849" width="0" style="186" hidden="1" customWidth="1"/>
    <col min="14850" max="14850" width="24.7109375" style="186" customWidth="1"/>
    <col min="14851" max="14851" width="18" style="186" customWidth="1"/>
    <col min="14852" max="14852" width="18.42578125" style="186" customWidth="1"/>
    <col min="14853" max="14853" width="13.85546875" style="186" customWidth="1"/>
    <col min="14854" max="14854" width="14" style="186" customWidth="1"/>
    <col min="14855" max="15104" width="9.140625" style="186"/>
    <col min="15105" max="15105" width="0" style="186" hidden="1" customWidth="1"/>
    <col min="15106" max="15106" width="24.7109375" style="186" customWidth="1"/>
    <col min="15107" max="15107" width="18" style="186" customWidth="1"/>
    <col min="15108" max="15108" width="18.42578125" style="186" customWidth="1"/>
    <col min="15109" max="15109" width="13.85546875" style="186" customWidth="1"/>
    <col min="15110" max="15110" width="14" style="186" customWidth="1"/>
    <col min="15111" max="15360" width="9.140625" style="186"/>
    <col min="15361" max="15361" width="0" style="186" hidden="1" customWidth="1"/>
    <col min="15362" max="15362" width="24.7109375" style="186" customWidth="1"/>
    <col min="15363" max="15363" width="18" style="186" customWidth="1"/>
    <col min="15364" max="15364" width="18.42578125" style="186" customWidth="1"/>
    <col min="15365" max="15365" width="13.85546875" style="186" customWidth="1"/>
    <col min="15366" max="15366" width="14" style="186" customWidth="1"/>
    <col min="15367" max="15616" width="9.140625" style="186"/>
    <col min="15617" max="15617" width="0" style="186" hidden="1" customWidth="1"/>
    <col min="15618" max="15618" width="24.7109375" style="186" customWidth="1"/>
    <col min="15619" max="15619" width="18" style="186" customWidth="1"/>
    <col min="15620" max="15620" width="18.42578125" style="186" customWidth="1"/>
    <col min="15621" max="15621" width="13.85546875" style="186" customWidth="1"/>
    <col min="15622" max="15622" width="14" style="186" customWidth="1"/>
    <col min="15623" max="15872" width="9.140625" style="186"/>
    <col min="15873" max="15873" width="0" style="186" hidden="1" customWidth="1"/>
    <col min="15874" max="15874" width="24.7109375" style="186" customWidth="1"/>
    <col min="15875" max="15875" width="18" style="186" customWidth="1"/>
    <col min="15876" max="15876" width="18.42578125" style="186" customWidth="1"/>
    <col min="15877" max="15877" width="13.85546875" style="186" customWidth="1"/>
    <col min="15878" max="15878" width="14" style="186" customWidth="1"/>
    <col min="15879" max="16128" width="9.140625" style="186"/>
    <col min="16129" max="16129" width="0" style="186" hidden="1" customWidth="1"/>
    <col min="16130" max="16130" width="24.7109375" style="186" customWidth="1"/>
    <col min="16131" max="16131" width="18" style="186" customWidth="1"/>
    <col min="16132" max="16132" width="18.42578125" style="186" customWidth="1"/>
    <col min="16133" max="16133" width="13.85546875" style="186" customWidth="1"/>
    <col min="16134" max="16134" width="14" style="186" customWidth="1"/>
    <col min="16135" max="16384" width="9.140625" style="186"/>
  </cols>
  <sheetData>
    <row r="1" spans="1:9" ht="48.75" customHeight="1">
      <c r="B1" s="226"/>
      <c r="C1" s="227"/>
      <c r="D1" s="227"/>
      <c r="E1" s="227"/>
      <c r="F1" s="228"/>
    </row>
    <row r="2" spans="1:9" ht="15.75" customHeight="1">
      <c r="C2" s="210" t="s">
        <v>1</v>
      </c>
      <c r="D2" s="230" t="s">
        <v>2</v>
      </c>
      <c r="E2" s="230"/>
      <c r="F2" s="210" t="s">
        <v>5</v>
      </c>
    </row>
    <row r="3" spans="1:9" ht="34.5" customHeight="1">
      <c r="A3" s="4"/>
      <c r="C3" s="211"/>
      <c r="D3" s="31" t="s">
        <v>3</v>
      </c>
      <c r="E3" s="31" t="s">
        <v>4</v>
      </c>
      <c r="F3" s="211"/>
    </row>
    <row r="4" spans="1:9" ht="23.25" customHeight="1">
      <c r="A4" s="4"/>
      <c r="B4" s="11" t="s">
        <v>6</v>
      </c>
      <c r="C4" s="49">
        <f>C5+C46</f>
        <v>922</v>
      </c>
      <c r="D4" s="49">
        <f t="shared" ref="D4:F4" si="0">D5+D46</f>
        <v>181</v>
      </c>
      <c r="E4" s="49">
        <f t="shared" si="0"/>
        <v>37</v>
      </c>
      <c r="F4" s="49">
        <f t="shared" si="0"/>
        <v>0</v>
      </c>
      <c r="I4" s="25"/>
    </row>
    <row r="5" spans="1:9" s="11" customFormat="1" ht="25.5" customHeight="1">
      <c r="A5" s="9"/>
      <c r="B5" s="11" t="s">
        <v>7</v>
      </c>
      <c r="C5" s="42">
        <f>SUM(C6:C45)</f>
        <v>754</v>
      </c>
      <c r="D5" s="42">
        <f t="shared" ref="D5:F5" si="1">SUM(D6:D45)</f>
        <v>137</v>
      </c>
      <c r="E5" s="42">
        <f t="shared" si="1"/>
        <v>31</v>
      </c>
      <c r="F5" s="42">
        <f t="shared" si="1"/>
        <v>0</v>
      </c>
    </row>
    <row r="6" spans="1:9">
      <c r="A6" s="12">
        <v>51</v>
      </c>
      <c r="B6" s="186" t="s">
        <v>8</v>
      </c>
      <c r="C6" s="37">
        <v>29</v>
      </c>
      <c r="D6" s="37">
        <v>6</v>
      </c>
      <c r="E6" s="37">
        <v>0</v>
      </c>
      <c r="F6" s="37">
        <v>0</v>
      </c>
    </row>
    <row r="7" spans="1:9">
      <c r="A7" s="12">
        <v>52</v>
      </c>
      <c r="B7" s="186" t="s">
        <v>9</v>
      </c>
      <c r="C7" s="37">
        <v>11</v>
      </c>
      <c r="D7" s="37">
        <v>2</v>
      </c>
      <c r="E7" s="37">
        <v>0</v>
      </c>
      <c r="F7" s="37">
        <v>0</v>
      </c>
    </row>
    <row r="8" spans="1:9">
      <c r="A8" s="12">
        <v>86</v>
      </c>
      <c r="B8" s="186" t="s">
        <v>10</v>
      </c>
      <c r="C8" s="37">
        <v>14</v>
      </c>
      <c r="D8" s="37">
        <v>1</v>
      </c>
      <c r="E8" s="37">
        <v>0</v>
      </c>
      <c r="F8" s="37">
        <v>0</v>
      </c>
    </row>
    <row r="9" spans="1:9">
      <c r="A9" s="12">
        <v>53</v>
      </c>
      <c r="B9" s="186" t="s">
        <v>11</v>
      </c>
      <c r="C9" s="37">
        <v>16</v>
      </c>
      <c r="D9" s="37">
        <v>1</v>
      </c>
      <c r="E9" s="37">
        <v>0</v>
      </c>
      <c r="F9" s="37">
        <v>0</v>
      </c>
    </row>
    <row r="10" spans="1:9">
      <c r="A10" s="12">
        <v>54</v>
      </c>
      <c r="B10" s="186" t="s">
        <v>12</v>
      </c>
      <c r="C10" s="37">
        <v>39</v>
      </c>
      <c r="D10" s="37">
        <v>4</v>
      </c>
      <c r="E10" s="37">
        <v>6</v>
      </c>
      <c r="F10" s="37">
        <v>0</v>
      </c>
    </row>
    <row r="11" spans="1:9">
      <c r="A11" s="12">
        <v>55</v>
      </c>
      <c r="B11" s="186" t="s">
        <v>13</v>
      </c>
      <c r="C11" s="37">
        <v>8</v>
      </c>
      <c r="D11" s="37">
        <v>1</v>
      </c>
      <c r="E11" s="37">
        <v>0</v>
      </c>
      <c r="F11" s="37">
        <v>0</v>
      </c>
    </row>
    <row r="12" spans="1:9">
      <c r="A12" s="12">
        <v>56</v>
      </c>
      <c r="B12" s="186" t="s">
        <v>14</v>
      </c>
      <c r="C12" s="37">
        <v>4</v>
      </c>
      <c r="D12" s="37">
        <v>0</v>
      </c>
      <c r="E12" s="37">
        <v>0</v>
      </c>
      <c r="F12" s="37">
        <v>0</v>
      </c>
    </row>
    <row r="13" spans="1:9">
      <c r="A13" s="12">
        <v>57</v>
      </c>
      <c r="B13" s="186" t="s">
        <v>15</v>
      </c>
      <c r="C13" s="37">
        <v>8</v>
      </c>
      <c r="D13" s="37">
        <v>0</v>
      </c>
      <c r="E13" s="37">
        <v>2</v>
      </c>
      <c r="F13" s="37">
        <v>0</v>
      </c>
    </row>
    <row r="14" spans="1:9">
      <c r="A14" s="12">
        <v>59</v>
      </c>
      <c r="B14" s="186" t="s">
        <v>16</v>
      </c>
      <c r="C14" s="37">
        <v>8</v>
      </c>
      <c r="D14" s="37">
        <v>2</v>
      </c>
      <c r="E14" s="37">
        <v>0</v>
      </c>
      <c r="F14" s="37">
        <v>0</v>
      </c>
    </row>
    <row r="15" spans="1:9">
      <c r="A15" s="12">
        <v>60</v>
      </c>
      <c r="B15" s="186" t="s">
        <v>17</v>
      </c>
      <c r="C15" s="37">
        <v>12</v>
      </c>
      <c r="D15" s="37">
        <v>2</v>
      </c>
      <c r="E15" s="37">
        <v>2</v>
      </c>
      <c r="F15" s="37">
        <v>0</v>
      </c>
    </row>
    <row r="16" spans="1:9">
      <c r="A16" s="12">
        <v>61</v>
      </c>
      <c r="B16" s="38" t="s">
        <v>18</v>
      </c>
      <c r="C16" s="37">
        <v>27</v>
      </c>
      <c r="D16" s="37">
        <v>15</v>
      </c>
      <c r="E16" s="37">
        <v>1</v>
      </c>
      <c r="F16" s="37">
        <v>0</v>
      </c>
    </row>
    <row r="17" spans="1:6">
      <c r="A17" s="12"/>
      <c r="B17" s="132" t="s">
        <v>125</v>
      </c>
      <c r="C17" s="37">
        <v>33</v>
      </c>
      <c r="D17" s="37">
        <v>3</v>
      </c>
      <c r="E17" s="37">
        <v>1</v>
      </c>
      <c r="F17" s="37">
        <v>0</v>
      </c>
    </row>
    <row r="18" spans="1:6">
      <c r="A18" s="12">
        <v>62</v>
      </c>
      <c r="B18" s="186" t="s">
        <v>19</v>
      </c>
      <c r="C18" s="131" t="s">
        <v>126</v>
      </c>
      <c r="D18" s="131" t="s">
        <v>126</v>
      </c>
      <c r="E18" s="131" t="s">
        <v>126</v>
      </c>
      <c r="F18" s="131" t="s">
        <v>126</v>
      </c>
    </row>
    <row r="19" spans="1:6">
      <c r="A19" s="12">
        <v>58</v>
      </c>
      <c r="B19" s="186" t="s">
        <v>20</v>
      </c>
      <c r="C19" s="37">
        <v>3</v>
      </c>
      <c r="D19" s="37">
        <v>1</v>
      </c>
      <c r="E19" s="37">
        <v>0</v>
      </c>
      <c r="F19" s="37">
        <v>0</v>
      </c>
    </row>
    <row r="20" spans="1:6">
      <c r="A20" s="12">
        <v>63</v>
      </c>
      <c r="B20" s="186" t="s">
        <v>21</v>
      </c>
      <c r="C20" s="37">
        <v>23</v>
      </c>
      <c r="D20" s="37">
        <v>4</v>
      </c>
      <c r="E20" s="37">
        <v>1</v>
      </c>
      <c r="F20" s="37">
        <v>0</v>
      </c>
    </row>
    <row r="21" spans="1:6">
      <c r="A21" s="12">
        <v>64</v>
      </c>
      <c r="B21" s="186" t="s">
        <v>22</v>
      </c>
      <c r="C21" s="37">
        <v>37</v>
      </c>
      <c r="D21" s="37">
        <v>6</v>
      </c>
      <c r="E21" s="37">
        <v>0</v>
      </c>
      <c r="F21" s="37">
        <v>0</v>
      </c>
    </row>
    <row r="22" spans="1:6">
      <c r="A22" s="12">
        <v>65</v>
      </c>
      <c r="B22" s="186" t="s">
        <v>23</v>
      </c>
      <c r="C22" s="37">
        <v>35</v>
      </c>
      <c r="D22" s="37">
        <v>0</v>
      </c>
      <c r="E22" s="37">
        <v>0</v>
      </c>
      <c r="F22" s="37">
        <v>0</v>
      </c>
    </row>
    <row r="23" spans="1:6">
      <c r="A23" s="12">
        <v>67</v>
      </c>
      <c r="B23" s="186" t="s">
        <v>24</v>
      </c>
      <c r="C23" s="37">
        <v>41</v>
      </c>
      <c r="D23" s="37">
        <v>7</v>
      </c>
      <c r="E23" s="37">
        <v>0</v>
      </c>
      <c r="F23" s="37">
        <v>0</v>
      </c>
    </row>
    <row r="24" spans="1:6">
      <c r="A24" s="12">
        <v>68</v>
      </c>
      <c r="B24" s="186" t="s">
        <v>25</v>
      </c>
      <c r="C24" s="37">
        <v>31</v>
      </c>
      <c r="D24" s="37">
        <v>6</v>
      </c>
      <c r="E24" s="37">
        <v>0</v>
      </c>
      <c r="F24" s="37">
        <v>0</v>
      </c>
    </row>
    <row r="25" spans="1:6">
      <c r="A25" s="12">
        <v>69</v>
      </c>
      <c r="B25" s="186" t="s">
        <v>26</v>
      </c>
      <c r="C25" s="37">
        <v>22</v>
      </c>
      <c r="D25" s="37">
        <v>9</v>
      </c>
      <c r="E25" s="37">
        <v>0</v>
      </c>
      <c r="F25" s="37">
        <v>0</v>
      </c>
    </row>
    <row r="26" spans="1:6">
      <c r="A26" s="12">
        <v>70</v>
      </c>
      <c r="B26" s="186" t="s">
        <v>27</v>
      </c>
      <c r="C26" s="37">
        <v>38</v>
      </c>
      <c r="D26" s="37">
        <v>7</v>
      </c>
      <c r="E26" s="37">
        <v>2</v>
      </c>
      <c r="F26" s="37">
        <v>0</v>
      </c>
    </row>
    <row r="27" spans="1:6">
      <c r="A27" s="12">
        <v>71</v>
      </c>
      <c r="B27" s="39" t="s">
        <v>28</v>
      </c>
      <c r="C27" s="37">
        <v>4</v>
      </c>
      <c r="D27" s="37">
        <v>0</v>
      </c>
      <c r="E27" s="37">
        <v>0</v>
      </c>
      <c r="F27" s="37">
        <v>0</v>
      </c>
    </row>
    <row r="28" spans="1:6">
      <c r="A28" s="12">
        <v>73</v>
      </c>
      <c r="B28" s="186" t="s">
        <v>29</v>
      </c>
      <c r="C28" s="37">
        <v>25</v>
      </c>
      <c r="D28" s="37">
        <v>8</v>
      </c>
      <c r="E28" s="37">
        <v>1</v>
      </c>
      <c r="F28" s="37">
        <v>0</v>
      </c>
    </row>
    <row r="29" spans="1:6">
      <c r="A29" s="12">
        <v>74</v>
      </c>
      <c r="B29" s="186" t="s">
        <v>30</v>
      </c>
      <c r="C29" s="37">
        <v>22</v>
      </c>
      <c r="D29" s="37">
        <v>9</v>
      </c>
      <c r="E29" s="37">
        <v>0</v>
      </c>
      <c r="F29" s="37">
        <v>0</v>
      </c>
    </row>
    <row r="30" spans="1:6">
      <c r="A30" s="12">
        <v>75</v>
      </c>
      <c r="B30" s="186" t="s">
        <v>31</v>
      </c>
      <c r="C30" s="37">
        <v>29</v>
      </c>
      <c r="D30" s="37">
        <v>18</v>
      </c>
      <c r="E30" s="37">
        <v>11</v>
      </c>
      <c r="F30" s="37">
        <v>0</v>
      </c>
    </row>
    <row r="31" spans="1:6">
      <c r="A31" s="12">
        <v>76</v>
      </c>
      <c r="B31" s="186" t="s">
        <v>32</v>
      </c>
      <c r="C31" s="37">
        <v>11</v>
      </c>
      <c r="D31" s="37">
        <v>2</v>
      </c>
      <c r="E31" s="37">
        <v>0</v>
      </c>
      <c r="F31" s="37">
        <v>0</v>
      </c>
    </row>
    <row r="32" spans="1:6">
      <c r="A32" s="12">
        <v>79</v>
      </c>
      <c r="B32" s="186" t="s">
        <v>33</v>
      </c>
      <c r="C32" s="37">
        <v>37</v>
      </c>
      <c r="D32" s="37">
        <v>2</v>
      </c>
      <c r="E32" s="37">
        <v>0</v>
      </c>
      <c r="F32" s="37">
        <v>0</v>
      </c>
    </row>
    <row r="33" spans="1:11">
      <c r="A33" s="12">
        <v>80</v>
      </c>
      <c r="B33" s="186" t="s">
        <v>34</v>
      </c>
      <c r="C33" s="37">
        <v>36</v>
      </c>
      <c r="D33" s="37">
        <v>4</v>
      </c>
      <c r="E33" s="37">
        <v>3</v>
      </c>
      <c r="F33" s="37">
        <v>0</v>
      </c>
    </row>
    <row r="34" spans="1:11">
      <c r="A34" s="12">
        <v>81</v>
      </c>
      <c r="B34" s="186" t="s">
        <v>35</v>
      </c>
      <c r="C34" s="37">
        <v>14</v>
      </c>
      <c r="D34" s="37">
        <v>3</v>
      </c>
      <c r="E34" s="37">
        <v>0</v>
      </c>
      <c r="F34" s="37">
        <v>0</v>
      </c>
    </row>
    <row r="35" spans="1:11">
      <c r="A35" s="12">
        <v>83</v>
      </c>
      <c r="B35" s="186" t="s">
        <v>36</v>
      </c>
      <c r="C35" s="37">
        <v>9</v>
      </c>
      <c r="D35" s="37">
        <v>0</v>
      </c>
      <c r="E35" s="37">
        <v>0</v>
      </c>
      <c r="F35" s="37">
        <v>0</v>
      </c>
    </row>
    <row r="36" spans="1:11">
      <c r="A36" s="12">
        <v>84</v>
      </c>
      <c r="B36" s="186" t="s">
        <v>37</v>
      </c>
      <c r="C36" s="37">
        <v>9</v>
      </c>
      <c r="D36" s="37">
        <v>1</v>
      </c>
      <c r="E36" s="37">
        <v>0</v>
      </c>
      <c r="F36" s="37">
        <v>0</v>
      </c>
    </row>
    <row r="37" spans="1:11" ht="15">
      <c r="A37" s="12">
        <v>85</v>
      </c>
      <c r="B37" s="186" t="s">
        <v>38</v>
      </c>
      <c r="C37" s="37">
        <v>23</v>
      </c>
      <c r="D37" s="37">
        <v>2</v>
      </c>
      <c r="E37" s="37">
        <v>0</v>
      </c>
      <c r="F37" s="37">
        <v>0</v>
      </c>
      <c r="G37" s="11"/>
    </row>
    <row r="38" spans="1:11" ht="15">
      <c r="A38" s="12">
        <v>87</v>
      </c>
      <c r="B38" s="186" t="s">
        <v>39</v>
      </c>
      <c r="C38" s="37">
        <v>8</v>
      </c>
      <c r="D38" s="37">
        <v>2</v>
      </c>
      <c r="E38" s="37">
        <v>0</v>
      </c>
      <c r="F38" s="37">
        <v>0</v>
      </c>
      <c r="H38" s="11"/>
      <c r="I38" s="11"/>
    </row>
    <row r="39" spans="1:11">
      <c r="A39" s="12">
        <v>90</v>
      </c>
      <c r="B39" s="186" t="s">
        <v>40</v>
      </c>
      <c r="C39" s="37">
        <v>19</v>
      </c>
      <c r="D39" s="37">
        <v>0</v>
      </c>
      <c r="E39" s="37">
        <v>1</v>
      </c>
      <c r="F39" s="37">
        <v>0</v>
      </c>
    </row>
    <row r="40" spans="1:11">
      <c r="A40" s="12">
        <v>91</v>
      </c>
      <c r="B40" s="186" t="s">
        <v>41</v>
      </c>
      <c r="C40" s="37">
        <v>32</v>
      </c>
      <c r="D40" s="37">
        <v>6</v>
      </c>
      <c r="E40" s="37">
        <v>0</v>
      </c>
      <c r="F40" s="37">
        <v>0</v>
      </c>
    </row>
    <row r="41" spans="1:11">
      <c r="A41" s="12">
        <v>92</v>
      </c>
      <c r="B41" s="186" t="s">
        <v>42</v>
      </c>
      <c r="C41" s="37">
        <v>16</v>
      </c>
      <c r="D41" s="37">
        <v>1</v>
      </c>
      <c r="E41" s="37">
        <v>0</v>
      </c>
      <c r="F41" s="37">
        <v>0</v>
      </c>
    </row>
    <row r="42" spans="1:11">
      <c r="A42" s="12">
        <v>94</v>
      </c>
      <c r="B42" s="186" t="s">
        <v>43</v>
      </c>
      <c r="C42" s="37">
        <v>8</v>
      </c>
      <c r="D42" s="37">
        <v>2</v>
      </c>
      <c r="E42" s="37">
        <v>0</v>
      </c>
      <c r="F42" s="37">
        <v>0</v>
      </c>
    </row>
    <row r="43" spans="1:11" ht="15">
      <c r="A43" s="12">
        <v>96</v>
      </c>
      <c r="B43" s="186" t="s">
        <v>44</v>
      </c>
      <c r="C43" s="37">
        <v>13</v>
      </c>
      <c r="D43" s="37">
        <v>0</v>
      </c>
      <c r="E43" s="37">
        <v>0</v>
      </c>
      <c r="F43" s="37">
        <v>0</v>
      </c>
      <c r="J43" s="11"/>
    </row>
    <row r="44" spans="1:11" ht="15">
      <c r="A44" s="12">
        <v>98</v>
      </c>
      <c r="B44" s="186" t="s">
        <v>45</v>
      </c>
      <c r="C44" s="131" t="s">
        <v>126</v>
      </c>
      <c r="D44" s="131" t="s">
        <v>126</v>
      </c>
      <c r="E44" s="131" t="s">
        <v>126</v>
      </c>
      <c r="F44" s="131" t="s">
        <v>126</v>
      </c>
      <c r="K44" s="11"/>
    </row>
    <row r="45" spans="1:11">
      <c r="A45" s="12">
        <v>72</v>
      </c>
      <c r="B45" s="39" t="s">
        <v>46</v>
      </c>
      <c r="C45" s="37">
        <v>0</v>
      </c>
      <c r="D45" s="37">
        <v>0</v>
      </c>
      <c r="E45" s="37">
        <v>0</v>
      </c>
      <c r="F45" s="37">
        <v>0</v>
      </c>
    </row>
    <row r="46" spans="1:11" s="11" customFormat="1" ht="25.5" customHeight="1">
      <c r="A46" s="50"/>
      <c r="B46" s="11" t="s">
        <v>47</v>
      </c>
      <c r="C46" s="42">
        <f>SUM(C47:C53)</f>
        <v>168</v>
      </c>
      <c r="D46" s="42">
        <f t="shared" ref="D46:F46" si="2">SUM(D47:D53)</f>
        <v>44</v>
      </c>
      <c r="E46" s="42">
        <f t="shared" si="2"/>
        <v>6</v>
      </c>
      <c r="F46" s="42">
        <f t="shared" si="2"/>
        <v>0</v>
      </c>
    </row>
    <row r="47" spans="1:11">
      <c r="A47" s="12">
        <v>66</v>
      </c>
      <c r="B47" s="186" t="s">
        <v>48</v>
      </c>
      <c r="C47" s="37">
        <v>21</v>
      </c>
      <c r="D47" s="37">
        <v>4</v>
      </c>
      <c r="E47" s="37">
        <v>1</v>
      </c>
      <c r="F47" s="37">
        <v>0</v>
      </c>
    </row>
    <row r="48" spans="1:11">
      <c r="A48" s="12">
        <v>78</v>
      </c>
      <c r="B48" s="186" t="s">
        <v>49</v>
      </c>
      <c r="C48" s="37">
        <v>6</v>
      </c>
      <c r="D48" s="37">
        <v>0</v>
      </c>
      <c r="E48" s="37">
        <v>0</v>
      </c>
      <c r="F48" s="37">
        <v>0</v>
      </c>
    </row>
    <row r="49" spans="1:6">
      <c r="A49" s="12">
        <v>89</v>
      </c>
      <c r="B49" s="186" t="s">
        <v>50</v>
      </c>
      <c r="C49" s="37">
        <v>13</v>
      </c>
      <c r="D49" s="37">
        <v>2</v>
      </c>
      <c r="E49" s="37">
        <v>3</v>
      </c>
      <c r="F49" s="37">
        <v>0</v>
      </c>
    </row>
    <row r="50" spans="1:6">
      <c r="A50" s="12">
        <v>93</v>
      </c>
      <c r="B50" s="186" t="s">
        <v>51</v>
      </c>
      <c r="C50" s="37">
        <v>6</v>
      </c>
      <c r="D50" s="37">
        <v>3</v>
      </c>
      <c r="E50" s="37">
        <v>0</v>
      </c>
      <c r="F50" s="37">
        <v>0</v>
      </c>
    </row>
    <row r="51" spans="1:6">
      <c r="A51" s="12">
        <v>95</v>
      </c>
      <c r="B51" s="186" t="s">
        <v>52</v>
      </c>
      <c r="C51" s="37">
        <v>20</v>
      </c>
      <c r="D51" s="37">
        <v>5</v>
      </c>
      <c r="E51" s="37">
        <v>0</v>
      </c>
      <c r="F51" s="37">
        <v>0</v>
      </c>
    </row>
    <row r="52" spans="1:6">
      <c r="A52" s="12">
        <v>97</v>
      </c>
      <c r="B52" s="186" t="s">
        <v>53</v>
      </c>
      <c r="C52" s="37">
        <v>58</v>
      </c>
      <c r="D52" s="37">
        <v>15</v>
      </c>
      <c r="E52" s="37">
        <v>2</v>
      </c>
      <c r="F52" s="37">
        <v>0</v>
      </c>
    </row>
    <row r="53" spans="1:6">
      <c r="A53" s="12">
        <v>77</v>
      </c>
      <c r="B53" s="188" t="s">
        <v>54</v>
      </c>
      <c r="C53" s="37">
        <v>44</v>
      </c>
      <c r="D53" s="37">
        <v>15</v>
      </c>
      <c r="E53" s="37">
        <v>0</v>
      </c>
      <c r="F53" s="37">
        <v>0</v>
      </c>
    </row>
    <row r="54" spans="1:6">
      <c r="C54" s="37"/>
      <c r="D54" s="51"/>
      <c r="E54" s="37"/>
      <c r="F54" s="37"/>
    </row>
    <row r="55" spans="1:6" ht="13.5" customHeight="1">
      <c r="B55" s="12" t="s">
        <v>55</v>
      </c>
    </row>
    <row r="56" spans="1:6" ht="13.5" customHeight="1">
      <c r="B56" s="219" t="s">
        <v>56</v>
      </c>
      <c r="C56" s="220"/>
      <c r="D56" s="220"/>
      <c r="E56" s="220"/>
      <c r="F56" s="220"/>
    </row>
    <row r="57" spans="1:6" ht="15" customHeight="1">
      <c r="B57" s="220"/>
      <c r="C57" s="220"/>
      <c r="D57" s="220"/>
      <c r="E57" s="220"/>
      <c r="F57" s="220"/>
    </row>
    <row r="58" spans="1:6" ht="13.5" customHeight="1">
      <c r="B58" s="220"/>
      <c r="C58" s="220"/>
      <c r="D58" s="220"/>
      <c r="E58" s="220"/>
      <c r="F58" s="220"/>
    </row>
    <row r="59" spans="1:6" ht="12.75" customHeight="1">
      <c r="B59" s="220"/>
      <c r="C59" s="220"/>
      <c r="D59" s="220"/>
      <c r="E59" s="220"/>
      <c r="F59" s="220"/>
    </row>
    <row r="60" spans="1:6" ht="15.75" customHeight="1">
      <c r="B60" s="220"/>
      <c r="C60" s="220"/>
      <c r="D60" s="220"/>
      <c r="E60" s="220"/>
      <c r="F60" s="220"/>
    </row>
    <row r="61" spans="1:6" ht="67.5" customHeight="1">
      <c r="B61" s="220"/>
      <c r="C61" s="220"/>
      <c r="D61" s="220"/>
      <c r="E61" s="220"/>
      <c r="F61" s="220"/>
    </row>
    <row r="62" spans="1:6" ht="9.75" customHeight="1">
      <c r="B62" s="185"/>
      <c r="C62" s="54"/>
      <c r="D62" s="54"/>
      <c r="E62" s="54"/>
      <c r="F62" s="54"/>
    </row>
    <row r="63" spans="1:6">
      <c r="B63" s="24" t="s">
        <v>57</v>
      </c>
    </row>
    <row r="65" spans="2:2">
      <c r="B65" s="27"/>
    </row>
  </sheetData>
  <mergeCells count="5">
    <mergeCell ref="B1:F1"/>
    <mergeCell ref="C2:C3"/>
    <mergeCell ref="D2:E2"/>
    <mergeCell ref="F2:F3"/>
    <mergeCell ref="B56:F61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K65"/>
  <sheetViews>
    <sheetView showGridLines="0" zoomScale="85" workbookViewId="0">
      <pane xSplit="2" ySplit="3" topLeftCell="C4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RowHeight="12.75"/>
  <cols>
    <col min="1" max="1" width="3.140625" style="1" hidden="1" customWidth="1"/>
    <col min="2" max="2" width="24.7109375" style="186" customWidth="1"/>
    <col min="3" max="3" width="18" style="52" customWidth="1"/>
    <col min="4" max="4" width="18.42578125" style="52" customWidth="1"/>
    <col min="5" max="5" width="13.85546875" style="52" customWidth="1"/>
    <col min="6" max="6" width="14" style="52" customWidth="1"/>
    <col min="7" max="256" width="9.140625" style="186"/>
    <col min="257" max="257" width="0" style="186" hidden="1" customWidth="1"/>
    <col min="258" max="258" width="24.7109375" style="186" customWidth="1"/>
    <col min="259" max="259" width="18" style="186" customWidth="1"/>
    <col min="260" max="260" width="18.42578125" style="186" customWidth="1"/>
    <col min="261" max="261" width="13.85546875" style="186" customWidth="1"/>
    <col min="262" max="262" width="14" style="186" customWidth="1"/>
    <col min="263" max="512" width="9.140625" style="186"/>
    <col min="513" max="513" width="0" style="186" hidden="1" customWidth="1"/>
    <col min="514" max="514" width="24.7109375" style="186" customWidth="1"/>
    <col min="515" max="515" width="18" style="186" customWidth="1"/>
    <col min="516" max="516" width="18.42578125" style="186" customWidth="1"/>
    <col min="517" max="517" width="13.85546875" style="186" customWidth="1"/>
    <col min="518" max="518" width="14" style="186" customWidth="1"/>
    <col min="519" max="768" width="9.140625" style="186"/>
    <col min="769" max="769" width="0" style="186" hidden="1" customWidth="1"/>
    <col min="770" max="770" width="24.7109375" style="186" customWidth="1"/>
    <col min="771" max="771" width="18" style="186" customWidth="1"/>
    <col min="772" max="772" width="18.42578125" style="186" customWidth="1"/>
    <col min="773" max="773" width="13.85546875" style="186" customWidth="1"/>
    <col min="774" max="774" width="14" style="186" customWidth="1"/>
    <col min="775" max="1024" width="9.140625" style="186"/>
    <col min="1025" max="1025" width="0" style="186" hidden="1" customWidth="1"/>
    <col min="1026" max="1026" width="24.7109375" style="186" customWidth="1"/>
    <col min="1027" max="1027" width="18" style="186" customWidth="1"/>
    <col min="1028" max="1028" width="18.42578125" style="186" customWidth="1"/>
    <col min="1029" max="1029" width="13.85546875" style="186" customWidth="1"/>
    <col min="1030" max="1030" width="14" style="186" customWidth="1"/>
    <col min="1031" max="1280" width="9.140625" style="186"/>
    <col min="1281" max="1281" width="0" style="186" hidden="1" customWidth="1"/>
    <col min="1282" max="1282" width="24.7109375" style="186" customWidth="1"/>
    <col min="1283" max="1283" width="18" style="186" customWidth="1"/>
    <col min="1284" max="1284" width="18.42578125" style="186" customWidth="1"/>
    <col min="1285" max="1285" width="13.85546875" style="186" customWidth="1"/>
    <col min="1286" max="1286" width="14" style="186" customWidth="1"/>
    <col min="1287" max="1536" width="9.140625" style="186"/>
    <col min="1537" max="1537" width="0" style="186" hidden="1" customWidth="1"/>
    <col min="1538" max="1538" width="24.7109375" style="186" customWidth="1"/>
    <col min="1539" max="1539" width="18" style="186" customWidth="1"/>
    <col min="1540" max="1540" width="18.42578125" style="186" customWidth="1"/>
    <col min="1541" max="1541" width="13.85546875" style="186" customWidth="1"/>
    <col min="1542" max="1542" width="14" style="186" customWidth="1"/>
    <col min="1543" max="1792" width="9.140625" style="186"/>
    <col min="1793" max="1793" width="0" style="186" hidden="1" customWidth="1"/>
    <col min="1794" max="1794" width="24.7109375" style="186" customWidth="1"/>
    <col min="1795" max="1795" width="18" style="186" customWidth="1"/>
    <col min="1796" max="1796" width="18.42578125" style="186" customWidth="1"/>
    <col min="1797" max="1797" width="13.85546875" style="186" customWidth="1"/>
    <col min="1798" max="1798" width="14" style="186" customWidth="1"/>
    <col min="1799" max="2048" width="9.140625" style="186"/>
    <col min="2049" max="2049" width="0" style="186" hidden="1" customWidth="1"/>
    <col min="2050" max="2050" width="24.7109375" style="186" customWidth="1"/>
    <col min="2051" max="2051" width="18" style="186" customWidth="1"/>
    <col min="2052" max="2052" width="18.42578125" style="186" customWidth="1"/>
    <col min="2053" max="2053" width="13.85546875" style="186" customWidth="1"/>
    <col min="2054" max="2054" width="14" style="186" customWidth="1"/>
    <col min="2055" max="2304" width="9.140625" style="186"/>
    <col min="2305" max="2305" width="0" style="186" hidden="1" customWidth="1"/>
    <col min="2306" max="2306" width="24.7109375" style="186" customWidth="1"/>
    <col min="2307" max="2307" width="18" style="186" customWidth="1"/>
    <col min="2308" max="2308" width="18.42578125" style="186" customWidth="1"/>
    <col min="2309" max="2309" width="13.85546875" style="186" customWidth="1"/>
    <col min="2310" max="2310" width="14" style="186" customWidth="1"/>
    <col min="2311" max="2560" width="9.140625" style="186"/>
    <col min="2561" max="2561" width="0" style="186" hidden="1" customWidth="1"/>
    <col min="2562" max="2562" width="24.7109375" style="186" customWidth="1"/>
    <col min="2563" max="2563" width="18" style="186" customWidth="1"/>
    <col min="2564" max="2564" width="18.42578125" style="186" customWidth="1"/>
    <col min="2565" max="2565" width="13.85546875" style="186" customWidth="1"/>
    <col min="2566" max="2566" width="14" style="186" customWidth="1"/>
    <col min="2567" max="2816" width="9.140625" style="186"/>
    <col min="2817" max="2817" width="0" style="186" hidden="1" customWidth="1"/>
    <col min="2818" max="2818" width="24.7109375" style="186" customWidth="1"/>
    <col min="2819" max="2819" width="18" style="186" customWidth="1"/>
    <col min="2820" max="2820" width="18.42578125" style="186" customWidth="1"/>
    <col min="2821" max="2821" width="13.85546875" style="186" customWidth="1"/>
    <col min="2822" max="2822" width="14" style="186" customWidth="1"/>
    <col min="2823" max="3072" width="9.140625" style="186"/>
    <col min="3073" max="3073" width="0" style="186" hidden="1" customWidth="1"/>
    <col min="3074" max="3074" width="24.7109375" style="186" customWidth="1"/>
    <col min="3075" max="3075" width="18" style="186" customWidth="1"/>
    <col min="3076" max="3076" width="18.42578125" style="186" customWidth="1"/>
    <col min="3077" max="3077" width="13.85546875" style="186" customWidth="1"/>
    <col min="3078" max="3078" width="14" style="186" customWidth="1"/>
    <col min="3079" max="3328" width="9.140625" style="186"/>
    <col min="3329" max="3329" width="0" style="186" hidden="1" customWidth="1"/>
    <col min="3330" max="3330" width="24.7109375" style="186" customWidth="1"/>
    <col min="3331" max="3331" width="18" style="186" customWidth="1"/>
    <col min="3332" max="3332" width="18.42578125" style="186" customWidth="1"/>
    <col min="3333" max="3333" width="13.85546875" style="186" customWidth="1"/>
    <col min="3334" max="3334" width="14" style="186" customWidth="1"/>
    <col min="3335" max="3584" width="9.140625" style="186"/>
    <col min="3585" max="3585" width="0" style="186" hidden="1" customWidth="1"/>
    <col min="3586" max="3586" width="24.7109375" style="186" customWidth="1"/>
    <col min="3587" max="3587" width="18" style="186" customWidth="1"/>
    <col min="3588" max="3588" width="18.42578125" style="186" customWidth="1"/>
    <col min="3589" max="3589" width="13.85546875" style="186" customWidth="1"/>
    <col min="3590" max="3590" width="14" style="186" customWidth="1"/>
    <col min="3591" max="3840" width="9.140625" style="186"/>
    <col min="3841" max="3841" width="0" style="186" hidden="1" customWidth="1"/>
    <col min="3842" max="3842" width="24.7109375" style="186" customWidth="1"/>
    <col min="3843" max="3843" width="18" style="186" customWidth="1"/>
    <col min="3844" max="3844" width="18.42578125" style="186" customWidth="1"/>
    <col min="3845" max="3845" width="13.85546875" style="186" customWidth="1"/>
    <col min="3846" max="3846" width="14" style="186" customWidth="1"/>
    <col min="3847" max="4096" width="9.140625" style="186"/>
    <col min="4097" max="4097" width="0" style="186" hidden="1" customWidth="1"/>
    <col min="4098" max="4098" width="24.7109375" style="186" customWidth="1"/>
    <col min="4099" max="4099" width="18" style="186" customWidth="1"/>
    <col min="4100" max="4100" width="18.42578125" style="186" customWidth="1"/>
    <col min="4101" max="4101" width="13.85546875" style="186" customWidth="1"/>
    <col min="4102" max="4102" width="14" style="186" customWidth="1"/>
    <col min="4103" max="4352" width="9.140625" style="186"/>
    <col min="4353" max="4353" width="0" style="186" hidden="1" customWidth="1"/>
    <col min="4354" max="4354" width="24.7109375" style="186" customWidth="1"/>
    <col min="4355" max="4355" width="18" style="186" customWidth="1"/>
    <col min="4356" max="4356" width="18.42578125" style="186" customWidth="1"/>
    <col min="4357" max="4357" width="13.85546875" style="186" customWidth="1"/>
    <col min="4358" max="4358" width="14" style="186" customWidth="1"/>
    <col min="4359" max="4608" width="9.140625" style="186"/>
    <col min="4609" max="4609" width="0" style="186" hidden="1" customWidth="1"/>
    <col min="4610" max="4610" width="24.7109375" style="186" customWidth="1"/>
    <col min="4611" max="4611" width="18" style="186" customWidth="1"/>
    <col min="4612" max="4612" width="18.42578125" style="186" customWidth="1"/>
    <col min="4613" max="4613" width="13.85546875" style="186" customWidth="1"/>
    <col min="4614" max="4614" width="14" style="186" customWidth="1"/>
    <col min="4615" max="4864" width="9.140625" style="186"/>
    <col min="4865" max="4865" width="0" style="186" hidden="1" customWidth="1"/>
    <col min="4866" max="4866" width="24.7109375" style="186" customWidth="1"/>
    <col min="4867" max="4867" width="18" style="186" customWidth="1"/>
    <col min="4868" max="4868" width="18.42578125" style="186" customWidth="1"/>
    <col min="4869" max="4869" width="13.85546875" style="186" customWidth="1"/>
    <col min="4870" max="4870" width="14" style="186" customWidth="1"/>
    <col min="4871" max="5120" width="9.140625" style="186"/>
    <col min="5121" max="5121" width="0" style="186" hidden="1" customWidth="1"/>
    <col min="5122" max="5122" width="24.7109375" style="186" customWidth="1"/>
    <col min="5123" max="5123" width="18" style="186" customWidth="1"/>
    <col min="5124" max="5124" width="18.42578125" style="186" customWidth="1"/>
    <col min="5125" max="5125" width="13.85546875" style="186" customWidth="1"/>
    <col min="5126" max="5126" width="14" style="186" customWidth="1"/>
    <col min="5127" max="5376" width="9.140625" style="186"/>
    <col min="5377" max="5377" width="0" style="186" hidden="1" customWidth="1"/>
    <col min="5378" max="5378" width="24.7109375" style="186" customWidth="1"/>
    <col min="5379" max="5379" width="18" style="186" customWidth="1"/>
    <col min="5380" max="5380" width="18.42578125" style="186" customWidth="1"/>
    <col min="5381" max="5381" width="13.85546875" style="186" customWidth="1"/>
    <col min="5382" max="5382" width="14" style="186" customWidth="1"/>
    <col min="5383" max="5632" width="9.140625" style="186"/>
    <col min="5633" max="5633" width="0" style="186" hidden="1" customWidth="1"/>
    <col min="5634" max="5634" width="24.7109375" style="186" customWidth="1"/>
    <col min="5635" max="5635" width="18" style="186" customWidth="1"/>
    <col min="5636" max="5636" width="18.42578125" style="186" customWidth="1"/>
    <col min="5637" max="5637" width="13.85546875" style="186" customWidth="1"/>
    <col min="5638" max="5638" width="14" style="186" customWidth="1"/>
    <col min="5639" max="5888" width="9.140625" style="186"/>
    <col min="5889" max="5889" width="0" style="186" hidden="1" customWidth="1"/>
    <col min="5890" max="5890" width="24.7109375" style="186" customWidth="1"/>
    <col min="5891" max="5891" width="18" style="186" customWidth="1"/>
    <col min="5892" max="5892" width="18.42578125" style="186" customWidth="1"/>
    <col min="5893" max="5893" width="13.85546875" style="186" customWidth="1"/>
    <col min="5894" max="5894" width="14" style="186" customWidth="1"/>
    <col min="5895" max="6144" width="9.140625" style="186"/>
    <col min="6145" max="6145" width="0" style="186" hidden="1" customWidth="1"/>
    <col min="6146" max="6146" width="24.7109375" style="186" customWidth="1"/>
    <col min="6147" max="6147" width="18" style="186" customWidth="1"/>
    <col min="6148" max="6148" width="18.42578125" style="186" customWidth="1"/>
    <col min="6149" max="6149" width="13.85546875" style="186" customWidth="1"/>
    <col min="6150" max="6150" width="14" style="186" customWidth="1"/>
    <col min="6151" max="6400" width="9.140625" style="186"/>
    <col min="6401" max="6401" width="0" style="186" hidden="1" customWidth="1"/>
    <col min="6402" max="6402" width="24.7109375" style="186" customWidth="1"/>
    <col min="6403" max="6403" width="18" style="186" customWidth="1"/>
    <col min="6404" max="6404" width="18.42578125" style="186" customWidth="1"/>
    <col min="6405" max="6405" width="13.85546875" style="186" customWidth="1"/>
    <col min="6406" max="6406" width="14" style="186" customWidth="1"/>
    <col min="6407" max="6656" width="9.140625" style="186"/>
    <col min="6657" max="6657" width="0" style="186" hidden="1" customWidth="1"/>
    <col min="6658" max="6658" width="24.7109375" style="186" customWidth="1"/>
    <col min="6659" max="6659" width="18" style="186" customWidth="1"/>
    <col min="6660" max="6660" width="18.42578125" style="186" customWidth="1"/>
    <col min="6661" max="6661" width="13.85546875" style="186" customWidth="1"/>
    <col min="6662" max="6662" width="14" style="186" customWidth="1"/>
    <col min="6663" max="6912" width="9.140625" style="186"/>
    <col min="6913" max="6913" width="0" style="186" hidden="1" customWidth="1"/>
    <col min="6914" max="6914" width="24.7109375" style="186" customWidth="1"/>
    <col min="6915" max="6915" width="18" style="186" customWidth="1"/>
    <col min="6916" max="6916" width="18.42578125" style="186" customWidth="1"/>
    <col min="6917" max="6917" width="13.85546875" style="186" customWidth="1"/>
    <col min="6918" max="6918" width="14" style="186" customWidth="1"/>
    <col min="6919" max="7168" width="9.140625" style="186"/>
    <col min="7169" max="7169" width="0" style="186" hidden="1" customWidth="1"/>
    <col min="7170" max="7170" width="24.7109375" style="186" customWidth="1"/>
    <col min="7171" max="7171" width="18" style="186" customWidth="1"/>
    <col min="7172" max="7172" width="18.42578125" style="186" customWidth="1"/>
    <col min="7173" max="7173" width="13.85546875" style="186" customWidth="1"/>
    <col min="7174" max="7174" width="14" style="186" customWidth="1"/>
    <col min="7175" max="7424" width="9.140625" style="186"/>
    <col min="7425" max="7425" width="0" style="186" hidden="1" customWidth="1"/>
    <col min="7426" max="7426" width="24.7109375" style="186" customWidth="1"/>
    <col min="7427" max="7427" width="18" style="186" customWidth="1"/>
    <col min="7428" max="7428" width="18.42578125" style="186" customWidth="1"/>
    <col min="7429" max="7429" width="13.85546875" style="186" customWidth="1"/>
    <col min="7430" max="7430" width="14" style="186" customWidth="1"/>
    <col min="7431" max="7680" width="9.140625" style="186"/>
    <col min="7681" max="7681" width="0" style="186" hidden="1" customWidth="1"/>
    <col min="7682" max="7682" width="24.7109375" style="186" customWidth="1"/>
    <col min="7683" max="7683" width="18" style="186" customWidth="1"/>
    <col min="7684" max="7684" width="18.42578125" style="186" customWidth="1"/>
    <col min="7685" max="7685" width="13.85546875" style="186" customWidth="1"/>
    <col min="7686" max="7686" width="14" style="186" customWidth="1"/>
    <col min="7687" max="7936" width="9.140625" style="186"/>
    <col min="7937" max="7937" width="0" style="186" hidden="1" customWidth="1"/>
    <col min="7938" max="7938" width="24.7109375" style="186" customWidth="1"/>
    <col min="7939" max="7939" width="18" style="186" customWidth="1"/>
    <col min="7940" max="7940" width="18.42578125" style="186" customWidth="1"/>
    <col min="7941" max="7941" width="13.85546875" style="186" customWidth="1"/>
    <col min="7942" max="7942" width="14" style="186" customWidth="1"/>
    <col min="7943" max="8192" width="9.140625" style="186"/>
    <col min="8193" max="8193" width="0" style="186" hidden="1" customWidth="1"/>
    <col min="8194" max="8194" width="24.7109375" style="186" customWidth="1"/>
    <col min="8195" max="8195" width="18" style="186" customWidth="1"/>
    <col min="8196" max="8196" width="18.42578125" style="186" customWidth="1"/>
    <col min="8197" max="8197" width="13.85546875" style="186" customWidth="1"/>
    <col min="8198" max="8198" width="14" style="186" customWidth="1"/>
    <col min="8199" max="8448" width="9.140625" style="186"/>
    <col min="8449" max="8449" width="0" style="186" hidden="1" customWidth="1"/>
    <col min="8450" max="8450" width="24.7109375" style="186" customWidth="1"/>
    <col min="8451" max="8451" width="18" style="186" customWidth="1"/>
    <col min="8452" max="8452" width="18.42578125" style="186" customWidth="1"/>
    <col min="8453" max="8453" width="13.85546875" style="186" customWidth="1"/>
    <col min="8454" max="8454" width="14" style="186" customWidth="1"/>
    <col min="8455" max="8704" width="9.140625" style="186"/>
    <col min="8705" max="8705" width="0" style="186" hidden="1" customWidth="1"/>
    <col min="8706" max="8706" width="24.7109375" style="186" customWidth="1"/>
    <col min="8707" max="8707" width="18" style="186" customWidth="1"/>
    <col min="8708" max="8708" width="18.42578125" style="186" customWidth="1"/>
    <col min="8709" max="8709" width="13.85546875" style="186" customWidth="1"/>
    <col min="8710" max="8710" width="14" style="186" customWidth="1"/>
    <col min="8711" max="8960" width="9.140625" style="186"/>
    <col min="8961" max="8961" width="0" style="186" hidden="1" customWidth="1"/>
    <col min="8962" max="8962" width="24.7109375" style="186" customWidth="1"/>
    <col min="8963" max="8963" width="18" style="186" customWidth="1"/>
    <col min="8964" max="8964" width="18.42578125" style="186" customWidth="1"/>
    <col min="8965" max="8965" width="13.85546875" style="186" customWidth="1"/>
    <col min="8966" max="8966" width="14" style="186" customWidth="1"/>
    <col min="8967" max="9216" width="9.140625" style="186"/>
    <col min="9217" max="9217" width="0" style="186" hidden="1" customWidth="1"/>
    <col min="9218" max="9218" width="24.7109375" style="186" customWidth="1"/>
    <col min="9219" max="9219" width="18" style="186" customWidth="1"/>
    <col min="9220" max="9220" width="18.42578125" style="186" customWidth="1"/>
    <col min="9221" max="9221" width="13.85546875" style="186" customWidth="1"/>
    <col min="9222" max="9222" width="14" style="186" customWidth="1"/>
    <col min="9223" max="9472" width="9.140625" style="186"/>
    <col min="9473" max="9473" width="0" style="186" hidden="1" customWidth="1"/>
    <col min="9474" max="9474" width="24.7109375" style="186" customWidth="1"/>
    <col min="9475" max="9475" width="18" style="186" customWidth="1"/>
    <col min="9476" max="9476" width="18.42578125" style="186" customWidth="1"/>
    <col min="9477" max="9477" width="13.85546875" style="186" customWidth="1"/>
    <col min="9478" max="9478" width="14" style="186" customWidth="1"/>
    <col min="9479" max="9728" width="9.140625" style="186"/>
    <col min="9729" max="9729" width="0" style="186" hidden="1" customWidth="1"/>
    <col min="9730" max="9730" width="24.7109375" style="186" customWidth="1"/>
    <col min="9731" max="9731" width="18" style="186" customWidth="1"/>
    <col min="9732" max="9732" width="18.42578125" style="186" customWidth="1"/>
    <col min="9733" max="9733" width="13.85546875" style="186" customWidth="1"/>
    <col min="9734" max="9734" width="14" style="186" customWidth="1"/>
    <col min="9735" max="9984" width="9.140625" style="186"/>
    <col min="9985" max="9985" width="0" style="186" hidden="1" customWidth="1"/>
    <col min="9986" max="9986" width="24.7109375" style="186" customWidth="1"/>
    <col min="9987" max="9987" width="18" style="186" customWidth="1"/>
    <col min="9988" max="9988" width="18.42578125" style="186" customWidth="1"/>
    <col min="9989" max="9989" width="13.85546875" style="186" customWidth="1"/>
    <col min="9990" max="9990" width="14" style="186" customWidth="1"/>
    <col min="9991" max="10240" width="9.140625" style="186"/>
    <col min="10241" max="10241" width="0" style="186" hidden="1" customWidth="1"/>
    <col min="10242" max="10242" width="24.7109375" style="186" customWidth="1"/>
    <col min="10243" max="10243" width="18" style="186" customWidth="1"/>
    <col min="10244" max="10244" width="18.42578125" style="186" customWidth="1"/>
    <col min="10245" max="10245" width="13.85546875" style="186" customWidth="1"/>
    <col min="10246" max="10246" width="14" style="186" customWidth="1"/>
    <col min="10247" max="10496" width="9.140625" style="186"/>
    <col min="10497" max="10497" width="0" style="186" hidden="1" customWidth="1"/>
    <col min="10498" max="10498" width="24.7109375" style="186" customWidth="1"/>
    <col min="10499" max="10499" width="18" style="186" customWidth="1"/>
    <col min="10500" max="10500" width="18.42578125" style="186" customWidth="1"/>
    <col min="10501" max="10501" width="13.85546875" style="186" customWidth="1"/>
    <col min="10502" max="10502" width="14" style="186" customWidth="1"/>
    <col min="10503" max="10752" width="9.140625" style="186"/>
    <col min="10753" max="10753" width="0" style="186" hidden="1" customWidth="1"/>
    <col min="10754" max="10754" width="24.7109375" style="186" customWidth="1"/>
    <col min="10755" max="10755" width="18" style="186" customWidth="1"/>
    <col min="10756" max="10756" width="18.42578125" style="186" customWidth="1"/>
    <col min="10757" max="10757" width="13.85546875" style="186" customWidth="1"/>
    <col min="10758" max="10758" width="14" style="186" customWidth="1"/>
    <col min="10759" max="11008" width="9.140625" style="186"/>
    <col min="11009" max="11009" width="0" style="186" hidden="1" customWidth="1"/>
    <col min="11010" max="11010" width="24.7109375" style="186" customWidth="1"/>
    <col min="11011" max="11011" width="18" style="186" customWidth="1"/>
    <col min="11012" max="11012" width="18.42578125" style="186" customWidth="1"/>
    <col min="11013" max="11013" width="13.85546875" style="186" customWidth="1"/>
    <col min="11014" max="11014" width="14" style="186" customWidth="1"/>
    <col min="11015" max="11264" width="9.140625" style="186"/>
    <col min="11265" max="11265" width="0" style="186" hidden="1" customWidth="1"/>
    <col min="11266" max="11266" width="24.7109375" style="186" customWidth="1"/>
    <col min="11267" max="11267" width="18" style="186" customWidth="1"/>
    <col min="11268" max="11268" width="18.42578125" style="186" customWidth="1"/>
    <col min="11269" max="11269" width="13.85546875" style="186" customWidth="1"/>
    <col min="11270" max="11270" width="14" style="186" customWidth="1"/>
    <col min="11271" max="11520" width="9.140625" style="186"/>
    <col min="11521" max="11521" width="0" style="186" hidden="1" customWidth="1"/>
    <col min="11522" max="11522" width="24.7109375" style="186" customWidth="1"/>
    <col min="11523" max="11523" width="18" style="186" customWidth="1"/>
    <col min="11524" max="11524" width="18.42578125" style="186" customWidth="1"/>
    <col min="11525" max="11525" width="13.85546875" style="186" customWidth="1"/>
    <col min="11526" max="11526" width="14" style="186" customWidth="1"/>
    <col min="11527" max="11776" width="9.140625" style="186"/>
    <col min="11777" max="11777" width="0" style="186" hidden="1" customWidth="1"/>
    <col min="11778" max="11778" width="24.7109375" style="186" customWidth="1"/>
    <col min="11779" max="11779" width="18" style="186" customWidth="1"/>
    <col min="11780" max="11780" width="18.42578125" style="186" customWidth="1"/>
    <col min="11781" max="11781" width="13.85546875" style="186" customWidth="1"/>
    <col min="11782" max="11782" width="14" style="186" customWidth="1"/>
    <col min="11783" max="12032" width="9.140625" style="186"/>
    <col min="12033" max="12033" width="0" style="186" hidden="1" customWidth="1"/>
    <col min="12034" max="12034" width="24.7109375" style="186" customWidth="1"/>
    <col min="12035" max="12035" width="18" style="186" customWidth="1"/>
    <col min="12036" max="12036" width="18.42578125" style="186" customWidth="1"/>
    <col min="12037" max="12037" width="13.85546875" style="186" customWidth="1"/>
    <col min="12038" max="12038" width="14" style="186" customWidth="1"/>
    <col min="12039" max="12288" width="9.140625" style="186"/>
    <col min="12289" max="12289" width="0" style="186" hidden="1" customWidth="1"/>
    <col min="12290" max="12290" width="24.7109375" style="186" customWidth="1"/>
    <col min="12291" max="12291" width="18" style="186" customWidth="1"/>
    <col min="12292" max="12292" width="18.42578125" style="186" customWidth="1"/>
    <col min="12293" max="12293" width="13.85546875" style="186" customWidth="1"/>
    <col min="12294" max="12294" width="14" style="186" customWidth="1"/>
    <col min="12295" max="12544" width="9.140625" style="186"/>
    <col min="12545" max="12545" width="0" style="186" hidden="1" customWidth="1"/>
    <col min="12546" max="12546" width="24.7109375" style="186" customWidth="1"/>
    <col min="12547" max="12547" width="18" style="186" customWidth="1"/>
    <col min="12548" max="12548" width="18.42578125" style="186" customWidth="1"/>
    <col min="12549" max="12549" width="13.85546875" style="186" customWidth="1"/>
    <col min="12550" max="12550" width="14" style="186" customWidth="1"/>
    <col min="12551" max="12800" width="9.140625" style="186"/>
    <col min="12801" max="12801" width="0" style="186" hidden="1" customWidth="1"/>
    <col min="12802" max="12802" width="24.7109375" style="186" customWidth="1"/>
    <col min="12803" max="12803" width="18" style="186" customWidth="1"/>
    <col min="12804" max="12804" width="18.42578125" style="186" customWidth="1"/>
    <col min="12805" max="12805" width="13.85546875" style="186" customWidth="1"/>
    <col min="12806" max="12806" width="14" style="186" customWidth="1"/>
    <col min="12807" max="13056" width="9.140625" style="186"/>
    <col min="13057" max="13057" width="0" style="186" hidden="1" customWidth="1"/>
    <col min="13058" max="13058" width="24.7109375" style="186" customWidth="1"/>
    <col min="13059" max="13059" width="18" style="186" customWidth="1"/>
    <col min="13060" max="13060" width="18.42578125" style="186" customWidth="1"/>
    <col min="13061" max="13061" width="13.85546875" style="186" customWidth="1"/>
    <col min="13062" max="13062" width="14" style="186" customWidth="1"/>
    <col min="13063" max="13312" width="9.140625" style="186"/>
    <col min="13313" max="13313" width="0" style="186" hidden="1" customWidth="1"/>
    <col min="13314" max="13314" width="24.7109375" style="186" customWidth="1"/>
    <col min="13315" max="13315" width="18" style="186" customWidth="1"/>
    <col min="13316" max="13316" width="18.42578125" style="186" customWidth="1"/>
    <col min="13317" max="13317" width="13.85546875" style="186" customWidth="1"/>
    <col min="13318" max="13318" width="14" style="186" customWidth="1"/>
    <col min="13319" max="13568" width="9.140625" style="186"/>
    <col min="13569" max="13569" width="0" style="186" hidden="1" customWidth="1"/>
    <col min="13570" max="13570" width="24.7109375" style="186" customWidth="1"/>
    <col min="13571" max="13571" width="18" style="186" customWidth="1"/>
    <col min="13572" max="13572" width="18.42578125" style="186" customWidth="1"/>
    <col min="13573" max="13573" width="13.85546875" style="186" customWidth="1"/>
    <col min="13574" max="13574" width="14" style="186" customWidth="1"/>
    <col min="13575" max="13824" width="9.140625" style="186"/>
    <col min="13825" max="13825" width="0" style="186" hidden="1" customWidth="1"/>
    <col min="13826" max="13826" width="24.7109375" style="186" customWidth="1"/>
    <col min="13827" max="13827" width="18" style="186" customWidth="1"/>
    <col min="13828" max="13828" width="18.42578125" style="186" customWidth="1"/>
    <col min="13829" max="13829" width="13.85546875" style="186" customWidth="1"/>
    <col min="13830" max="13830" width="14" style="186" customWidth="1"/>
    <col min="13831" max="14080" width="9.140625" style="186"/>
    <col min="14081" max="14081" width="0" style="186" hidden="1" customWidth="1"/>
    <col min="14082" max="14082" width="24.7109375" style="186" customWidth="1"/>
    <col min="14083" max="14083" width="18" style="186" customWidth="1"/>
    <col min="14084" max="14084" width="18.42578125" style="186" customWidth="1"/>
    <col min="14085" max="14085" width="13.85546875" style="186" customWidth="1"/>
    <col min="14086" max="14086" width="14" style="186" customWidth="1"/>
    <col min="14087" max="14336" width="9.140625" style="186"/>
    <col min="14337" max="14337" width="0" style="186" hidden="1" customWidth="1"/>
    <col min="14338" max="14338" width="24.7109375" style="186" customWidth="1"/>
    <col min="14339" max="14339" width="18" style="186" customWidth="1"/>
    <col min="14340" max="14340" width="18.42578125" style="186" customWidth="1"/>
    <col min="14341" max="14341" width="13.85546875" style="186" customWidth="1"/>
    <col min="14342" max="14342" width="14" style="186" customWidth="1"/>
    <col min="14343" max="14592" width="9.140625" style="186"/>
    <col min="14593" max="14593" width="0" style="186" hidden="1" customWidth="1"/>
    <col min="14594" max="14594" width="24.7109375" style="186" customWidth="1"/>
    <col min="14595" max="14595" width="18" style="186" customWidth="1"/>
    <col min="14596" max="14596" width="18.42578125" style="186" customWidth="1"/>
    <col min="14597" max="14597" width="13.85546875" style="186" customWidth="1"/>
    <col min="14598" max="14598" width="14" style="186" customWidth="1"/>
    <col min="14599" max="14848" width="9.140625" style="186"/>
    <col min="14849" max="14849" width="0" style="186" hidden="1" customWidth="1"/>
    <col min="14850" max="14850" width="24.7109375" style="186" customWidth="1"/>
    <col min="14851" max="14851" width="18" style="186" customWidth="1"/>
    <col min="14852" max="14852" width="18.42578125" style="186" customWidth="1"/>
    <col min="14853" max="14853" width="13.85546875" style="186" customWidth="1"/>
    <col min="14854" max="14854" width="14" style="186" customWidth="1"/>
    <col min="14855" max="15104" width="9.140625" style="186"/>
    <col min="15105" max="15105" width="0" style="186" hidden="1" customWidth="1"/>
    <col min="15106" max="15106" width="24.7109375" style="186" customWidth="1"/>
    <col min="15107" max="15107" width="18" style="186" customWidth="1"/>
    <col min="15108" max="15108" width="18.42578125" style="186" customWidth="1"/>
    <col min="15109" max="15109" width="13.85546875" style="186" customWidth="1"/>
    <col min="15110" max="15110" width="14" style="186" customWidth="1"/>
    <col min="15111" max="15360" width="9.140625" style="186"/>
    <col min="15361" max="15361" width="0" style="186" hidden="1" customWidth="1"/>
    <col min="15362" max="15362" width="24.7109375" style="186" customWidth="1"/>
    <col min="15363" max="15363" width="18" style="186" customWidth="1"/>
    <col min="15364" max="15364" width="18.42578125" style="186" customWidth="1"/>
    <col min="15365" max="15365" width="13.85546875" style="186" customWidth="1"/>
    <col min="15366" max="15366" width="14" style="186" customWidth="1"/>
    <col min="15367" max="15616" width="9.140625" style="186"/>
    <col min="15617" max="15617" width="0" style="186" hidden="1" customWidth="1"/>
    <col min="15618" max="15618" width="24.7109375" style="186" customWidth="1"/>
    <col min="15619" max="15619" width="18" style="186" customWidth="1"/>
    <col min="15620" max="15620" width="18.42578125" style="186" customWidth="1"/>
    <col min="15621" max="15621" width="13.85546875" style="186" customWidth="1"/>
    <col min="15622" max="15622" width="14" style="186" customWidth="1"/>
    <col min="15623" max="15872" width="9.140625" style="186"/>
    <col min="15873" max="15873" width="0" style="186" hidden="1" customWidth="1"/>
    <col min="15874" max="15874" width="24.7109375" style="186" customWidth="1"/>
    <col min="15875" max="15875" width="18" style="186" customWidth="1"/>
    <col min="15876" max="15876" width="18.42578125" style="186" customWidth="1"/>
    <col min="15877" max="15877" width="13.85546875" style="186" customWidth="1"/>
    <col min="15878" max="15878" width="14" style="186" customWidth="1"/>
    <col min="15879" max="16128" width="9.140625" style="186"/>
    <col min="16129" max="16129" width="0" style="186" hidden="1" customWidth="1"/>
    <col min="16130" max="16130" width="24.7109375" style="186" customWidth="1"/>
    <col min="16131" max="16131" width="18" style="186" customWidth="1"/>
    <col min="16132" max="16132" width="18.42578125" style="186" customWidth="1"/>
    <col min="16133" max="16133" width="13.85546875" style="186" customWidth="1"/>
    <col min="16134" max="16134" width="14" style="186" customWidth="1"/>
    <col min="16135" max="16384" width="9.140625" style="186"/>
  </cols>
  <sheetData>
    <row r="1" spans="1:9" ht="48.75" customHeight="1">
      <c r="B1" s="226" t="s">
        <v>64</v>
      </c>
      <c r="C1" s="227"/>
      <c r="D1" s="227"/>
      <c r="E1" s="227"/>
      <c r="F1" s="228"/>
    </row>
    <row r="2" spans="1:9" ht="15.75" customHeight="1">
      <c r="C2" s="210" t="s">
        <v>1</v>
      </c>
      <c r="D2" s="230" t="s">
        <v>2</v>
      </c>
      <c r="E2" s="230"/>
      <c r="F2" s="210" t="s">
        <v>5</v>
      </c>
    </row>
    <row r="3" spans="1:9" ht="34.5" customHeight="1">
      <c r="A3" s="4"/>
      <c r="C3" s="211"/>
      <c r="D3" s="31" t="s">
        <v>3</v>
      </c>
      <c r="E3" s="31" t="s">
        <v>4</v>
      </c>
      <c r="F3" s="211"/>
    </row>
    <row r="4" spans="1:9" ht="23.25" customHeight="1">
      <c r="A4" s="4"/>
      <c r="B4" s="11" t="s">
        <v>6</v>
      </c>
      <c r="C4" s="49">
        <f>C5+C46</f>
        <v>530</v>
      </c>
      <c r="D4" s="49">
        <f t="shared" ref="D4:F4" si="0">D5+D46</f>
        <v>72</v>
      </c>
      <c r="E4" s="49">
        <f t="shared" si="0"/>
        <v>18</v>
      </c>
      <c r="F4" s="49">
        <f t="shared" si="0"/>
        <v>0</v>
      </c>
      <c r="I4" s="25"/>
    </row>
    <row r="5" spans="1:9" s="11" customFormat="1" ht="25.5" customHeight="1">
      <c r="A5" s="9"/>
      <c r="B5" s="11" t="s">
        <v>7</v>
      </c>
      <c r="C5" s="42">
        <f>SUM(C6:C45)</f>
        <v>412</v>
      </c>
      <c r="D5" s="42">
        <f t="shared" ref="D5:F5" si="1">SUM(D6:D45)</f>
        <v>57</v>
      </c>
      <c r="E5" s="42">
        <f t="shared" si="1"/>
        <v>13</v>
      </c>
      <c r="F5" s="42">
        <f t="shared" si="1"/>
        <v>0</v>
      </c>
    </row>
    <row r="6" spans="1:9">
      <c r="A6" s="12">
        <v>51</v>
      </c>
      <c r="B6" s="186" t="s">
        <v>8</v>
      </c>
      <c r="C6" s="37">
        <v>19</v>
      </c>
      <c r="D6" s="37">
        <v>8</v>
      </c>
      <c r="E6" s="37">
        <v>0</v>
      </c>
      <c r="F6" s="37">
        <v>0</v>
      </c>
    </row>
    <row r="7" spans="1:9">
      <c r="A7" s="12">
        <v>52</v>
      </c>
      <c r="B7" s="186" t="s">
        <v>9</v>
      </c>
      <c r="C7" s="37">
        <v>6</v>
      </c>
      <c r="D7" s="37">
        <v>0</v>
      </c>
      <c r="E7" s="37">
        <v>0</v>
      </c>
      <c r="F7" s="37">
        <v>0</v>
      </c>
    </row>
    <row r="8" spans="1:9">
      <c r="A8" s="12">
        <v>86</v>
      </c>
      <c r="B8" s="186" t="s">
        <v>10</v>
      </c>
      <c r="C8" s="37">
        <v>9</v>
      </c>
      <c r="D8" s="37">
        <v>1</v>
      </c>
      <c r="E8" s="37">
        <v>0</v>
      </c>
      <c r="F8" s="37">
        <v>0</v>
      </c>
    </row>
    <row r="9" spans="1:9">
      <c r="A9" s="12">
        <v>53</v>
      </c>
      <c r="B9" s="186" t="s">
        <v>11</v>
      </c>
      <c r="C9" s="37">
        <v>11</v>
      </c>
      <c r="D9" s="37">
        <v>3</v>
      </c>
      <c r="E9" s="37">
        <v>0</v>
      </c>
      <c r="F9" s="37">
        <v>0</v>
      </c>
    </row>
    <row r="10" spans="1:9">
      <c r="A10" s="12">
        <v>54</v>
      </c>
      <c r="B10" s="186" t="s">
        <v>12</v>
      </c>
      <c r="C10" s="37">
        <v>21</v>
      </c>
      <c r="D10" s="37">
        <v>0</v>
      </c>
      <c r="E10" s="37">
        <v>1</v>
      </c>
      <c r="F10" s="37">
        <v>0</v>
      </c>
    </row>
    <row r="11" spans="1:9">
      <c r="A11" s="12">
        <v>55</v>
      </c>
      <c r="B11" s="186" t="s">
        <v>13</v>
      </c>
      <c r="C11" s="37">
        <v>0</v>
      </c>
      <c r="D11" s="37">
        <v>0</v>
      </c>
      <c r="E11" s="37">
        <v>0</v>
      </c>
      <c r="F11" s="37">
        <v>0</v>
      </c>
    </row>
    <row r="12" spans="1:9">
      <c r="A12" s="12">
        <v>56</v>
      </c>
      <c r="B12" s="186" t="s">
        <v>14</v>
      </c>
      <c r="C12" s="37">
        <v>2</v>
      </c>
      <c r="D12" s="37">
        <v>1</v>
      </c>
      <c r="E12" s="37">
        <v>1</v>
      </c>
      <c r="F12" s="37">
        <v>0</v>
      </c>
    </row>
    <row r="13" spans="1:9">
      <c r="A13" s="12">
        <v>57</v>
      </c>
      <c r="B13" s="186" t="s">
        <v>15</v>
      </c>
      <c r="C13" s="37">
        <v>14</v>
      </c>
      <c r="D13" s="37">
        <v>2</v>
      </c>
      <c r="E13" s="37">
        <v>2</v>
      </c>
      <c r="F13" s="37">
        <v>0</v>
      </c>
    </row>
    <row r="14" spans="1:9">
      <c r="A14" s="12">
        <v>59</v>
      </c>
      <c r="B14" s="186" t="s">
        <v>16</v>
      </c>
      <c r="C14" s="37">
        <v>5</v>
      </c>
      <c r="D14" s="37">
        <v>1</v>
      </c>
      <c r="E14" s="37">
        <v>0</v>
      </c>
      <c r="F14" s="37">
        <v>0</v>
      </c>
    </row>
    <row r="15" spans="1:9">
      <c r="A15" s="12">
        <v>60</v>
      </c>
      <c r="B15" s="186" t="s">
        <v>17</v>
      </c>
      <c r="C15" s="37">
        <v>5</v>
      </c>
      <c r="D15" s="37">
        <v>0</v>
      </c>
      <c r="E15" s="37">
        <v>0</v>
      </c>
      <c r="F15" s="37">
        <v>0</v>
      </c>
    </row>
    <row r="16" spans="1:9">
      <c r="A16" s="12">
        <v>61</v>
      </c>
      <c r="B16" s="38" t="s">
        <v>18</v>
      </c>
      <c r="C16" s="37">
        <v>6</v>
      </c>
      <c r="D16" s="37">
        <v>1</v>
      </c>
      <c r="E16" s="37">
        <v>0</v>
      </c>
      <c r="F16" s="37">
        <v>0</v>
      </c>
    </row>
    <row r="17" spans="1:6">
      <c r="A17" s="12"/>
      <c r="B17" s="132" t="s">
        <v>125</v>
      </c>
      <c r="C17" s="37">
        <v>13</v>
      </c>
      <c r="D17" s="37">
        <v>0</v>
      </c>
      <c r="E17" s="37">
        <v>0</v>
      </c>
      <c r="F17" s="37">
        <v>0</v>
      </c>
    </row>
    <row r="18" spans="1:6">
      <c r="A18" s="12">
        <v>62</v>
      </c>
      <c r="B18" s="186" t="s">
        <v>19</v>
      </c>
      <c r="C18" s="37" t="s">
        <v>126</v>
      </c>
      <c r="D18" s="37" t="s">
        <v>126</v>
      </c>
      <c r="E18" s="37" t="s">
        <v>126</v>
      </c>
      <c r="F18" s="37" t="s">
        <v>126</v>
      </c>
    </row>
    <row r="19" spans="1:6">
      <c r="A19" s="12">
        <v>58</v>
      </c>
      <c r="B19" s="186" t="s">
        <v>20</v>
      </c>
      <c r="C19" s="37">
        <v>3</v>
      </c>
      <c r="D19" s="37">
        <v>0</v>
      </c>
      <c r="E19" s="37">
        <v>0</v>
      </c>
      <c r="F19" s="37">
        <v>0</v>
      </c>
    </row>
    <row r="20" spans="1:6">
      <c r="A20" s="12">
        <v>63</v>
      </c>
      <c r="B20" s="186" t="s">
        <v>21</v>
      </c>
      <c r="C20" s="37">
        <v>20</v>
      </c>
      <c r="D20" s="37">
        <v>3</v>
      </c>
      <c r="E20" s="37">
        <v>2</v>
      </c>
      <c r="F20" s="37">
        <v>0</v>
      </c>
    </row>
    <row r="21" spans="1:6">
      <c r="A21" s="12">
        <v>64</v>
      </c>
      <c r="B21" s="186" t="s">
        <v>22</v>
      </c>
      <c r="C21" s="37">
        <v>19</v>
      </c>
      <c r="D21" s="37">
        <v>1</v>
      </c>
      <c r="E21" s="37">
        <v>0</v>
      </c>
      <c r="F21" s="37">
        <v>0</v>
      </c>
    </row>
    <row r="22" spans="1:6">
      <c r="A22" s="12">
        <v>65</v>
      </c>
      <c r="B22" s="186" t="s">
        <v>23</v>
      </c>
      <c r="C22" s="37">
        <v>10</v>
      </c>
      <c r="D22" s="37">
        <v>0</v>
      </c>
      <c r="E22" s="37">
        <v>0</v>
      </c>
      <c r="F22" s="37">
        <v>0</v>
      </c>
    </row>
    <row r="23" spans="1:6">
      <c r="A23" s="12">
        <v>67</v>
      </c>
      <c r="B23" s="186" t="s">
        <v>24</v>
      </c>
      <c r="C23" s="37">
        <v>14</v>
      </c>
      <c r="D23" s="37">
        <v>0</v>
      </c>
      <c r="E23" s="37">
        <v>0</v>
      </c>
      <c r="F23" s="37">
        <v>0</v>
      </c>
    </row>
    <row r="24" spans="1:6">
      <c r="A24" s="12">
        <v>68</v>
      </c>
      <c r="B24" s="186" t="s">
        <v>25</v>
      </c>
      <c r="C24" s="37">
        <v>7</v>
      </c>
      <c r="D24" s="37">
        <v>0</v>
      </c>
      <c r="E24" s="37">
        <v>0</v>
      </c>
      <c r="F24" s="37">
        <v>0</v>
      </c>
    </row>
    <row r="25" spans="1:6">
      <c r="A25" s="12">
        <v>69</v>
      </c>
      <c r="B25" s="186" t="s">
        <v>26</v>
      </c>
      <c r="C25" s="37">
        <v>19</v>
      </c>
      <c r="D25" s="37">
        <v>3</v>
      </c>
      <c r="E25" s="37">
        <v>0</v>
      </c>
      <c r="F25" s="37">
        <v>0</v>
      </c>
    </row>
    <row r="26" spans="1:6">
      <c r="A26" s="12">
        <v>70</v>
      </c>
      <c r="B26" s="186" t="s">
        <v>27</v>
      </c>
      <c r="C26" s="37">
        <v>15</v>
      </c>
      <c r="D26" s="37">
        <v>2</v>
      </c>
      <c r="E26" s="37">
        <v>0</v>
      </c>
      <c r="F26" s="37">
        <v>0</v>
      </c>
    </row>
    <row r="27" spans="1:6">
      <c r="A27" s="12">
        <v>71</v>
      </c>
      <c r="B27" s="39" t="s">
        <v>28</v>
      </c>
      <c r="C27" s="37">
        <v>2</v>
      </c>
      <c r="D27" s="37">
        <v>1</v>
      </c>
      <c r="E27" s="37">
        <v>0</v>
      </c>
      <c r="F27" s="37">
        <v>0</v>
      </c>
    </row>
    <row r="28" spans="1:6">
      <c r="A28" s="12">
        <v>73</v>
      </c>
      <c r="B28" s="186" t="s">
        <v>29</v>
      </c>
      <c r="C28" s="37">
        <v>11</v>
      </c>
      <c r="D28" s="37">
        <v>2</v>
      </c>
      <c r="E28" s="37">
        <v>1</v>
      </c>
      <c r="F28" s="37">
        <v>0</v>
      </c>
    </row>
    <row r="29" spans="1:6">
      <c r="A29" s="12">
        <v>74</v>
      </c>
      <c r="B29" s="186" t="s">
        <v>30</v>
      </c>
      <c r="C29" s="37">
        <v>17</v>
      </c>
      <c r="D29" s="37">
        <v>6</v>
      </c>
      <c r="E29" s="37">
        <v>1</v>
      </c>
      <c r="F29" s="37">
        <v>0</v>
      </c>
    </row>
    <row r="30" spans="1:6">
      <c r="A30" s="12">
        <v>75</v>
      </c>
      <c r="B30" s="186" t="s">
        <v>31</v>
      </c>
      <c r="C30" s="37">
        <v>16</v>
      </c>
      <c r="D30" s="37">
        <v>4</v>
      </c>
      <c r="E30" s="37">
        <v>2</v>
      </c>
      <c r="F30" s="37">
        <v>0</v>
      </c>
    </row>
    <row r="31" spans="1:6">
      <c r="A31" s="12">
        <v>76</v>
      </c>
      <c r="B31" s="186" t="s">
        <v>32</v>
      </c>
      <c r="C31" s="37">
        <v>10</v>
      </c>
      <c r="D31" s="37">
        <v>2</v>
      </c>
      <c r="E31" s="37">
        <v>0</v>
      </c>
      <c r="F31" s="37">
        <v>0</v>
      </c>
    </row>
    <row r="32" spans="1:6">
      <c r="A32" s="12">
        <v>79</v>
      </c>
      <c r="B32" s="186" t="s">
        <v>33</v>
      </c>
      <c r="C32" s="37">
        <v>16</v>
      </c>
      <c r="D32" s="37">
        <v>1</v>
      </c>
      <c r="E32" s="37">
        <v>0</v>
      </c>
      <c r="F32" s="37">
        <v>0</v>
      </c>
    </row>
    <row r="33" spans="1:11">
      <c r="A33" s="12">
        <v>80</v>
      </c>
      <c r="B33" s="186" t="s">
        <v>34</v>
      </c>
      <c r="C33" s="37">
        <v>22</v>
      </c>
      <c r="D33" s="37">
        <v>4</v>
      </c>
      <c r="E33" s="37">
        <v>2</v>
      </c>
      <c r="F33" s="37">
        <v>0</v>
      </c>
    </row>
    <row r="34" spans="1:11">
      <c r="A34" s="12">
        <v>81</v>
      </c>
      <c r="B34" s="186" t="s">
        <v>35</v>
      </c>
      <c r="C34" s="37">
        <v>13</v>
      </c>
      <c r="D34" s="37">
        <v>3</v>
      </c>
      <c r="E34" s="37">
        <v>0</v>
      </c>
      <c r="F34" s="37">
        <v>0</v>
      </c>
    </row>
    <row r="35" spans="1:11">
      <c r="A35" s="12">
        <v>83</v>
      </c>
      <c r="B35" s="186" t="s">
        <v>36</v>
      </c>
      <c r="C35" s="37">
        <v>8</v>
      </c>
      <c r="D35" s="37">
        <v>0</v>
      </c>
      <c r="E35" s="37">
        <v>0</v>
      </c>
      <c r="F35" s="37">
        <v>0</v>
      </c>
    </row>
    <row r="36" spans="1:11">
      <c r="A36" s="12">
        <v>84</v>
      </c>
      <c r="B36" s="186" t="s">
        <v>37</v>
      </c>
      <c r="C36" s="37">
        <v>9</v>
      </c>
      <c r="D36" s="37">
        <v>0</v>
      </c>
      <c r="E36" s="37">
        <v>0</v>
      </c>
      <c r="F36" s="37">
        <v>0</v>
      </c>
    </row>
    <row r="37" spans="1:11" ht="15">
      <c r="A37" s="12">
        <v>85</v>
      </c>
      <c r="B37" s="186" t="s">
        <v>38</v>
      </c>
      <c r="C37" s="37">
        <v>6</v>
      </c>
      <c r="D37" s="37">
        <v>1</v>
      </c>
      <c r="E37" s="37">
        <v>0</v>
      </c>
      <c r="F37" s="37">
        <v>0</v>
      </c>
      <c r="G37" s="11"/>
    </row>
    <row r="38" spans="1:11" ht="15">
      <c r="A38" s="12">
        <v>87</v>
      </c>
      <c r="B38" s="186" t="s">
        <v>39</v>
      </c>
      <c r="C38" s="37">
        <v>6</v>
      </c>
      <c r="D38" s="37">
        <v>0</v>
      </c>
      <c r="E38" s="37">
        <v>1</v>
      </c>
      <c r="F38" s="37">
        <v>0</v>
      </c>
      <c r="H38" s="11"/>
      <c r="I38" s="11"/>
    </row>
    <row r="39" spans="1:11">
      <c r="A39" s="12">
        <v>90</v>
      </c>
      <c r="B39" s="186" t="s">
        <v>40</v>
      </c>
      <c r="C39" s="37">
        <v>13</v>
      </c>
      <c r="D39" s="37">
        <v>1</v>
      </c>
      <c r="E39" s="37">
        <v>0</v>
      </c>
      <c r="F39" s="37">
        <v>0</v>
      </c>
    </row>
    <row r="40" spans="1:11">
      <c r="A40" s="12">
        <v>91</v>
      </c>
      <c r="B40" s="186" t="s">
        <v>41</v>
      </c>
      <c r="C40" s="37">
        <v>11</v>
      </c>
      <c r="D40" s="37">
        <v>2</v>
      </c>
      <c r="E40" s="37">
        <v>0</v>
      </c>
      <c r="F40" s="37">
        <v>0</v>
      </c>
    </row>
    <row r="41" spans="1:11">
      <c r="A41" s="12">
        <v>92</v>
      </c>
      <c r="B41" s="186" t="s">
        <v>42</v>
      </c>
      <c r="C41" s="37">
        <v>11</v>
      </c>
      <c r="D41" s="37">
        <v>3</v>
      </c>
      <c r="E41" s="37">
        <v>0</v>
      </c>
      <c r="F41" s="37">
        <v>0</v>
      </c>
    </row>
    <row r="42" spans="1:11">
      <c r="A42" s="12">
        <v>94</v>
      </c>
      <c r="B42" s="186" t="s">
        <v>43</v>
      </c>
      <c r="C42" s="37">
        <v>16</v>
      </c>
      <c r="D42" s="37">
        <v>1</v>
      </c>
      <c r="E42" s="37">
        <v>0</v>
      </c>
      <c r="F42" s="37">
        <v>0</v>
      </c>
    </row>
    <row r="43" spans="1:11" ht="15">
      <c r="A43" s="12">
        <v>96</v>
      </c>
      <c r="B43" s="186" t="s">
        <v>44</v>
      </c>
      <c r="C43" s="37">
        <v>7</v>
      </c>
      <c r="D43" s="37">
        <v>0</v>
      </c>
      <c r="E43" s="37">
        <v>0</v>
      </c>
      <c r="F43" s="37">
        <v>0</v>
      </c>
      <c r="J43" s="11"/>
    </row>
    <row r="44" spans="1:11" ht="15">
      <c r="A44" s="12">
        <v>98</v>
      </c>
      <c r="B44" s="186" t="s">
        <v>45</v>
      </c>
      <c r="C44" s="37" t="s">
        <v>126</v>
      </c>
      <c r="D44" s="37" t="s">
        <v>126</v>
      </c>
      <c r="E44" s="37" t="s">
        <v>126</v>
      </c>
      <c r="F44" s="37" t="s">
        <v>126</v>
      </c>
      <c r="K44" s="11"/>
    </row>
    <row r="45" spans="1:11">
      <c r="A45" s="12">
        <v>72</v>
      </c>
      <c r="B45" s="39" t="s">
        <v>46</v>
      </c>
      <c r="C45" s="37">
        <v>0</v>
      </c>
      <c r="D45" s="37">
        <v>0</v>
      </c>
      <c r="E45" s="37">
        <v>0</v>
      </c>
      <c r="F45" s="37">
        <v>0</v>
      </c>
    </row>
    <row r="46" spans="1:11" s="11" customFormat="1" ht="25.5" customHeight="1">
      <c r="A46" s="50"/>
      <c r="B46" s="11" t="s">
        <v>47</v>
      </c>
      <c r="C46" s="42">
        <f>SUM(C47:C53)</f>
        <v>118</v>
      </c>
      <c r="D46" s="42">
        <f t="shared" ref="D46:F46" si="2">SUM(D47:D53)</f>
        <v>15</v>
      </c>
      <c r="E46" s="42">
        <f t="shared" si="2"/>
        <v>5</v>
      </c>
      <c r="F46" s="42">
        <f t="shared" si="2"/>
        <v>0</v>
      </c>
    </row>
    <row r="47" spans="1:11">
      <c r="A47" s="12">
        <v>66</v>
      </c>
      <c r="B47" s="186" t="s">
        <v>48</v>
      </c>
      <c r="C47" s="37">
        <v>17</v>
      </c>
      <c r="D47" s="37">
        <v>3</v>
      </c>
      <c r="E47" s="37">
        <v>2</v>
      </c>
      <c r="F47" s="37">
        <v>0</v>
      </c>
    </row>
    <row r="48" spans="1:11">
      <c r="A48" s="12">
        <v>78</v>
      </c>
      <c r="B48" s="186" t="s">
        <v>49</v>
      </c>
      <c r="C48" s="37">
        <v>21</v>
      </c>
      <c r="D48" s="37">
        <v>5</v>
      </c>
      <c r="E48" s="37">
        <v>1</v>
      </c>
      <c r="F48" s="37">
        <v>0</v>
      </c>
    </row>
    <row r="49" spans="1:6">
      <c r="A49" s="12">
        <v>89</v>
      </c>
      <c r="B49" s="186" t="s">
        <v>50</v>
      </c>
      <c r="C49" s="37">
        <v>4</v>
      </c>
      <c r="D49" s="37">
        <v>1</v>
      </c>
      <c r="E49" s="37">
        <v>2</v>
      </c>
      <c r="F49" s="37">
        <v>0</v>
      </c>
    </row>
    <row r="50" spans="1:6">
      <c r="A50" s="12">
        <v>93</v>
      </c>
      <c r="B50" s="186" t="s">
        <v>51</v>
      </c>
      <c r="C50" s="37">
        <v>8</v>
      </c>
      <c r="D50" s="37">
        <v>2</v>
      </c>
      <c r="E50" s="37">
        <v>0</v>
      </c>
      <c r="F50" s="37">
        <v>0</v>
      </c>
    </row>
    <row r="51" spans="1:6">
      <c r="A51" s="12">
        <v>95</v>
      </c>
      <c r="B51" s="186" t="s">
        <v>52</v>
      </c>
      <c r="C51" s="37">
        <v>36</v>
      </c>
      <c r="D51" s="37">
        <v>2</v>
      </c>
      <c r="E51" s="37">
        <v>0</v>
      </c>
      <c r="F51" s="37">
        <v>0</v>
      </c>
    </row>
    <row r="52" spans="1:6">
      <c r="A52" s="12">
        <v>97</v>
      </c>
      <c r="B52" s="186" t="s">
        <v>53</v>
      </c>
      <c r="C52" s="37">
        <v>18</v>
      </c>
      <c r="D52" s="37">
        <v>1</v>
      </c>
      <c r="E52" s="37">
        <v>0</v>
      </c>
      <c r="F52" s="37">
        <v>0</v>
      </c>
    </row>
    <row r="53" spans="1:6">
      <c r="A53" s="12">
        <v>77</v>
      </c>
      <c r="B53" s="188" t="s">
        <v>54</v>
      </c>
      <c r="C53" s="37">
        <v>14</v>
      </c>
      <c r="D53" s="37">
        <v>1</v>
      </c>
      <c r="E53" s="37">
        <v>0</v>
      </c>
      <c r="F53" s="37">
        <v>0</v>
      </c>
    </row>
    <row r="54" spans="1:6">
      <c r="C54" s="37"/>
      <c r="D54" s="51"/>
      <c r="E54" s="37"/>
      <c r="F54" s="37"/>
    </row>
    <row r="55" spans="1:6" ht="13.5" customHeight="1">
      <c r="B55" s="12" t="s">
        <v>55</v>
      </c>
    </row>
    <row r="56" spans="1:6" ht="13.5" customHeight="1">
      <c r="B56" s="219" t="s">
        <v>56</v>
      </c>
      <c r="C56" s="220"/>
      <c r="D56" s="220"/>
      <c r="E56" s="220"/>
      <c r="F56" s="220"/>
    </row>
    <row r="57" spans="1:6" ht="15" customHeight="1">
      <c r="B57" s="220"/>
      <c r="C57" s="220"/>
      <c r="D57" s="220"/>
      <c r="E57" s="220"/>
      <c r="F57" s="220"/>
    </row>
    <row r="58" spans="1:6" ht="13.5" customHeight="1">
      <c r="B58" s="220"/>
      <c r="C58" s="220"/>
      <c r="D58" s="220"/>
      <c r="E58" s="220"/>
      <c r="F58" s="220"/>
    </row>
    <row r="59" spans="1:6" ht="12.75" customHeight="1">
      <c r="B59" s="220"/>
      <c r="C59" s="220"/>
      <c r="D59" s="220"/>
      <c r="E59" s="220"/>
      <c r="F59" s="220"/>
    </row>
    <row r="60" spans="1:6" ht="15.75" customHeight="1">
      <c r="B60" s="220"/>
      <c r="C60" s="220"/>
      <c r="D60" s="220"/>
      <c r="E60" s="220"/>
      <c r="F60" s="220"/>
    </row>
    <row r="61" spans="1:6" ht="67.5" customHeight="1">
      <c r="B61" s="220"/>
      <c r="C61" s="220"/>
      <c r="D61" s="220"/>
      <c r="E61" s="220"/>
      <c r="F61" s="220"/>
    </row>
    <row r="62" spans="1:6" ht="9.75" customHeight="1">
      <c r="B62" s="185"/>
      <c r="C62" s="54"/>
      <c r="D62" s="54"/>
      <c r="E62" s="54"/>
      <c r="F62" s="54"/>
    </row>
    <row r="63" spans="1:6">
      <c r="B63" s="24" t="s">
        <v>57</v>
      </c>
    </row>
    <row r="65" spans="2:2">
      <c r="B65" s="27"/>
    </row>
  </sheetData>
  <mergeCells count="5">
    <mergeCell ref="B1:F1"/>
    <mergeCell ref="C2:C3"/>
    <mergeCell ref="D2:E2"/>
    <mergeCell ref="F2:F3"/>
    <mergeCell ref="B56:F6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F0"/>
  </sheetPr>
  <dimension ref="A1:AF83"/>
  <sheetViews>
    <sheetView topLeftCell="A10" workbookViewId="0">
      <selection activeCell="B12" sqref="B12"/>
    </sheetView>
  </sheetViews>
  <sheetFormatPr defaultRowHeight="12.75"/>
  <cols>
    <col min="1" max="1" width="50.7109375" style="62" customWidth="1"/>
    <col min="2" max="2" width="10.7109375" style="62" customWidth="1"/>
    <col min="3" max="3" width="2.7109375" style="62" customWidth="1"/>
    <col min="4" max="5" width="10.7109375" style="62" customWidth="1"/>
    <col min="6" max="6" width="2.7109375" style="62" customWidth="1"/>
    <col min="7" max="7" width="10.7109375" style="62" customWidth="1"/>
    <col min="8" max="8" width="9.140625" style="62" customWidth="1"/>
    <col min="9" max="10" width="0" style="62" hidden="1" customWidth="1"/>
    <col min="11" max="11" width="9.140625" style="62" customWidth="1"/>
    <col min="12" max="12" width="10" style="62" bestFit="1" customWidth="1"/>
    <col min="13" max="13" width="11.85546875" style="62" customWidth="1"/>
    <col min="14" max="18" width="9.140625" style="62"/>
    <col min="19" max="19" width="11" style="62" customWidth="1"/>
    <col min="20" max="16384" width="9.140625" style="62"/>
  </cols>
  <sheetData>
    <row r="1" spans="1:32" s="61" customFormat="1" ht="37.5" customHeight="1">
      <c r="A1" s="235"/>
      <c r="B1" s="235"/>
      <c r="C1" s="235"/>
      <c r="D1" s="235"/>
      <c r="E1" s="235"/>
      <c r="F1" s="235"/>
      <c r="G1" s="235"/>
      <c r="H1" s="59"/>
      <c r="I1" s="59"/>
      <c r="J1" s="60"/>
      <c r="K1" s="60"/>
    </row>
    <row r="2" spans="1:32" s="63" customFormat="1" ht="1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32" s="63" customFormat="1" ht="15" customHeight="1">
      <c r="A3" s="64" t="s">
        <v>66</v>
      </c>
      <c r="B3" s="65"/>
      <c r="C3" s="65"/>
      <c r="D3" s="65"/>
      <c r="E3" s="65"/>
      <c r="F3" s="65"/>
      <c r="G3" s="65"/>
      <c r="H3" s="62"/>
      <c r="I3" s="62"/>
      <c r="J3" s="62"/>
      <c r="K3" s="62"/>
    </row>
    <row r="4" spans="1:32" s="63" customFormat="1" ht="15" customHeight="1">
      <c r="A4" s="236" t="str">
        <f>FIRE0508a!A4</f>
        <v>2016-17</v>
      </c>
      <c r="B4" s="236"/>
      <c r="C4" s="236"/>
      <c r="D4" s="236"/>
      <c r="E4" s="236"/>
      <c r="F4" s="236"/>
      <c r="G4" s="236"/>
      <c r="H4" s="62"/>
      <c r="I4" s="62"/>
      <c r="J4" s="62"/>
      <c r="K4" s="62"/>
      <c r="L4" s="62"/>
    </row>
    <row r="5" spans="1:32" s="63" customFormat="1" ht="13.5" thickBot="1">
      <c r="A5" s="62"/>
      <c r="B5" s="92"/>
      <c r="C5" s="92"/>
      <c r="D5" s="92"/>
      <c r="E5" s="92"/>
      <c r="F5" s="92"/>
      <c r="G5" s="92"/>
      <c r="H5" s="62"/>
      <c r="I5" s="62"/>
      <c r="J5" s="68"/>
      <c r="K5" s="68"/>
      <c r="M5" s="68"/>
      <c r="N5" s="68"/>
      <c r="P5" s="68"/>
      <c r="Q5" s="68"/>
      <c r="R5" s="68"/>
      <c r="S5" s="68"/>
      <c r="T5" s="68"/>
      <c r="W5" s="69"/>
    </row>
    <row r="6" spans="1:32" s="63" customFormat="1" ht="13.5" thickBot="1">
      <c r="A6" s="62"/>
      <c r="B6" s="233" t="s">
        <v>1</v>
      </c>
      <c r="C6" s="94"/>
      <c r="D6" s="232" t="s">
        <v>77</v>
      </c>
      <c r="E6" s="232"/>
      <c r="F6" s="95"/>
      <c r="G6" s="233" t="s">
        <v>5</v>
      </c>
      <c r="H6" s="62"/>
      <c r="I6" s="62"/>
      <c r="J6" s="68"/>
      <c r="K6" s="68"/>
      <c r="M6" s="68"/>
      <c r="N6" s="68"/>
      <c r="P6" s="68"/>
      <c r="Q6" s="68"/>
      <c r="R6" s="68"/>
      <c r="S6" s="68"/>
      <c r="T6" s="68"/>
      <c r="W6" s="69"/>
    </row>
    <row r="7" spans="1:32" s="72" customFormat="1" ht="51.75" thickBot="1">
      <c r="A7" s="70" t="s">
        <v>67</v>
      </c>
      <c r="B7" s="234"/>
      <c r="C7" s="93"/>
      <c r="D7" s="71" t="s">
        <v>3</v>
      </c>
      <c r="E7" s="71" t="s">
        <v>78</v>
      </c>
      <c r="F7" s="93"/>
      <c r="G7" s="234"/>
      <c r="L7" s="62"/>
    </row>
    <row r="8" spans="1:32" s="63" customFormat="1" ht="15" customHeight="1">
      <c r="A8" s="77" t="s">
        <v>6</v>
      </c>
      <c r="B8" s="73">
        <f ca="1">INDIRECT("'("&amp;$A$4&amp;"a)'!C4")</f>
        <v>2523</v>
      </c>
      <c r="C8" s="73"/>
      <c r="D8" s="73">
        <f ca="1">INDIRECT("'("&amp;$A$4&amp;"a)'!d4")</f>
        <v>463</v>
      </c>
      <c r="E8" s="73">
        <f ca="1">INDIRECT("'("&amp;$A$4&amp;"a)'!e4")</f>
        <v>130</v>
      </c>
      <c r="F8" s="73"/>
      <c r="G8" s="73">
        <f ca="1">INDIRECT("'("&amp;$A$4&amp;"a)'!f4")</f>
        <v>0</v>
      </c>
      <c r="H8" s="62"/>
      <c r="J8" s="74"/>
      <c r="K8" s="74"/>
      <c r="M8" s="74"/>
      <c r="N8" s="74"/>
      <c r="P8" s="76"/>
      <c r="Q8" s="76"/>
      <c r="R8" s="76"/>
      <c r="S8" s="76"/>
      <c r="T8" s="76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</row>
    <row r="9" spans="1:32" s="63" customFormat="1" ht="15" customHeight="1">
      <c r="A9" s="89" t="s">
        <v>7</v>
      </c>
      <c r="B9" s="90">
        <f ca="1">INDIRECT("'("&amp;$A$4&amp;"a)'!C5")</f>
        <v>1874</v>
      </c>
      <c r="C9" s="90"/>
      <c r="D9" s="90">
        <f ca="1">INDIRECT("'("&amp;$A$4&amp;"a)'!d5")</f>
        <v>310</v>
      </c>
      <c r="E9" s="90">
        <f ca="1">INDIRECT("'("&amp;$A$4&amp;"a)'!e5")</f>
        <v>61</v>
      </c>
      <c r="F9" s="90"/>
      <c r="G9" s="90">
        <f ca="1">INDIRECT("'("&amp;$A$4&amp;"a)'!f5")</f>
        <v>0</v>
      </c>
      <c r="H9" s="62"/>
      <c r="J9" s="74"/>
      <c r="K9" s="74"/>
      <c r="M9" s="74"/>
      <c r="N9" s="74"/>
      <c r="P9" s="76"/>
      <c r="Q9" s="76"/>
      <c r="R9" s="76"/>
      <c r="S9" s="76"/>
      <c r="T9" s="76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</row>
    <row r="10" spans="1:32" s="63" customFormat="1" ht="15" customHeight="1">
      <c r="A10" s="62" t="s">
        <v>8</v>
      </c>
      <c r="B10" s="78">
        <f ca="1">INDIRECT("'("&amp;$A$4&amp;"a)'!C6")</f>
        <v>64</v>
      </c>
      <c r="C10" s="78"/>
      <c r="D10" s="78">
        <f ca="1">INDIRECT("'("&amp;$A$4&amp;"a)'!d6")</f>
        <v>19</v>
      </c>
      <c r="E10" s="78">
        <f ca="1">INDIRECT("'("&amp;$A$4&amp;"a)'!e6")</f>
        <v>2</v>
      </c>
      <c r="F10" s="78"/>
      <c r="G10" s="78">
        <f ca="1">INDIRECT("'("&amp;$A$4&amp;"a)'!f6")</f>
        <v>0</v>
      </c>
      <c r="H10" s="62"/>
      <c r="J10" s="74"/>
      <c r="K10" s="74"/>
      <c r="M10" s="74"/>
      <c r="N10" s="74"/>
      <c r="P10" s="76"/>
      <c r="Q10" s="76"/>
      <c r="R10" s="76"/>
      <c r="S10" s="76"/>
      <c r="T10" s="76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</row>
    <row r="11" spans="1:32" s="63" customFormat="1" ht="15" customHeight="1">
      <c r="A11" s="62" t="s">
        <v>9</v>
      </c>
      <c r="B11" s="78">
        <f ca="1">INDIRECT("'("&amp;$A$4&amp;"a)'!C7")</f>
        <v>32</v>
      </c>
      <c r="C11" s="78"/>
      <c r="D11" s="78">
        <f ca="1">INDIRECT("'("&amp;$A$4&amp;"a)'!d7")</f>
        <v>3</v>
      </c>
      <c r="E11" s="78">
        <f ca="1">INDIRECT("'("&amp;$A$4&amp;"a)'!e7")</f>
        <v>0</v>
      </c>
      <c r="F11" s="78"/>
      <c r="G11" s="78">
        <f ca="1">INDIRECT("'("&amp;$A$4&amp;"a)'!f7")</f>
        <v>0</v>
      </c>
      <c r="H11" s="62"/>
      <c r="J11" s="74"/>
      <c r="K11" s="74"/>
      <c r="M11" s="74"/>
      <c r="N11" s="74"/>
      <c r="P11" s="76"/>
      <c r="Q11" s="76"/>
      <c r="R11" s="76"/>
      <c r="S11" s="76"/>
      <c r="T11" s="76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</row>
    <row r="12" spans="1:32" s="63" customFormat="1" ht="15" customHeight="1">
      <c r="A12" s="62" t="s">
        <v>10</v>
      </c>
      <c r="B12" s="78">
        <f ca="1">INDIRECT("'("&amp;$A$4&amp;"a)'!C8")</f>
        <v>42</v>
      </c>
      <c r="C12" s="78"/>
      <c r="D12" s="78">
        <f ca="1">INDIRECT("'("&amp;$A$4&amp;"a)'!d8")</f>
        <v>5</v>
      </c>
      <c r="E12" s="78">
        <f ca="1">INDIRECT("'("&amp;$A$4&amp;"a)'!e8")</f>
        <v>0</v>
      </c>
      <c r="F12" s="78"/>
      <c r="G12" s="78">
        <f ca="1">INDIRECT("'("&amp;$A$4&amp;"a)'!f8")</f>
        <v>0</v>
      </c>
      <c r="H12" s="62"/>
      <c r="J12" s="74"/>
      <c r="K12" s="74"/>
      <c r="M12" s="74"/>
      <c r="N12" s="74"/>
      <c r="P12" s="76"/>
      <c r="Q12" s="76"/>
      <c r="R12" s="76"/>
      <c r="S12" s="76"/>
      <c r="T12" s="76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</row>
    <row r="13" spans="1:32" s="63" customFormat="1" ht="15" customHeight="1">
      <c r="A13" s="62" t="s">
        <v>11</v>
      </c>
      <c r="B13" s="78">
        <f ca="1">INDIRECT("'("&amp;$A$4&amp;"a)'!C9")</f>
        <v>37</v>
      </c>
      <c r="C13" s="78"/>
      <c r="D13" s="78">
        <f ca="1">INDIRECT("'("&amp;$A$4&amp;"a)'!d9")</f>
        <v>7</v>
      </c>
      <c r="E13" s="78">
        <f ca="1">INDIRECT("'("&amp;$A$4&amp;"a)'!e9")</f>
        <v>0</v>
      </c>
      <c r="F13" s="78"/>
      <c r="G13" s="78">
        <f ca="1">INDIRECT("'("&amp;$A$4&amp;"a)'!f9")</f>
        <v>0</v>
      </c>
      <c r="H13" s="62"/>
      <c r="J13" s="74"/>
      <c r="K13" s="74"/>
      <c r="M13" s="74"/>
      <c r="N13" s="74"/>
      <c r="P13" s="76"/>
      <c r="Q13" s="76"/>
      <c r="R13" s="76"/>
      <c r="S13" s="76"/>
      <c r="T13" s="76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1:32" s="63" customFormat="1" ht="15" customHeight="1">
      <c r="A14" s="62" t="s">
        <v>12</v>
      </c>
      <c r="B14" s="78">
        <f ca="1">INDIRECT("'("&amp;$A$4&amp;"a)'!C10")</f>
        <v>115</v>
      </c>
      <c r="C14" s="78"/>
      <c r="D14" s="78">
        <f ca="1">INDIRECT("'("&amp;$A$4&amp;"a)'!d10")</f>
        <v>5</v>
      </c>
      <c r="E14" s="78">
        <f ca="1">INDIRECT("'("&amp;$A$4&amp;"a)'!e10")</f>
        <v>7</v>
      </c>
      <c r="F14" s="78"/>
      <c r="G14" s="78">
        <f ca="1">INDIRECT("'("&amp;$A$4&amp;"a)'!f10")</f>
        <v>0</v>
      </c>
      <c r="H14" s="62"/>
      <c r="J14" s="74"/>
      <c r="K14" s="74"/>
      <c r="M14" s="74"/>
      <c r="N14" s="74"/>
      <c r="P14" s="76"/>
      <c r="Q14" s="76"/>
      <c r="R14" s="76"/>
      <c r="S14" s="76"/>
      <c r="T14" s="76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1:32" s="63" customFormat="1" ht="15" customHeight="1">
      <c r="A15" s="62" t="s">
        <v>13</v>
      </c>
      <c r="B15" s="78">
        <f ca="1">INDIRECT("'("&amp;$A$4&amp;"a)'!C11")</f>
        <v>13</v>
      </c>
      <c r="C15" s="78"/>
      <c r="D15" s="78">
        <f ca="1">INDIRECT("'("&amp;$A$4&amp;"a)'!d11")</f>
        <v>1</v>
      </c>
      <c r="E15" s="78">
        <f ca="1">INDIRECT("'("&amp;$A$4&amp;"a)'!e11")</f>
        <v>0</v>
      </c>
      <c r="F15" s="78"/>
      <c r="G15" s="78">
        <f ca="1">INDIRECT("'("&amp;$A$4&amp;"a)'!f11")</f>
        <v>0</v>
      </c>
      <c r="H15" s="62"/>
      <c r="J15" s="74"/>
      <c r="K15" s="74"/>
      <c r="M15" s="74"/>
      <c r="N15" s="74"/>
      <c r="P15" s="76"/>
      <c r="Q15" s="76"/>
      <c r="R15" s="76"/>
      <c r="S15" s="76"/>
      <c r="T15" s="76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</row>
    <row r="16" spans="1:32" s="63" customFormat="1" ht="15" customHeight="1">
      <c r="A16" s="62" t="s">
        <v>14</v>
      </c>
      <c r="B16" s="78">
        <f ca="1">INDIRECT("'("&amp;$A$4&amp;"a)'!C12")</f>
        <v>8</v>
      </c>
      <c r="C16" s="78"/>
      <c r="D16" s="78">
        <f ca="1">INDIRECT("'("&amp;$A$4&amp;"a)'!d12")</f>
        <v>1</v>
      </c>
      <c r="E16" s="78">
        <f ca="1">INDIRECT("'("&amp;$A$4&amp;"a)'!e12")</f>
        <v>1</v>
      </c>
      <c r="F16" s="78"/>
      <c r="G16" s="78">
        <f ca="1">INDIRECT("'("&amp;$A$4&amp;"a)'!f12")</f>
        <v>0</v>
      </c>
      <c r="H16" s="62"/>
      <c r="J16" s="74"/>
      <c r="K16" s="74"/>
      <c r="M16" s="74"/>
      <c r="N16" s="74"/>
      <c r="P16" s="76"/>
      <c r="Q16" s="76"/>
      <c r="R16" s="76"/>
      <c r="S16" s="76"/>
      <c r="T16" s="76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</row>
    <row r="17" spans="1:32" s="63" customFormat="1" ht="15" customHeight="1">
      <c r="A17" s="62" t="s">
        <v>15</v>
      </c>
      <c r="B17" s="78">
        <f ca="1">INDIRECT("'("&amp;$A$4&amp;"a)'!C13")</f>
        <v>29</v>
      </c>
      <c r="C17" s="78"/>
      <c r="D17" s="78">
        <f ca="1">INDIRECT("'("&amp;$A$4&amp;"a)'!d13")</f>
        <v>6</v>
      </c>
      <c r="E17" s="78">
        <f ca="1">INDIRECT("'("&amp;$A$4&amp;"a)'!e13")</f>
        <v>5</v>
      </c>
      <c r="F17" s="78"/>
      <c r="G17" s="78">
        <f ca="1">INDIRECT("'("&amp;$A$4&amp;"a)'!f13")</f>
        <v>0</v>
      </c>
      <c r="H17" s="62"/>
      <c r="J17" s="74"/>
      <c r="K17" s="74"/>
      <c r="M17" s="74"/>
      <c r="N17" s="74"/>
      <c r="P17" s="76"/>
      <c r="Q17" s="76"/>
      <c r="R17" s="76"/>
      <c r="S17" s="76"/>
      <c r="T17" s="76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</row>
    <row r="18" spans="1:32" s="63" customFormat="1" ht="15" customHeight="1">
      <c r="A18" s="79" t="s">
        <v>16</v>
      </c>
      <c r="B18" s="78">
        <f ca="1">INDIRECT("'("&amp;$A$4&amp;"a)'!C14")</f>
        <v>23</v>
      </c>
      <c r="C18" s="78"/>
      <c r="D18" s="78">
        <f ca="1">INDIRECT("'("&amp;$A$4&amp;"a)'!d14")</f>
        <v>6</v>
      </c>
      <c r="E18" s="78">
        <f ca="1">INDIRECT("'("&amp;$A$4&amp;"a)'!e14")</f>
        <v>0</v>
      </c>
      <c r="F18" s="78"/>
      <c r="G18" s="78">
        <f ca="1">INDIRECT("'("&amp;$A$4&amp;"a)'!f14")</f>
        <v>0</v>
      </c>
      <c r="H18" s="62"/>
      <c r="J18" s="74"/>
      <c r="K18" s="74"/>
      <c r="M18" s="74"/>
      <c r="N18" s="74"/>
      <c r="P18" s="76"/>
      <c r="Q18" s="76"/>
      <c r="R18" s="76"/>
      <c r="S18" s="76"/>
      <c r="T18" s="76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</row>
    <row r="19" spans="1:32" s="63" customFormat="1" ht="15" customHeight="1">
      <c r="A19" s="79" t="s">
        <v>17</v>
      </c>
      <c r="B19" s="78">
        <f ca="1">INDIRECT("'("&amp;$A$4&amp;"a)'!C15")</f>
        <v>28</v>
      </c>
      <c r="C19" s="78"/>
      <c r="D19" s="78">
        <f ca="1">INDIRECT("'("&amp;$A$4&amp;"a)'!d15")</f>
        <v>8</v>
      </c>
      <c r="E19" s="78">
        <f ca="1">INDIRECT("'("&amp;$A$4&amp;"a)'!e15")</f>
        <v>2</v>
      </c>
      <c r="F19" s="78"/>
      <c r="G19" s="78">
        <f ca="1">INDIRECT("'("&amp;$A$4&amp;"a)'!f15")</f>
        <v>0</v>
      </c>
      <c r="H19" s="62"/>
      <c r="J19" s="74"/>
      <c r="K19" s="74"/>
      <c r="M19" s="74"/>
      <c r="N19" s="74"/>
      <c r="P19" s="76"/>
      <c r="Q19" s="76"/>
      <c r="R19" s="76"/>
      <c r="S19" s="76"/>
      <c r="T19" s="76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</row>
    <row r="20" spans="1:32" s="63" customFormat="1" ht="15" customHeight="1">
      <c r="A20" s="62" t="s">
        <v>18</v>
      </c>
      <c r="B20" s="78">
        <f ca="1">INDIRECT("'("&amp;$A$4&amp;"a)'!C16")</f>
        <v>59</v>
      </c>
      <c r="C20" s="78"/>
      <c r="D20" s="78">
        <f ca="1">INDIRECT("'("&amp;$A$4&amp;"a)'!d16")</f>
        <v>22</v>
      </c>
      <c r="E20" s="78">
        <f ca="1">INDIRECT("'("&amp;$A$4&amp;"a)'!e16")</f>
        <v>1</v>
      </c>
      <c r="F20" s="78"/>
      <c r="G20" s="78">
        <f ca="1">INDIRECT("'("&amp;$A$4&amp;"a)'!f16")</f>
        <v>0</v>
      </c>
      <c r="H20" s="62"/>
      <c r="J20" s="74"/>
      <c r="K20" s="74"/>
      <c r="M20" s="74"/>
      <c r="N20" s="74"/>
      <c r="P20" s="76"/>
      <c r="Q20" s="76"/>
      <c r="R20" s="76"/>
      <c r="S20" s="76"/>
      <c r="T20" s="76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</row>
    <row r="21" spans="1:32" s="63" customFormat="1" ht="15" customHeight="1">
      <c r="A21" s="62" t="s">
        <v>125</v>
      </c>
      <c r="B21" s="78">
        <f ca="1">INDIRECT("'("&amp;$A$4&amp;"a)'!C17")</f>
        <v>91</v>
      </c>
      <c r="C21" s="78"/>
      <c r="D21" s="78">
        <f ca="1">INDIRECT("'("&amp;$A$4&amp;"a)'!d17")</f>
        <v>10</v>
      </c>
      <c r="E21" s="78">
        <f ca="1">INDIRECT("'("&amp;$A$4&amp;"a)'!e17")</f>
        <v>1</v>
      </c>
      <c r="F21" s="78"/>
      <c r="G21" s="78">
        <f ca="1">INDIRECT("'("&amp;$A$4&amp;"a)'!f17")</f>
        <v>0</v>
      </c>
      <c r="H21" s="62"/>
      <c r="J21" s="74"/>
      <c r="K21" s="74"/>
      <c r="M21" s="74"/>
      <c r="N21" s="74"/>
      <c r="P21" s="76"/>
      <c r="Q21" s="76"/>
      <c r="R21" s="76"/>
      <c r="S21" s="76"/>
      <c r="T21" s="76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</row>
    <row r="22" spans="1:32" s="63" customFormat="1" ht="15" customHeight="1">
      <c r="A22" s="62" t="s">
        <v>19</v>
      </c>
      <c r="B22" s="78" t="str">
        <f ca="1">INDIRECT("'("&amp;$A$4&amp;"a)'!C18")</f>
        <v>..</v>
      </c>
      <c r="C22" s="78"/>
      <c r="D22" s="78" t="str">
        <f ca="1">INDIRECT("'("&amp;$A$4&amp;"a)'!d18")</f>
        <v>..</v>
      </c>
      <c r="E22" s="78" t="str">
        <f ca="1">INDIRECT("'("&amp;$A$4&amp;"a)'!e18")</f>
        <v>..</v>
      </c>
      <c r="F22" s="78"/>
      <c r="G22" s="78" t="str">
        <f ca="1">INDIRECT("'("&amp;$A$4&amp;"a)'!f18")</f>
        <v>..</v>
      </c>
      <c r="H22" s="62"/>
      <c r="J22" s="74"/>
      <c r="K22" s="74"/>
      <c r="M22" s="74"/>
      <c r="N22" s="74"/>
      <c r="P22" s="76"/>
      <c r="Q22" s="76"/>
      <c r="R22" s="76"/>
      <c r="S22" s="76"/>
      <c r="T22" s="76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</row>
    <row r="23" spans="1:32" s="63" customFormat="1" ht="15" customHeight="1">
      <c r="A23" s="62" t="s">
        <v>20</v>
      </c>
      <c r="B23" s="78">
        <f ca="1">INDIRECT("'("&amp;$A$4&amp;"a)'!C19")</f>
        <v>9</v>
      </c>
      <c r="C23" s="78"/>
      <c r="D23" s="78">
        <f ca="1">INDIRECT("'("&amp;$A$4&amp;"a)'!d19")</f>
        <v>4</v>
      </c>
      <c r="E23" s="78">
        <f ca="1">INDIRECT("'("&amp;$A$4&amp;"a)'!e19")</f>
        <v>0</v>
      </c>
      <c r="F23" s="78"/>
      <c r="G23" s="78">
        <f ca="1">INDIRECT("'("&amp;$A$4&amp;"a)'!f19")</f>
        <v>0</v>
      </c>
      <c r="H23" s="62"/>
      <c r="J23" s="74"/>
      <c r="K23" s="74"/>
      <c r="M23" s="74"/>
      <c r="N23" s="74"/>
      <c r="P23" s="76"/>
      <c r="Q23" s="76"/>
      <c r="R23" s="76"/>
      <c r="S23" s="76"/>
      <c r="T23" s="76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</row>
    <row r="24" spans="1:32" s="63" customFormat="1" ht="15" customHeight="1">
      <c r="A24" s="62" t="s">
        <v>21</v>
      </c>
      <c r="B24" s="78">
        <f ca="1">INDIRECT("'("&amp;$A$4&amp;"a)'!C20")</f>
        <v>63</v>
      </c>
      <c r="C24" s="78"/>
      <c r="D24" s="78">
        <f ca="1">INDIRECT("'("&amp;$A$4&amp;"a)'!d20")</f>
        <v>9</v>
      </c>
      <c r="E24" s="78">
        <f ca="1">INDIRECT("'("&amp;$A$4&amp;"a)'!e20")</f>
        <v>7</v>
      </c>
      <c r="F24" s="78"/>
      <c r="G24" s="78">
        <f ca="1">INDIRECT("'("&amp;$A$4&amp;"a)'!f20")</f>
        <v>0</v>
      </c>
      <c r="H24" s="62"/>
      <c r="J24" s="74"/>
      <c r="K24" s="74"/>
      <c r="M24" s="74"/>
      <c r="N24" s="74"/>
      <c r="P24" s="76"/>
      <c r="Q24" s="76"/>
      <c r="R24" s="76"/>
      <c r="S24" s="76"/>
      <c r="T24" s="76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</row>
    <row r="25" spans="1:32" s="63" customFormat="1" ht="15" customHeight="1">
      <c r="A25" s="62" t="s">
        <v>22</v>
      </c>
      <c r="B25" s="78">
        <f ca="1">INDIRECT("'("&amp;$A$4&amp;"a)'!C21")</f>
        <v>164</v>
      </c>
      <c r="C25" s="78"/>
      <c r="D25" s="78">
        <f ca="1">INDIRECT("'("&amp;$A$4&amp;"a)'!d21")</f>
        <v>17</v>
      </c>
      <c r="E25" s="78">
        <f ca="1">INDIRECT("'("&amp;$A$4&amp;"a)'!e21")</f>
        <v>0</v>
      </c>
      <c r="F25" s="78"/>
      <c r="G25" s="78">
        <f ca="1">INDIRECT("'("&amp;$A$4&amp;"a)'!f21")</f>
        <v>0</v>
      </c>
      <c r="H25" s="62"/>
      <c r="J25" s="74"/>
      <c r="K25" s="74"/>
      <c r="M25" s="74"/>
      <c r="N25" s="74"/>
      <c r="P25" s="76"/>
      <c r="Q25" s="76"/>
      <c r="R25" s="76"/>
      <c r="S25" s="76"/>
      <c r="T25" s="76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1:32" s="63" customFormat="1" ht="15" customHeight="1">
      <c r="A26" s="62" t="s">
        <v>23</v>
      </c>
      <c r="B26" s="78">
        <f ca="1">INDIRECT("'("&amp;$A$4&amp;"a)'!C22")</f>
        <v>56</v>
      </c>
      <c r="C26" s="78"/>
      <c r="D26" s="78">
        <f ca="1">INDIRECT("'("&amp;$A$4&amp;"a)'!d22")</f>
        <v>0</v>
      </c>
      <c r="E26" s="78">
        <f ca="1">INDIRECT("'("&amp;$A$4&amp;"a)'!e22")</f>
        <v>0</v>
      </c>
      <c r="F26" s="78"/>
      <c r="G26" s="78">
        <f ca="1">INDIRECT("'("&amp;$A$4&amp;"a)'!f22")</f>
        <v>0</v>
      </c>
      <c r="H26" s="62"/>
      <c r="J26" s="74"/>
      <c r="K26" s="74"/>
      <c r="M26" s="74"/>
      <c r="N26" s="74"/>
      <c r="P26" s="76"/>
      <c r="Q26" s="76"/>
      <c r="R26" s="76"/>
      <c r="S26" s="76"/>
      <c r="T26" s="76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1:32" s="63" customFormat="1" ht="15" customHeight="1">
      <c r="A27" s="62" t="s">
        <v>24</v>
      </c>
      <c r="B27" s="78">
        <f ca="1">INDIRECT("'("&amp;$A$4&amp;"a)'!C23")</f>
        <v>80</v>
      </c>
      <c r="C27" s="78"/>
      <c r="D27" s="78">
        <f ca="1">INDIRECT("'("&amp;$A$4&amp;"a)'!d23")</f>
        <v>12</v>
      </c>
      <c r="E27" s="78">
        <f ca="1">INDIRECT("'("&amp;$A$4&amp;"a)'!e23")</f>
        <v>2</v>
      </c>
      <c r="F27" s="78"/>
      <c r="G27" s="78">
        <f ca="1">INDIRECT("'("&amp;$A$4&amp;"a)'!f23")</f>
        <v>0</v>
      </c>
      <c r="H27" s="62"/>
      <c r="J27" s="74"/>
      <c r="K27" s="74"/>
      <c r="M27" s="74"/>
      <c r="N27" s="74"/>
      <c r="P27" s="76"/>
      <c r="Q27" s="76"/>
      <c r="R27" s="76"/>
      <c r="S27" s="76"/>
      <c r="T27" s="76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1:32" s="63" customFormat="1" ht="15" customHeight="1">
      <c r="A28" s="62" t="s">
        <v>25</v>
      </c>
      <c r="B28" s="78">
        <f ca="1">INDIRECT("'("&amp;$A$4&amp;"a)'!C24")</f>
        <v>56</v>
      </c>
      <c r="C28" s="78"/>
      <c r="D28" s="78">
        <f ca="1">INDIRECT("'("&amp;$A$4&amp;"a)'!d24")</f>
        <v>7</v>
      </c>
      <c r="E28" s="78">
        <f ca="1">INDIRECT("'("&amp;$A$4&amp;"a)'!e24")</f>
        <v>0</v>
      </c>
      <c r="F28" s="78"/>
      <c r="G28" s="78">
        <f ca="1">INDIRECT("'("&amp;$A$4&amp;"a)'!f24")</f>
        <v>0</v>
      </c>
      <c r="H28" s="62"/>
      <c r="J28" s="74"/>
      <c r="K28" s="74"/>
      <c r="M28" s="74"/>
      <c r="N28" s="74"/>
      <c r="P28" s="76"/>
      <c r="Q28" s="76"/>
      <c r="R28" s="76"/>
      <c r="S28" s="76"/>
      <c r="T28" s="76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</row>
    <row r="29" spans="1:32" s="63" customFormat="1" ht="15" customHeight="1">
      <c r="A29" s="62" t="s">
        <v>26</v>
      </c>
      <c r="B29" s="78">
        <f ca="1">INDIRECT("'("&amp;$A$4&amp;"a)'!C25")</f>
        <v>58</v>
      </c>
      <c r="C29" s="78"/>
      <c r="D29" s="78">
        <f ca="1">INDIRECT("'("&amp;$A$4&amp;"a)'!d25")</f>
        <v>19</v>
      </c>
      <c r="E29" s="78">
        <f ca="1">INDIRECT("'("&amp;$A$4&amp;"a)'!e25")</f>
        <v>0</v>
      </c>
      <c r="F29" s="78"/>
      <c r="G29" s="78">
        <f ca="1">INDIRECT("'("&amp;$A$4&amp;"a)'!f25")</f>
        <v>0</v>
      </c>
      <c r="H29" s="62"/>
      <c r="J29" s="74"/>
      <c r="K29" s="74"/>
      <c r="M29" s="74"/>
      <c r="N29" s="74"/>
      <c r="P29" s="76"/>
      <c r="Q29" s="76"/>
      <c r="R29" s="76"/>
      <c r="S29" s="76"/>
      <c r="T29" s="76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</row>
    <row r="30" spans="1:32" s="63" customFormat="1" ht="15" customHeight="1">
      <c r="A30" s="62" t="s">
        <v>27</v>
      </c>
      <c r="B30" s="78">
        <f ca="1">INDIRECT("'("&amp;$A$4&amp;"a)'!C26")</f>
        <v>85</v>
      </c>
      <c r="C30" s="78"/>
      <c r="D30" s="78">
        <f ca="1">INDIRECT("'("&amp;$A$4&amp;"a)'!d26")</f>
        <v>15</v>
      </c>
      <c r="E30" s="78">
        <f ca="1">INDIRECT("'("&amp;$A$4&amp;"a)'!e26")</f>
        <v>4</v>
      </c>
      <c r="F30" s="78"/>
      <c r="G30" s="78">
        <f ca="1">INDIRECT("'("&amp;$A$4&amp;"a)'!f26")</f>
        <v>0</v>
      </c>
      <c r="H30" s="62"/>
      <c r="J30" s="74"/>
      <c r="K30" s="74"/>
      <c r="M30" s="74"/>
      <c r="N30" s="74"/>
      <c r="P30" s="76"/>
      <c r="Q30" s="76"/>
      <c r="R30" s="76"/>
      <c r="S30" s="76"/>
      <c r="T30" s="76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</row>
    <row r="31" spans="1:32" s="63" customFormat="1" ht="15" customHeight="1">
      <c r="A31" s="63" t="s">
        <v>28</v>
      </c>
      <c r="B31" s="78">
        <f ca="1">INDIRECT("'("&amp;$A$4&amp;"a)'!C27")</f>
        <v>8</v>
      </c>
      <c r="C31" s="78"/>
      <c r="D31" s="78">
        <f ca="1">INDIRECT("'("&amp;$A$4&amp;"a)'!d27")</f>
        <v>1</v>
      </c>
      <c r="E31" s="78">
        <f ca="1">INDIRECT("'("&amp;$A$4&amp;"a)'!e27")</f>
        <v>0</v>
      </c>
      <c r="F31" s="78"/>
      <c r="G31" s="78">
        <f ca="1">INDIRECT("'("&amp;$A$4&amp;"a)'!f27")</f>
        <v>0</v>
      </c>
      <c r="H31" s="62"/>
      <c r="J31" s="74"/>
      <c r="K31" s="74"/>
      <c r="M31" s="74"/>
      <c r="N31" s="74"/>
      <c r="P31" s="76"/>
      <c r="Q31" s="76"/>
      <c r="R31" s="76"/>
      <c r="S31" s="76"/>
      <c r="T31" s="76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</row>
    <row r="32" spans="1:32" s="63" customFormat="1" ht="15" customHeight="1">
      <c r="A32" s="63" t="s">
        <v>29</v>
      </c>
      <c r="B32" s="78">
        <f ca="1">INDIRECT("'("&amp;$A$4&amp;"a)'!C28")</f>
        <v>59</v>
      </c>
      <c r="C32" s="78"/>
      <c r="D32" s="78">
        <f ca="1">INDIRECT("'("&amp;$A$4&amp;"a)'!d28")</f>
        <v>15</v>
      </c>
      <c r="E32" s="78">
        <f ca="1">INDIRECT("'("&amp;$A$4&amp;"a)'!e28")</f>
        <v>2</v>
      </c>
      <c r="F32" s="78"/>
      <c r="G32" s="78">
        <f ca="1">INDIRECT("'("&amp;$A$4&amp;"a)'!f28")</f>
        <v>0</v>
      </c>
      <c r="H32" s="62"/>
      <c r="J32" s="74"/>
      <c r="K32" s="74"/>
      <c r="M32" s="74"/>
      <c r="N32" s="74"/>
      <c r="P32" s="76"/>
      <c r="Q32" s="76"/>
      <c r="R32" s="76"/>
      <c r="S32" s="76"/>
      <c r="T32" s="76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</row>
    <row r="33" spans="1:32" s="63" customFormat="1" ht="15" customHeight="1">
      <c r="A33" s="62" t="s">
        <v>30</v>
      </c>
      <c r="B33" s="78">
        <f ca="1">INDIRECT("'("&amp;$A$4&amp;"a)'!C29")</f>
        <v>53</v>
      </c>
      <c r="C33" s="78"/>
      <c r="D33" s="78">
        <f ca="1">INDIRECT("'("&amp;$A$4&amp;"a)'!d29")</f>
        <v>19</v>
      </c>
      <c r="E33" s="78">
        <f ca="1">INDIRECT("'("&amp;$A$4&amp;"a)'!e29")</f>
        <v>1</v>
      </c>
      <c r="F33" s="78"/>
      <c r="G33" s="78">
        <f ca="1">INDIRECT("'("&amp;$A$4&amp;"a)'!f29")</f>
        <v>0</v>
      </c>
      <c r="H33" s="62"/>
      <c r="J33" s="74"/>
      <c r="K33" s="74"/>
      <c r="M33" s="74"/>
      <c r="N33" s="74"/>
      <c r="P33" s="76"/>
      <c r="Q33" s="76"/>
      <c r="R33" s="76"/>
      <c r="S33" s="76"/>
      <c r="T33" s="76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</row>
    <row r="34" spans="1:32" s="63" customFormat="1" ht="15" customHeight="1">
      <c r="A34" s="63" t="s">
        <v>31</v>
      </c>
      <c r="B34" s="78">
        <f ca="1">INDIRECT("'("&amp;$A$4&amp;"a)'!C30")</f>
        <v>62</v>
      </c>
      <c r="C34" s="78"/>
      <c r="D34" s="78">
        <f ca="1">INDIRECT("'("&amp;$A$4&amp;"a)'!d30")</f>
        <v>24</v>
      </c>
      <c r="E34" s="78">
        <f ca="1">INDIRECT("'("&amp;$A$4&amp;"a)'!e30")</f>
        <v>15</v>
      </c>
      <c r="F34" s="78"/>
      <c r="G34" s="78">
        <f ca="1">INDIRECT("'("&amp;$A$4&amp;"a)'!f30")</f>
        <v>0</v>
      </c>
      <c r="H34" s="62"/>
      <c r="J34" s="74"/>
      <c r="K34" s="74"/>
      <c r="M34" s="74"/>
      <c r="N34" s="74"/>
      <c r="P34" s="76"/>
      <c r="Q34" s="76"/>
      <c r="R34" s="76"/>
      <c r="S34" s="76"/>
      <c r="T34" s="76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</row>
    <row r="35" spans="1:32" s="63" customFormat="1" ht="15" customHeight="1">
      <c r="A35" s="63" t="s">
        <v>32</v>
      </c>
      <c r="B35" s="78">
        <f ca="1">INDIRECT("'("&amp;$A$4&amp;"a)'!C31")</f>
        <v>51</v>
      </c>
      <c r="C35" s="78"/>
      <c r="D35" s="78">
        <f ca="1">INDIRECT("'("&amp;$A$4&amp;"a)'!d31")</f>
        <v>12</v>
      </c>
      <c r="E35" s="78">
        <f ca="1">INDIRECT("'("&amp;$A$4&amp;"a)'!e31")</f>
        <v>0</v>
      </c>
      <c r="F35" s="78"/>
      <c r="G35" s="78">
        <f ca="1">INDIRECT("'("&amp;$A$4&amp;"a)'!f31")</f>
        <v>0</v>
      </c>
      <c r="H35" s="62"/>
      <c r="J35" s="74"/>
      <c r="K35" s="74"/>
      <c r="M35" s="74"/>
      <c r="N35" s="74"/>
      <c r="P35" s="76"/>
      <c r="Q35" s="76"/>
      <c r="R35" s="76"/>
      <c r="S35" s="76"/>
      <c r="T35" s="76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</row>
    <row r="36" spans="1:32" s="63" customFormat="1" ht="15" customHeight="1">
      <c r="A36" s="62" t="s">
        <v>33</v>
      </c>
      <c r="B36" s="78">
        <f ca="1">INDIRECT("'("&amp;$A$4&amp;"a)'!C32")</f>
        <v>83</v>
      </c>
      <c r="C36" s="78"/>
      <c r="D36" s="78">
        <f ca="1">INDIRECT("'("&amp;$A$4&amp;"a)'!d32")</f>
        <v>4</v>
      </c>
      <c r="E36" s="78">
        <f ca="1">INDIRECT("'("&amp;$A$4&amp;"a)'!e32")</f>
        <v>1</v>
      </c>
      <c r="F36" s="78"/>
      <c r="G36" s="78">
        <f ca="1">INDIRECT("'("&amp;$A$4&amp;"a)'!f32")</f>
        <v>0</v>
      </c>
      <c r="H36" s="62"/>
      <c r="J36" s="74"/>
      <c r="K36" s="74"/>
      <c r="M36" s="74"/>
      <c r="N36" s="74"/>
      <c r="P36" s="76"/>
      <c r="Q36" s="76"/>
      <c r="R36" s="76"/>
      <c r="S36" s="76"/>
      <c r="T36" s="76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</row>
    <row r="37" spans="1:32" s="63" customFormat="1" ht="15" customHeight="1">
      <c r="A37" s="63" t="s">
        <v>34</v>
      </c>
      <c r="B37" s="78">
        <f ca="1">INDIRECT("'("&amp;$A$4&amp;"a)'!C33")</f>
        <v>61</v>
      </c>
      <c r="C37" s="78"/>
      <c r="D37" s="78">
        <f ca="1">INDIRECT("'("&amp;$A$4&amp;"a)'!d33")</f>
        <v>10</v>
      </c>
      <c r="E37" s="78">
        <f ca="1">INDIRECT("'("&amp;$A$4&amp;"a)'!e33")</f>
        <v>6</v>
      </c>
      <c r="F37" s="78"/>
      <c r="G37" s="78">
        <f ca="1">INDIRECT("'("&amp;$A$4&amp;"a)'!f33")</f>
        <v>0</v>
      </c>
      <c r="H37" s="62"/>
      <c r="J37" s="74"/>
      <c r="K37" s="74"/>
      <c r="M37" s="74"/>
      <c r="N37" s="74"/>
      <c r="P37" s="76"/>
      <c r="Q37" s="76"/>
      <c r="R37" s="76"/>
      <c r="S37" s="76"/>
      <c r="T37" s="76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</row>
    <row r="38" spans="1:32" s="63" customFormat="1" ht="15" customHeight="1">
      <c r="A38" s="63" t="s">
        <v>35</v>
      </c>
      <c r="B38" s="78">
        <f ca="1">INDIRECT("'("&amp;$A$4&amp;"a)'!C34")</f>
        <v>47</v>
      </c>
      <c r="C38" s="78"/>
      <c r="D38" s="78">
        <f ca="1">INDIRECT("'("&amp;$A$4&amp;"a)'!d34")</f>
        <v>9</v>
      </c>
      <c r="E38" s="78">
        <f ca="1">INDIRECT("'("&amp;$A$4&amp;"a)'!e34")</f>
        <v>0</v>
      </c>
      <c r="F38" s="78"/>
      <c r="G38" s="78">
        <f ca="1">INDIRECT("'("&amp;$A$4&amp;"a)'!f34")</f>
        <v>0</v>
      </c>
      <c r="H38" s="62"/>
      <c r="J38" s="74"/>
      <c r="K38" s="74"/>
      <c r="M38" s="74"/>
      <c r="N38" s="74"/>
      <c r="P38" s="76"/>
      <c r="Q38" s="76"/>
      <c r="R38" s="76"/>
      <c r="S38" s="76"/>
      <c r="T38" s="76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</row>
    <row r="39" spans="1:32" s="63" customFormat="1" ht="15" customHeight="1">
      <c r="A39" s="63" t="s">
        <v>36</v>
      </c>
      <c r="B39" s="78">
        <f ca="1">INDIRECT("'("&amp;$A$4&amp;"a)'!C35")</f>
        <v>21</v>
      </c>
      <c r="C39" s="78"/>
      <c r="D39" s="78">
        <f ca="1">INDIRECT("'("&amp;$A$4&amp;"a)'!d35")</f>
        <v>0</v>
      </c>
      <c r="E39" s="78">
        <f ca="1">INDIRECT("'("&amp;$A$4&amp;"a)'!e35")</f>
        <v>1</v>
      </c>
      <c r="F39" s="78"/>
      <c r="G39" s="78">
        <f ca="1">INDIRECT("'("&amp;$A$4&amp;"a)'!f35")</f>
        <v>0</v>
      </c>
      <c r="H39" s="62"/>
      <c r="J39" s="74"/>
      <c r="K39" s="74"/>
      <c r="M39" s="74"/>
      <c r="N39" s="74"/>
      <c r="P39" s="76"/>
      <c r="Q39" s="76"/>
      <c r="R39" s="76"/>
      <c r="S39" s="76"/>
      <c r="T39" s="76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</row>
    <row r="40" spans="1:32" s="63" customFormat="1" ht="15" customHeight="1">
      <c r="A40" s="62" t="s">
        <v>37</v>
      </c>
      <c r="B40" s="78">
        <f ca="1">INDIRECT("'("&amp;$A$4&amp;"a)'!C36")</f>
        <v>23</v>
      </c>
      <c r="C40" s="78"/>
      <c r="D40" s="78">
        <f ca="1">INDIRECT("'("&amp;$A$4&amp;"a)'!d36")</f>
        <v>3</v>
      </c>
      <c r="E40" s="78">
        <f ca="1">INDIRECT("'("&amp;$A$4&amp;"a)'!e36")</f>
        <v>0</v>
      </c>
      <c r="F40" s="78"/>
      <c r="G40" s="78">
        <f ca="1">INDIRECT("'("&amp;$A$4&amp;"a)'!f36")</f>
        <v>0</v>
      </c>
      <c r="H40" s="62"/>
      <c r="J40" s="74"/>
      <c r="K40" s="74"/>
      <c r="M40" s="74"/>
      <c r="N40" s="74"/>
      <c r="P40" s="76"/>
      <c r="Q40" s="76"/>
      <c r="R40" s="76"/>
      <c r="S40" s="76"/>
      <c r="T40" s="76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</row>
    <row r="41" spans="1:32" s="63" customFormat="1" ht="15" customHeight="1">
      <c r="A41" s="62" t="s">
        <v>38</v>
      </c>
      <c r="B41" s="78">
        <f ca="1">INDIRECT("'("&amp;$A$4&amp;"a)'!C37")</f>
        <v>42</v>
      </c>
      <c r="C41" s="78"/>
      <c r="D41" s="78">
        <f ca="1">INDIRECT("'("&amp;$A$4&amp;"a)'!d37")</f>
        <v>6</v>
      </c>
      <c r="E41" s="78">
        <f ca="1">INDIRECT("'("&amp;$A$4&amp;"a)'!e37")</f>
        <v>0</v>
      </c>
      <c r="F41" s="78"/>
      <c r="G41" s="78">
        <f ca="1">INDIRECT("'("&amp;$A$4&amp;"a)'!f37")</f>
        <v>0</v>
      </c>
      <c r="H41" s="62"/>
      <c r="J41" s="74"/>
      <c r="K41" s="74"/>
      <c r="M41" s="74"/>
      <c r="N41" s="74"/>
      <c r="P41" s="76"/>
      <c r="Q41" s="76"/>
      <c r="R41" s="76"/>
      <c r="S41" s="76"/>
      <c r="T41" s="76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</row>
    <row r="42" spans="1:32" s="63" customFormat="1" ht="15" customHeight="1">
      <c r="A42" s="62" t="s">
        <v>39</v>
      </c>
      <c r="B42" s="78">
        <f ca="1">INDIRECT("'("&amp;$A$4&amp;"a)'!C38")</f>
        <v>32</v>
      </c>
      <c r="C42" s="78"/>
      <c r="D42" s="78">
        <f ca="1">INDIRECT("'("&amp;$A$4&amp;"a)'!d38")</f>
        <v>4</v>
      </c>
      <c r="E42" s="78">
        <f ca="1">INDIRECT("'("&amp;$A$4&amp;"a)'!e38")</f>
        <v>2</v>
      </c>
      <c r="F42" s="78"/>
      <c r="G42" s="78">
        <f ca="1">INDIRECT("'("&amp;$A$4&amp;"a)'!f38")</f>
        <v>0</v>
      </c>
      <c r="H42" s="62"/>
      <c r="J42" s="74"/>
      <c r="K42" s="74"/>
      <c r="M42" s="74"/>
      <c r="N42" s="74"/>
      <c r="P42" s="76"/>
      <c r="Q42" s="76"/>
      <c r="R42" s="76"/>
      <c r="S42" s="76"/>
      <c r="T42" s="76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</row>
    <row r="43" spans="1:32" s="63" customFormat="1" ht="15" customHeight="1">
      <c r="A43" s="62" t="s">
        <v>40</v>
      </c>
      <c r="B43" s="78">
        <f ca="1">INDIRECT("'("&amp;$A$4&amp;"a)'!C39")</f>
        <v>49</v>
      </c>
      <c r="C43" s="78"/>
      <c r="D43" s="78">
        <f ca="1">INDIRECT("'("&amp;$A$4&amp;"a)'!d39")</f>
        <v>6</v>
      </c>
      <c r="E43" s="78">
        <f ca="1">INDIRECT("'("&amp;$A$4&amp;"a)'!e39")</f>
        <v>1</v>
      </c>
      <c r="F43" s="78"/>
      <c r="G43" s="78">
        <f ca="1">INDIRECT("'("&amp;$A$4&amp;"a)'!f39")</f>
        <v>0</v>
      </c>
      <c r="H43" s="62"/>
      <c r="J43" s="74"/>
      <c r="K43" s="74"/>
      <c r="M43" s="74"/>
      <c r="N43" s="74"/>
      <c r="P43" s="76"/>
      <c r="Q43" s="76"/>
      <c r="R43" s="76"/>
      <c r="S43" s="76"/>
      <c r="T43" s="76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</row>
    <row r="44" spans="1:32" s="63" customFormat="1" ht="15" customHeight="1">
      <c r="A44" s="62" t="s">
        <v>41</v>
      </c>
      <c r="B44" s="78">
        <f ca="1">INDIRECT("'("&amp;$A$4&amp;"a)'!C40")</f>
        <v>55</v>
      </c>
      <c r="C44" s="78"/>
      <c r="D44" s="78">
        <f ca="1">INDIRECT("'("&amp;$A$4&amp;"a)'!d40")</f>
        <v>9</v>
      </c>
      <c r="E44" s="78">
        <f ca="1">INDIRECT("'("&amp;$A$4&amp;"a)'!e40")</f>
        <v>0</v>
      </c>
      <c r="F44" s="78"/>
      <c r="G44" s="78">
        <f ca="1">INDIRECT("'("&amp;$A$4&amp;"a)'!f40")</f>
        <v>0</v>
      </c>
      <c r="H44" s="62"/>
      <c r="J44" s="74"/>
      <c r="K44" s="74"/>
      <c r="M44" s="74"/>
      <c r="N44" s="74"/>
      <c r="P44" s="76"/>
      <c r="Q44" s="76"/>
      <c r="R44" s="76"/>
      <c r="S44" s="76"/>
      <c r="T44" s="76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</row>
    <row r="45" spans="1:32" s="63" customFormat="1" ht="15" customHeight="1">
      <c r="A45" s="62" t="s">
        <v>42</v>
      </c>
      <c r="B45" s="78">
        <f ca="1">INDIRECT("'("&amp;$A$4&amp;"a)'!C41")</f>
        <v>49</v>
      </c>
      <c r="C45" s="78"/>
      <c r="D45" s="78">
        <f ca="1">INDIRECT("'("&amp;$A$4&amp;"a)'!d41")</f>
        <v>8</v>
      </c>
      <c r="E45" s="78">
        <f ca="1">INDIRECT("'("&amp;$A$4&amp;"a)'!e41")</f>
        <v>0</v>
      </c>
      <c r="F45" s="78"/>
      <c r="G45" s="78">
        <f ca="1">INDIRECT("'("&amp;$A$4&amp;"a)'!f41")</f>
        <v>0</v>
      </c>
      <c r="H45" s="62"/>
      <c r="J45" s="74"/>
      <c r="K45" s="74"/>
      <c r="M45" s="74"/>
      <c r="N45" s="74"/>
      <c r="P45" s="76"/>
      <c r="Q45" s="76"/>
      <c r="R45" s="76"/>
      <c r="S45" s="76"/>
      <c r="T45" s="76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</row>
    <row r="46" spans="1:32" s="63" customFormat="1" ht="15" customHeight="1">
      <c r="A46" s="62" t="s">
        <v>43</v>
      </c>
      <c r="B46" s="78">
        <f ca="1">INDIRECT("'("&amp;$A$4&amp;"a)'!C42")</f>
        <v>34</v>
      </c>
      <c r="C46" s="78"/>
      <c r="D46" s="78">
        <f ca="1">INDIRECT("'("&amp;$A$4&amp;"a)'!d42")</f>
        <v>3</v>
      </c>
      <c r="E46" s="78">
        <f ca="1">INDIRECT("'("&amp;$A$4&amp;"a)'!e42")</f>
        <v>0</v>
      </c>
      <c r="F46" s="78"/>
      <c r="G46" s="78">
        <f ca="1">INDIRECT("'("&amp;$A$4&amp;"a)'!f42")</f>
        <v>0</v>
      </c>
      <c r="H46" s="62"/>
      <c r="J46" s="74"/>
      <c r="K46" s="74"/>
      <c r="M46" s="74"/>
      <c r="N46" s="74"/>
      <c r="P46" s="76"/>
      <c r="Q46" s="76"/>
      <c r="R46" s="76"/>
      <c r="S46" s="76"/>
      <c r="T46" s="76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</row>
    <row r="47" spans="1:32" s="63" customFormat="1" ht="15" customHeight="1">
      <c r="A47" s="62" t="s">
        <v>44</v>
      </c>
      <c r="B47" s="78">
        <f ca="1">INDIRECT("'("&amp;$A$4&amp;"a)'!C43")</f>
        <v>33</v>
      </c>
      <c r="C47" s="78"/>
      <c r="D47" s="78">
        <f ca="1">INDIRECT("'("&amp;$A$4&amp;"a)'!d43")</f>
        <v>1</v>
      </c>
      <c r="E47" s="78">
        <f ca="1">INDIRECT("'("&amp;$A$4&amp;"a)'!e43")</f>
        <v>0</v>
      </c>
      <c r="F47" s="78"/>
      <c r="G47" s="78">
        <f ca="1">INDIRECT("'("&amp;$A$4&amp;"a)'!f43")</f>
        <v>0</v>
      </c>
      <c r="H47" s="62"/>
      <c r="J47" s="74"/>
      <c r="K47" s="74"/>
      <c r="M47" s="74"/>
      <c r="N47" s="74"/>
      <c r="P47" s="76"/>
      <c r="Q47" s="76"/>
      <c r="R47" s="76"/>
      <c r="S47" s="76"/>
      <c r="T47" s="76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</row>
    <row r="48" spans="1:32" s="63" customFormat="1" ht="15" customHeight="1">
      <c r="A48" s="62" t="s">
        <v>45</v>
      </c>
      <c r="B48" s="78" t="str">
        <f ca="1">INDIRECT("'("&amp;$A$4&amp;"a)'!C44")</f>
        <v>..</v>
      </c>
      <c r="C48" s="78"/>
      <c r="D48" s="78" t="str">
        <f ca="1">INDIRECT("'("&amp;$A$4&amp;"a)'!d44")</f>
        <v>..</v>
      </c>
      <c r="E48" s="78" t="str">
        <f ca="1">INDIRECT("'("&amp;$A$4&amp;"a)'!e44")</f>
        <v>..</v>
      </c>
      <c r="F48" s="78"/>
      <c r="G48" s="78" t="str">
        <f ca="1">INDIRECT("'("&amp;$A$4&amp;"a)'!f44")</f>
        <v>..</v>
      </c>
      <c r="H48" s="62"/>
      <c r="J48" s="74"/>
      <c r="K48" s="74"/>
      <c r="M48" s="74"/>
      <c r="N48" s="74"/>
      <c r="P48" s="76"/>
      <c r="Q48" s="76"/>
      <c r="R48" s="76"/>
      <c r="S48" s="76"/>
      <c r="T48" s="76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</row>
    <row r="49" spans="1:32" s="63" customFormat="1" ht="15" customHeight="1">
      <c r="A49" s="62" t="s">
        <v>46</v>
      </c>
      <c r="B49" s="189">
        <f ca="1">INDIRECT("'("&amp;$A$4&amp;"a)'!C45")</f>
        <v>0</v>
      </c>
      <c r="C49" s="189"/>
      <c r="D49" s="189">
        <f ca="1">INDIRECT("'("&amp;$A$4&amp;"a)'!d45")</f>
        <v>0</v>
      </c>
      <c r="E49" s="189">
        <f ca="1">INDIRECT("'("&amp;$A$4&amp;"a)'!e45")</f>
        <v>0</v>
      </c>
      <c r="F49" s="189"/>
      <c r="G49" s="189">
        <f ca="1">INDIRECT("'("&amp;$A$4&amp;"a)'!f45")</f>
        <v>0</v>
      </c>
      <c r="H49" s="62"/>
      <c r="J49" s="74"/>
      <c r="K49" s="74"/>
      <c r="M49" s="74"/>
      <c r="N49" s="74"/>
      <c r="P49" s="76"/>
      <c r="Q49" s="76"/>
      <c r="R49" s="76"/>
      <c r="S49" s="76"/>
      <c r="T49" s="76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spans="1:32" s="63" customFormat="1" ht="15" customHeight="1">
      <c r="A50" s="80" t="s">
        <v>47</v>
      </c>
      <c r="B50" s="90">
        <f ca="1">INDIRECT("'("&amp;$A$4&amp;"a)'!C46")</f>
        <v>649</v>
      </c>
      <c r="C50" s="90"/>
      <c r="D50" s="90">
        <f ca="1">INDIRECT("'("&amp;$A$4&amp;"a)'!d46")</f>
        <v>153</v>
      </c>
      <c r="E50" s="90">
        <f ca="1">INDIRECT("'("&amp;$A$4&amp;"a)'!e46")</f>
        <v>69</v>
      </c>
      <c r="F50" s="90"/>
      <c r="G50" s="90">
        <f ca="1">INDIRECT("'("&amp;$A$4&amp;"a)'!f46")</f>
        <v>0</v>
      </c>
      <c r="H50" s="62"/>
      <c r="J50" s="74"/>
      <c r="K50" s="74"/>
      <c r="M50" s="74"/>
      <c r="N50" s="74"/>
      <c r="P50" s="76"/>
      <c r="Q50" s="76"/>
      <c r="R50" s="76"/>
      <c r="S50" s="76"/>
      <c r="T50" s="76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</row>
    <row r="51" spans="1:32" s="63" customFormat="1" ht="15" customHeight="1">
      <c r="A51" s="62" t="s">
        <v>48</v>
      </c>
      <c r="B51" s="78">
        <f ca="1">INDIRECT("'("&amp;$A$4&amp;"a)'!C47")</f>
        <v>66</v>
      </c>
      <c r="C51" s="78"/>
      <c r="D51" s="78">
        <f ca="1">INDIRECT("'("&amp;$A$4&amp;"a)'!d47")</f>
        <v>8</v>
      </c>
      <c r="E51" s="78">
        <f ca="1">INDIRECT("'("&amp;$A$4&amp;"a)'!e47")</f>
        <v>4</v>
      </c>
      <c r="F51" s="78"/>
      <c r="G51" s="78">
        <f ca="1">INDIRECT("'("&amp;$A$4&amp;"a)'!f47")</f>
        <v>0</v>
      </c>
      <c r="H51" s="62"/>
      <c r="J51" s="74"/>
      <c r="K51" s="74"/>
      <c r="M51" s="74"/>
      <c r="N51" s="74"/>
      <c r="P51" s="76"/>
      <c r="Q51" s="76"/>
      <c r="R51" s="76"/>
      <c r="S51" s="76"/>
      <c r="T51" s="76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</row>
    <row r="52" spans="1:32" s="63" customFormat="1" ht="15" customHeight="1">
      <c r="A52" s="62" t="s">
        <v>49</v>
      </c>
      <c r="B52" s="78">
        <f ca="1">INDIRECT("'("&amp;$A$4&amp;"a)'!C48")</f>
        <v>43</v>
      </c>
      <c r="C52" s="78"/>
      <c r="D52" s="78">
        <f ca="1">INDIRECT("'("&amp;$A$4&amp;"a)'!d48")</f>
        <v>9</v>
      </c>
      <c r="E52" s="78">
        <f ca="1">INDIRECT("'("&amp;$A$4&amp;"a)'!e48")</f>
        <v>1</v>
      </c>
      <c r="F52" s="78"/>
      <c r="G52" s="78">
        <f ca="1">INDIRECT("'("&amp;$A$4&amp;"a)'!f48")</f>
        <v>0</v>
      </c>
      <c r="H52" s="62"/>
      <c r="J52" s="74"/>
      <c r="K52" s="74"/>
      <c r="M52" s="74"/>
      <c r="N52" s="74"/>
      <c r="P52" s="76"/>
      <c r="Q52" s="76"/>
      <c r="R52" s="76"/>
      <c r="S52" s="76"/>
      <c r="T52" s="76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</row>
    <row r="53" spans="1:32" s="63" customFormat="1" ht="15" customHeight="1">
      <c r="A53" s="62" t="s">
        <v>50</v>
      </c>
      <c r="B53" s="78">
        <f ca="1">INDIRECT("'("&amp;$A$4&amp;"a)'!C49")</f>
        <v>53</v>
      </c>
      <c r="C53" s="78"/>
      <c r="D53" s="78">
        <f ca="1">INDIRECT("'("&amp;$A$4&amp;"a)'!d49")</f>
        <v>6</v>
      </c>
      <c r="E53" s="78">
        <f ca="1">INDIRECT("'("&amp;$A$4&amp;"a)'!e49")</f>
        <v>10</v>
      </c>
      <c r="F53" s="78"/>
      <c r="G53" s="78">
        <f ca="1">INDIRECT("'("&amp;$A$4&amp;"a)'!f49")</f>
        <v>0</v>
      </c>
      <c r="H53" s="62"/>
      <c r="J53" s="74"/>
      <c r="K53" s="74"/>
      <c r="M53" s="74"/>
      <c r="N53" s="74"/>
      <c r="P53" s="76"/>
      <c r="Q53" s="76"/>
      <c r="R53" s="76"/>
      <c r="S53" s="76"/>
      <c r="T53" s="76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</row>
    <row r="54" spans="1:32" s="63" customFormat="1" ht="15" customHeight="1">
      <c r="A54" s="62" t="s">
        <v>51</v>
      </c>
      <c r="B54" s="78">
        <f ca="1">INDIRECT("'("&amp;$A$4&amp;"a)'!C50")</f>
        <v>27</v>
      </c>
      <c r="C54" s="78"/>
      <c r="D54" s="78">
        <f ca="1">INDIRECT("'("&amp;$A$4&amp;"a)'!d50")</f>
        <v>6</v>
      </c>
      <c r="E54" s="78">
        <f ca="1">INDIRECT("'("&amp;$A$4&amp;"a)'!e50")</f>
        <v>0</v>
      </c>
      <c r="F54" s="78"/>
      <c r="G54" s="78">
        <f ca="1">INDIRECT("'("&amp;$A$4&amp;"a)'!f50")</f>
        <v>0</v>
      </c>
      <c r="H54" s="62"/>
      <c r="J54" s="74"/>
      <c r="K54" s="74"/>
      <c r="M54" s="74"/>
      <c r="N54" s="74"/>
      <c r="P54" s="76"/>
      <c r="Q54" s="76"/>
      <c r="R54" s="76"/>
      <c r="S54" s="76"/>
      <c r="T54" s="76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</row>
    <row r="55" spans="1:32" s="63" customFormat="1" ht="15" customHeight="1">
      <c r="A55" s="62" t="s">
        <v>52</v>
      </c>
      <c r="B55" s="78">
        <f ca="1">INDIRECT("'("&amp;$A$4&amp;"a)'!C51")</f>
        <v>99</v>
      </c>
      <c r="C55" s="78"/>
      <c r="D55" s="78">
        <f ca="1">INDIRECT("'("&amp;$A$4&amp;"a)'!d51")</f>
        <v>11</v>
      </c>
      <c r="E55" s="78">
        <f ca="1">INDIRECT("'("&amp;$A$4&amp;"a)'!e51")</f>
        <v>0</v>
      </c>
      <c r="F55" s="78"/>
      <c r="G55" s="78">
        <f ca="1">INDIRECT("'("&amp;$A$4&amp;"a)'!f51")</f>
        <v>0</v>
      </c>
      <c r="H55" s="62"/>
      <c r="J55" s="74"/>
      <c r="K55" s="74"/>
      <c r="L55" s="62"/>
      <c r="M55" s="74"/>
      <c r="N55" s="74"/>
      <c r="P55" s="76"/>
      <c r="Q55" s="76"/>
      <c r="R55" s="76"/>
      <c r="S55" s="76"/>
      <c r="T55" s="76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</row>
    <row r="56" spans="1:32" s="63" customFormat="1" ht="15" customHeight="1">
      <c r="A56" s="62" t="s">
        <v>53</v>
      </c>
      <c r="B56" s="78">
        <f ca="1">INDIRECT("'("&amp;$A$4&amp;"a)'!C52")</f>
        <v>136</v>
      </c>
      <c r="C56" s="78"/>
      <c r="D56" s="78">
        <f ca="1">INDIRECT("'("&amp;$A$4&amp;"a)'!d52")</f>
        <v>21</v>
      </c>
      <c r="E56" s="78">
        <f ca="1">INDIRECT("'("&amp;$A$4&amp;"a)'!e52")</f>
        <v>6</v>
      </c>
      <c r="F56" s="78"/>
      <c r="G56" s="78">
        <f ca="1">INDIRECT("'("&amp;$A$4&amp;"a)'!f52")</f>
        <v>0</v>
      </c>
      <c r="H56" s="62"/>
      <c r="J56" s="74"/>
      <c r="K56" s="74"/>
      <c r="L56" s="62"/>
      <c r="M56" s="74"/>
      <c r="N56" s="74"/>
      <c r="P56" s="76"/>
      <c r="Q56" s="76"/>
      <c r="R56" s="76"/>
      <c r="S56" s="76"/>
      <c r="T56" s="76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</row>
    <row r="57" spans="1:32" s="63" customFormat="1" ht="15" customHeight="1" thickBot="1">
      <c r="A57" s="81" t="s">
        <v>54</v>
      </c>
      <c r="B57" s="82">
        <f ca="1">INDIRECT("'("&amp;$A$4&amp;"a)'!C53")</f>
        <v>225</v>
      </c>
      <c r="C57" s="82"/>
      <c r="D57" s="82">
        <f ca="1">INDIRECT("'("&amp;$A$4&amp;"a)'!d53")</f>
        <v>92</v>
      </c>
      <c r="E57" s="82">
        <f ca="1">INDIRECT("'("&amp;$A$4&amp;"a)'!e53")</f>
        <v>48</v>
      </c>
      <c r="F57" s="82"/>
      <c r="G57" s="82">
        <f ca="1">INDIRECT("'("&amp;$A$4&amp;"a)'!f53")</f>
        <v>0</v>
      </c>
      <c r="H57" s="62"/>
      <c r="J57" s="74"/>
      <c r="K57" s="74"/>
      <c r="L57" s="62"/>
      <c r="M57" s="74"/>
      <c r="N57" s="74"/>
      <c r="P57" s="76"/>
      <c r="Q57" s="76"/>
      <c r="R57" s="76"/>
      <c r="S57" s="76"/>
      <c r="T57" s="76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</row>
    <row r="58" spans="1:32">
      <c r="J58" s="74"/>
      <c r="K58" s="74"/>
      <c r="M58" s="74"/>
      <c r="N58" s="74"/>
      <c r="O58" s="74"/>
      <c r="P58" s="74"/>
      <c r="Q58" s="74"/>
      <c r="R58" s="74"/>
      <c r="S58" s="74"/>
      <c r="T58" s="74"/>
    </row>
    <row r="59" spans="1:32" s="63" customFormat="1" ht="15" customHeight="1">
      <c r="A59" s="231"/>
      <c r="B59" s="231"/>
      <c r="C59" s="231"/>
      <c r="D59" s="231"/>
      <c r="E59" s="231"/>
      <c r="F59" s="231"/>
      <c r="G59" s="231"/>
      <c r="H59" s="62"/>
      <c r="I59" s="62"/>
      <c r="J59" s="74"/>
      <c r="K59" s="74"/>
      <c r="L59" s="62"/>
      <c r="M59" s="74"/>
      <c r="N59" s="74"/>
      <c r="O59" s="74"/>
      <c r="P59" s="74"/>
      <c r="Q59" s="74"/>
      <c r="R59" s="74"/>
      <c r="S59" s="74"/>
      <c r="T59" s="74"/>
    </row>
    <row r="60" spans="1:32" s="63" customFormat="1" ht="15" customHeight="1">
      <c r="A60" s="237"/>
      <c r="B60" s="237"/>
      <c r="C60" s="237"/>
      <c r="D60" s="237"/>
      <c r="E60" s="237"/>
      <c r="F60" s="237"/>
      <c r="G60" s="237"/>
      <c r="H60" s="62"/>
      <c r="I60" s="62"/>
      <c r="J60" s="74"/>
      <c r="K60" s="74"/>
      <c r="L60" s="62"/>
      <c r="M60" s="74"/>
      <c r="N60" s="74"/>
      <c r="O60" s="74"/>
      <c r="P60" s="74"/>
      <c r="Q60" s="74"/>
      <c r="R60" s="74"/>
      <c r="S60" s="74"/>
      <c r="T60" s="74"/>
    </row>
    <row r="61" spans="1:32" s="63" customFormat="1" ht="15" customHeight="1">
      <c r="A61" s="84"/>
      <c r="B61" s="62"/>
      <c r="C61" s="62"/>
      <c r="D61" s="62"/>
      <c r="E61" s="62"/>
      <c r="F61" s="62"/>
      <c r="G61" s="62"/>
      <c r="H61" s="62"/>
      <c r="I61" s="62"/>
      <c r="J61" s="74"/>
      <c r="K61" s="74"/>
      <c r="L61" s="62"/>
      <c r="M61" s="74"/>
      <c r="N61" s="74"/>
      <c r="O61" s="74"/>
      <c r="P61" s="74"/>
      <c r="Q61" s="74"/>
      <c r="R61" s="74"/>
      <c r="S61" s="74"/>
      <c r="T61" s="74"/>
    </row>
    <row r="62" spans="1:32" s="63" customFormat="1">
      <c r="A62" s="231"/>
      <c r="B62" s="231"/>
      <c r="C62" s="231"/>
      <c r="D62" s="231"/>
      <c r="E62" s="231"/>
      <c r="F62" s="231"/>
      <c r="G62" s="231"/>
      <c r="H62" s="62"/>
      <c r="I62" s="62"/>
      <c r="J62" s="74"/>
      <c r="K62" s="74"/>
      <c r="L62" s="62"/>
      <c r="M62" s="74"/>
      <c r="N62" s="74"/>
      <c r="O62" s="74"/>
      <c r="P62" s="74"/>
      <c r="Q62" s="74"/>
      <c r="R62" s="74"/>
      <c r="S62" s="74"/>
      <c r="T62" s="74"/>
    </row>
    <row r="63" spans="1:32" s="63" customFormat="1" ht="15" customHeight="1">
      <c r="A63" s="85"/>
      <c r="B63" s="85"/>
      <c r="C63" s="85"/>
      <c r="D63" s="85"/>
      <c r="E63" s="85"/>
      <c r="F63" s="85"/>
      <c r="G63" s="85"/>
      <c r="H63" s="62"/>
      <c r="I63" s="62"/>
      <c r="J63" s="74"/>
      <c r="K63" s="74"/>
      <c r="L63" s="62"/>
      <c r="M63" s="74"/>
      <c r="N63" s="74"/>
      <c r="O63" s="74"/>
      <c r="P63" s="74"/>
      <c r="Q63" s="74"/>
      <c r="R63" s="74"/>
      <c r="S63" s="74"/>
      <c r="T63" s="74"/>
    </row>
    <row r="64" spans="1:32" s="63" customFormat="1" ht="15" customHeight="1">
      <c r="A64" s="62"/>
      <c r="B64" s="60"/>
      <c r="C64" s="60"/>
      <c r="D64" s="60"/>
      <c r="E64" s="60"/>
      <c r="F64" s="60"/>
      <c r="G64" s="60"/>
      <c r="L64" s="62"/>
    </row>
    <row r="65" spans="1:12" s="63" customFormat="1" ht="15" customHeight="1">
      <c r="A65" s="86"/>
      <c r="B65" s="60"/>
      <c r="C65" s="60"/>
      <c r="D65" s="60"/>
      <c r="E65" s="60"/>
      <c r="F65" s="60"/>
      <c r="G65" s="60"/>
      <c r="L65" s="62"/>
    </row>
    <row r="66" spans="1:12" s="63" customFormat="1" ht="15" customHeight="1">
      <c r="A66" s="86"/>
      <c r="B66" s="60"/>
      <c r="C66" s="60"/>
      <c r="D66" s="60"/>
      <c r="E66" s="60"/>
      <c r="F66" s="60"/>
      <c r="G66" s="60"/>
      <c r="L66" s="62"/>
    </row>
    <row r="67" spans="1:12" s="63" customFormat="1">
      <c r="A67" s="231"/>
      <c r="B67" s="231"/>
      <c r="C67" s="231"/>
      <c r="D67" s="231"/>
      <c r="E67" s="231"/>
      <c r="F67" s="231"/>
      <c r="G67" s="231"/>
      <c r="L67" s="62"/>
    </row>
    <row r="69" spans="1:12" s="63" customFormat="1">
      <c r="A69" s="62"/>
      <c r="B69" s="62"/>
      <c r="C69" s="62"/>
      <c r="D69" s="62"/>
      <c r="E69" s="62"/>
      <c r="F69" s="62"/>
      <c r="G69" s="62"/>
      <c r="L69" s="62"/>
    </row>
    <row r="70" spans="1:12" s="63" customFormat="1" ht="15">
      <c r="A70" s="86"/>
      <c r="B70" s="62"/>
      <c r="C70" s="62"/>
      <c r="D70" s="62"/>
      <c r="E70" s="62"/>
      <c r="F70" s="62"/>
      <c r="G70" s="62"/>
      <c r="L70" s="62"/>
    </row>
    <row r="77" spans="1:12">
      <c r="J77" s="62" t="s">
        <v>70</v>
      </c>
      <c r="K77" s="63"/>
    </row>
    <row r="78" spans="1:12">
      <c r="J78" s="62" t="s">
        <v>71</v>
      </c>
    </row>
    <row r="79" spans="1:12">
      <c r="J79" s="62" t="s">
        <v>72</v>
      </c>
    </row>
    <row r="80" spans="1:12">
      <c r="J80" s="62" t="s">
        <v>73</v>
      </c>
    </row>
    <row r="81" spans="10:10">
      <c r="J81" s="62" t="s">
        <v>74</v>
      </c>
    </row>
    <row r="82" spans="10:10">
      <c r="J82" s="62" t="s">
        <v>75</v>
      </c>
    </row>
    <row r="83" spans="10:10">
      <c r="J83" s="62" t="s">
        <v>76</v>
      </c>
    </row>
  </sheetData>
  <mergeCells count="9">
    <mergeCell ref="A67:G67"/>
    <mergeCell ref="D6:E6"/>
    <mergeCell ref="G6:G7"/>
    <mergeCell ref="B6:B7"/>
    <mergeCell ref="A1:G1"/>
    <mergeCell ref="A4:G4"/>
    <mergeCell ref="A59:G59"/>
    <mergeCell ref="A60:G60"/>
    <mergeCell ref="A62:G62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F0"/>
  </sheetPr>
  <dimension ref="A1:AK83"/>
  <sheetViews>
    <sheetView topLeftCell="A31" workbookViewId="0">
      <selection activeCell="B12" sqref="B12"/>
    </sheetView>
  </sheetViews>
  <sheetFormatPr defaultRowHeight="12.75"/>
  <cols>
    <col min="1" max="1" width="50.7109375" style="62" customWidth="1"/>
    <col min="2" max="3" width="12.7109375" style="62" customWidth="1"/>
    <col min="4" max="4" width="3.7109375" style="62" customWidth="1"/>
    <col min="5" max="6" width="12.7109375" style="62" customWidth="1"/>
    <col min="7" max="7" width="3.7109375" style="62" customWidth="1"/>
    <col min="8" max="9" width="12.7109375" style="62" customWidth="1"/>
    <col min="10" max="10" width="3.7109375" style="62" customWidth="1"/>
    <col min="11" max="12" width="12.7109375" style="62" customWidth="1"/>
    <col min="13" max="13" width="9.140625" style="62" customWidth="1"/>
    <col min="14" max="15" width="0" style="62" hidden="1" customWidth="1"/>
    <col min="16" max="16" width="9.140625" style="62" customWidth="1"/>
    <col min="17" max="17" width="10" style="62" bestFit="1" customWidth="1"/>
    <col min="18" max="18" width="11.85546875" style="62" customWidth="1"/>
    <col min="19" max="23" width="9.140625" style="62"/>
    <col min="24" max="24" width="11" style="62" customWidth="1"/>
    <col min="25" max="16384" width="9.140625" style="62"/>
  </cols>
  <sheetData>
    <row r="1" spans="1:37" s="61" customFormat="1" ht="37.5" customHeight="1">
      <c r="A1" s="235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59"/>
      <c r="N1" s="59"/>
      <c r="O1" s="60"/>
      <c r="P1" s="60"/>
    </row>
    <row r="2" spans="1:37" s="63" customFormat="1" ht="1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37" s="63" customFormat="1" ht="15" customHeight="1">
      <c r="A3" s="64" t="s">
        <v>66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2"/>
      <c r="M3" s="62"/>
      <c r="N3" s="62"/>
      <c r="O3" s="62"/>
      <c r="P3" s="62"/>
    </row>
    <row r="4" spans="1:37" s="63" customFormat="1" ht="15" customHeight="1">
      <c r="A4" s="236" t="str">
        <f>FIRE0508b!A4</f>
        <v>2016-17</v>
      </c>
      <c r="B4" s="236"/>
      <c r="C4" s="236"/>
      <c r="D4" s="236"/>
      <c r="E4" s="236"/>
      <c r="F4" s="236"/>
      <c r="G4" s="236"/>
      <c r="H4" s="236"/>
      <c r="I4" s="236"/>
      <c r="J4" s="66"/>
      <c r="K4" s="88"/>
      <c r="L4" s="62"/>
      <c r="M4" s="62"/>
      <c r="N4" s="62"/>
      <c r="O4" s="62"/>
      <c r="P4" s="62"/>
      <c r="Q4" s="62"/>
    </row>
    <row r="5" spans="1:37" s="63" customFormat="1" ht="13.5" thickBot="1">
      <c r="A5" s="62"/>
      <c r="B5" s="238"/>
      <c r="C5" s="238"/>
      <c r="D5" s="238"/>
      <c r="E5" s="238"/>
      <c r="F5" s="238"/>
      <c r="G5" s="238"/>
      <c r="H5" s="238"/>
      <c r="I5" s="238"/>
      <c r="J5" s="67"/>
      <c r="K5" s="67"/>
      <c r="L5" s="67"/>
      <c r="M5" s="62"/>
      <c r="N5" s="62"/>
      <c r="O5" s="68"/>
      <c r="P5" s="68"/>
      <c r="R5" s="68"/>
      <c r="S5" s="68"/>
      <c r="U5" s="68"/>
      <c r="V5" s="68"/>
      <c r="W5" s="68"/>
      <c r="X5" s="68"/>
      <c r="Y5" s="68"/>
      <c r="AB5" s="69"/>
    </row>
    <row r="6" spans="1:37" s="63" customFormat="1" ht="15.75" thickBot="1">
      <c r="A6" s="96"/>
      <c r="B6" s="241" t="s">
        <v>1</v>
      </c>
      <c r="C6" s="241"/>
      <c r="D6" s="117"/>
      <c r="E6" s="240" t="s">
        <v>77</v>
      </c>
      <c r="F6" s="240"/>
      <c r="G6" s="240"/>
      <c r="H6" s="240"/>
      <c r="I6" s="240"/>
      <c r="J6" s="117"/>
      <c r="K6" s="241" t="s">
        <v>5</v>
      </c>
      <c r="L6" s="241"/>
      <c r="M6" s="62"/>
      <c r="N6" s="62"/>
      <c r="O6" s="68"/>
      <c r="P6" s="68"/>
      <c r="R6" s="68"/>
      <c r="S6" s="68"/>
      <c r="U6" s="68"/>
      <c r="V6" s="68"/>
      <c r="W6" s="68"/>
      <c r="X6" s="68"/>
      <c r="Y6" s="68"/>
      <c r="AB6" s="69"/>
    </row>
    <row r="7" spans="1:37" s="61" customFormat="1" ht="30" customHeight="1" thickBot="1">
      <c r="A7" s="113"/>
      <c r="B7" s="242"/>
      <c r="C7" s="242"/>
      <c r="D7" s="118"/>
      <c r="E7" s="239" t="s">
        <v>3</v>
      </c>
      <c r="F7" s="239"/>
      <c r="G7" s="119"/>
      <c r="H7" s="239" t="s">
        <v>78</v>
      </c>
      <c r="I7" s="239"/>
      <c r="J7" s="118"/>
      <c r="K7" s="242"/>
      <c r="L7" s="242"/>
      <c r="M7" s="60"/>
      <c r="N7" s="60"/>
      <c r="O7" s="116"/>
      <c r="P7" s="116"/>
      <c r="R7" s="116"/>
      <c r="S7" s="116"/>
      <c r="U7" s="116"/>
      <c r="V7" s="116"/>
      <c r="W7" s="116"/>
      <c r="X7" s="116"/>
      <c r="Y7" s="116"/>
    </row>
    <row r="8" spans="1:37" s="72" customFormat="1" ht="45.75" thickBot="1">
      <c r="A8" s="99" t="s">
        <v>67</v>
      </c>
      <c r="B8" s="101" t="s">
        <v>59</v>
      </c>
      <c r="C8" s="101" t="s">
        <v>88</v>
      </c>
      <c r="D8" s="100"/>
      <c r="E8" s="101" t="s">
        <v>59</v>
      </c>
      <c r="F8" s="101" t="s">
        <v>88</v>
      </c>
      <c r="G8" s="100"/>
      <c r="H8" s="101" t="s">
        <v>59</v>
      </c>
      <c r="I8" s="101" t="s">
        <v>88</v>
      </c>
      <c r="J8" s="100"/>
      <c r="K8" s="101" t="s">
        <v>59</v>
      </c>
      <c r="L8" s="101" t="s">
        <v>88</v>
      </c>
      <c r="Q8" s="62"/>
    </row>
    <row r="9" spans="1:37" s="63" customFormat="1" ht="15" customHeight="1">
      <c r="A9" s="77" t="s">
        <v>6</v>
      </c>
      <c r="B9" s="90">
        <f ca="1">INDIRECT("'("&amp;$A$4&amp;"b)'!C5")</f>
        <v>717</v>
      </c>
      <c r="C9" s="90">
        <f ca="1">INDIRECT("'("&amp;$A$4&amp;"b)'!d5")</f>
        <v>354</v>
      </c>
      <c r="D9" s="90"/>
      <c r="E9" s="90">
        <f ca="1">INDIRECT("'("&amp;$A$4&amp;"b)'!e5")</f>
        <v>142</v>
      </c>
      <c r="F9" s="90">
        <f ca="1">INDIRECT("'("&amp;$A$4&amp;"b)'!f5")</f>
        <v>68</v>
      </c>
      <c r="G9" s="90"/>
      <c r="H9" s="90">
        <f ca="1">INDIRECT("'("&amp;$A$4&amp;"b)'!g5")</f>
        <v>51</v>
      </c>
      <c r="I9" s="90">
        <f ca="1">INDIRECT("'("&amp;$A$4&amp;"b)'!h5")</f>
        <v>24</v>
      </c>
      <c r="J9" s="90"/>
      <c r="K9" s="90">
        <f ca="1">INDIRECT("'("&amp;$A$4&amp;"b)'!i5")</f>
        <v>0</v>
      </c>
      <c r="L9" s="73">
        <f ca="1">INDIRECT("'("&amp;$A$4&amp;"b)'!j5")</f>
        <v>0</v>
      </c>
      <c r="M9" s="62"/>
      <c r="O9" s="74"/>
      <c r="P9" s="74"/>
      <c r="R9" s="74"/>
      <c r="S9" s="74"/>
      <c r="U9" s="76"/>
      <c r="V9" s="76"/>
      <c r="W9" s="76"/>
      <c r="X9" s="76"/>
      <c r="Y9" s="76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</row>
    <row r="10" spans="1:37" s="63" customFormat="1" ht="15" customHeight="1">
      <c r="A10" s="89" t="s">
        <v>7</v>
      </c>
      <c r="B10" s="78">
        <f ca="1">INDIRECT("'("&amp;$A$4&amp;"b)'!C6")</f>
        <v>477</v>
      </c>
      <c r="C10" s="78">
        <f ca="1">INDIRECT("'("&amp;$A$4&amp;"b)'!d6")</f>
        <v>231</v>
      </c>
      <c r="D10" s="78"/>
      <c r="E10" s="78">
        <f ca="1">INDIRECT("'("&amp;$A$4&amp;"b)'!e6")</f>
        <v>89</v>
      </c>
      <c r="F10" s="78">
        <f ca="1">INDIRECT("'("&amp;$A$4&amp;"b)'!f6")</f>
        <v>27</v>
      </c>
      <c r="G10" s="78"/>
      <c r="H10" s="78">
        <f ca="1">INDIRECT("'("&amp;$A$4&amp;"b)'!g6")</f>
        <v>13</v>
      </c>
      <c r="I10" s="78">
        <f ca="1">INDIRECT("'("&amp;$A$4&amp;"b)'!h6")</f>
        <v>4</v>
      </c>
      <c r="J10" s="78"/>
      <c r="K10" s="78">
        <f ca="1">INDIRECT("'("&amp;$A$4&amp;"b)'!i6")</f>
        <v>0</v>
      </c>
      <c r="L10" s="73">
        <f ca="1">INDIRECT("'("&amp;$A$4&amp;"b)'!j6")</f>
        <v>0</v>
      </c>
      <c r="M10" s="62"/>
      <c r="O10" s="74"/>
      <c r="P10" s="74"/>
      <c r="R10" s="74"/>
      <c r="S10" s="74"/>
      <c r="U10" s="76"/>
      <c r="V10" s="76"/>
      <c r="W10" s="76"/>
      <c r="X10" s="76"/>
      <c r="Y10" s="76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</row>
    <row r="11" spans="1:37" s="63" customFormat="1" ht="15" customHeight="1">
      <c r="A11" s="62" t="s">
        <v>8</v>
      </c>
      <c r="B11" s="78">
        <f ca="1">INDIRECT("'("&amp;$A$4&amp;"b)'!C7")</f>
        <v>15</v>
      </c>
      <c r="C11" s="78">
        <f ca="1">INDIRECT("'("&amp;$A$4&amp;"b)'!d7")</f>
        <v>1</v>
      </c>
      <c r="D11" s="78"/>
      <c r="E11" s="78">
        <f ca="1">INDIRECT("'("&amp;$A$4&amp;"b)'!e7")</f>
        <v>5</v>
      </c>
      <c r="F11" s="78">
        <f ca="1">INDIRECT("'("&amp;$A$4&amp;"b)'!f7")</f>
        <v>0</v>
      </c>
      <c r="G11" s="78"/>
      <c r="H11" s="78">
        <f ca="1">INDIRECT("'("&amp;$A$4&amp;"b)'!g7")</f>
        <v>2</v>
      </c>
      <c r="I11" s="78">
        <f ca="1">INDIRECT("'("&amp;$A$4&amp;"b)'!h7")</f>
        <v>0</v>
      </c>
      <c r="J11" s="78"/>
      <c r="K11" s="78">
        <f ca="1">INDIRECT("'("&amp;$A$4&amp;"b)'!i7")</f>
        <v>0</v>
      </c>
      <c r="L11" s="73">
        <f ca="1">INDIRECT("'("&amp;$A$4&amp;"b)'!j7")</f>
        <v>0</v>
      </c>
      <c r="M11" s="62"/>
      <c r="O11" s="74"/>
      <c r="P11" s="74"/>
      <c r="R11" s="74"/>
      <c r="S11" s="74"/>
      <c r="U11" s="76"/>
      <c r="V11" s="76"/>
      <c r="W11" s="76"/>
      <c r="X11" s="76"/>
      <c r="Y11" s="76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</row>
    <row r="12" spans="1:37" s="63" customFormat="1" ht="15" customHeight="1">
      <c r="A12" s="62" t="s">
        <v>9</v>
      </c>
      <c r="B12" s="78">
        <f ca="1">INDIRECT("'("&amp;$A$4&amp;"b)'!C8")</f>
        <v>9</v>
      </c>
      <c r="C12" s="78">
        <f ca="1">INDIRECT("'("&amp;$A$4&amp;"b)'!d8")</f>
        <v>6</v>
      </c>
      <c r="D12" s="78"/>
      <c r="E12" s="78">
        <f ca="1">INDIRECT("'("&amp;$A$4&amp;"b)'!e8")</f>
        <v>1</v>
      </c>
      <c r="F12" s="78">
        <f ca="1">INDIRECT("'("&amp;$A$4&amp;"b)'!f8")</f>
        <v>0</v>
      </c>
      <c r="G12" s="78"/>
      <c r="H12" s="78">
        <f ca="1">INDIRECT("'("&amp;$A$4&amp;"b)'!g8")</f>
        <v>0</v>
      </c>
      <c r="I12" s="78">
        <f ca="1">INDIRECT("'("&amp;$A$4&amp;"b)'!h8")</f>
        <v>0</v>
      </c>
      <c r="J12" s="78"/>
      <c r="K12" s="78">
        <f ca="1">INDIRECT("'("&amp;$A$4&amp;"b)'!i8")</f>
        <v>0</v>
      </c>
      <c r="L12" s="73">
        <f ca="1">INDIRECT("'("&amp;$A$4&amp;"b)'!j8")</f>
        <v>0</v>
      </c>
      <c r="M12" s="62"/>
      <c r="O12" s="74"/>
      <c r="P12" s="74"/>
      <c r="R12" s="74"/>
      <c r="S12" s="74"/>
      <c r="U12" s="76"/>
      <c r="V12" s="76"/>
      <c r="W12" s="76"/>
      <c r="X12" s="76"/>
      <c r="Y12" s="76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</row>
    <row r="13" spans="1:37" s="63" customFormat="1" ht="15" customHeight="1">
      <c r="A13" s="62" t="s">
        <v>10</v>
      </c>
      <c r="B13" s="78">
        <f ca="1">INDIRECT("'("&amp;$A$4&amp;"b)'!C9")</f>
        <v>10</v>
      </c>
      <c r="C13" s="78">
        <f ca="1">INDIRECT("'("&amp;$A$4&amp;"b)'!d9")</f>
        <v>9</v>
      </c>
      <c r="D13" s="78"/>
      <c r="E13" s="78">
        <f ca="1">INDIRECT("'("&amp;$A$4&amp;"b)'!e9")</f>
        <v>2</v>
      </c>
      <c r="F13" s="78">
        <f ca="1">INDIRECT("'("&amp;$A$4&amp;"b)'!f9")</f>
        <v>1</v>
      </c>
      <c r="G13" s="78"/>
      <c r="H13" s="78">
        <f ca="1">INDIRECT("'("&amp;$A$4&amp;"b)'!g9")</f>
        <v>0</v>
      </c>
      <c r="I13" s="78">
        <f ca="1">INDIRECT("'("&amp;$A$4&amp;"b)'!h9")</f>
        <v>0</v>
      </c>
      <c r="J13" s="78"/>
      <c r="K13" s="78">
        <f ca="1">INDIRECT("'("&amp;$A$4&amp;"b)'!i9")</f>
        <v>0</v>
      </c>
      <c r="L13" s="73">
        <f ca="1">INDIRECT("'("&amp;$A$4&amp;"b)'!j9")</f>
        <v>0</v>
      </c>
      <c r="M13" s="62"/>
      <c r="O13" s="74"/>
      <c r="P13" s="74"/>
      <c r="R13" s="74"/>
      <c r="S13" s="74"/>
      <c r="U13" s="76"/>
      <c r="V13" s="76"/>
      <c r="W13" s="76"/>
      <c r="X13" s="76"/>
      <c r="Y13" s="76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</row>
    <row r="14" spans="1:37" s="63" customFormat="1" ht="15" customHeight="1">
      <c r="A14" s="62" t="s">
        <v>11</v>
      </c>
      <c r="B14" s="78">
        <f ca="1">INDIRECT("'("&amp;$A$4&amp;"b)'!C10")</f>
        <v>5</v>
      </c>
      <c r="C14" s="78">
        <f ca="1">INDIRECT("'("&amp;$A$4&amp;"b)'!d10")</f>
        <v>5</v>
      </c>
      <c r="D14" s="78"/>
      <c r="E14" s="78">
        <f ca="1">INDIRECT("'("&amp;$A$4&amp;"b)'!e10")</f>
        <v>1</v>
      </c>
      <c r="F14" s="78">
        <f ca="1">INDIRECT("'("&amp;$A$4&amp;"b)'!f10")</f>
        <v>2</v>
      </c>
      <c r="G14" s="78"/>
      <c r="H14" s="78">
        <f ca="1">INDIRECT("'("&amp;$A$4&amp;"b)'!g10")</f>
        <v>0</v>
      </c>
      <c r="I14" s="78">
        <f ca="1">INDIRECT("'("&amp;$A$4&amp;"b)'!h10")</f>
        <v>0</v>
      </c>
      <c r="J14" s="78"/>
      <c r="K14" s="78">
        <f ca="1">INDIRECT("'("&amp;$A$4&amp;"b)'!i10")</f>
        <v>0</v>
      </c>
      <c r="L14" s="73">
        <f ca="1">INDIRECT("'("&amp;$A$4&amp;"b)'!j10")</f>
        <v>0</v>
      </c>
      <c r="M14" s="62"/>
      <c r="O14" s="74"/>
      <c r="P14" s="74"/>
      <c r="R14" s="74"/>
      <c r="S14" s="74"/>
      <c r="U14" s="76"/>
      <c r="V14" s="76"/>
      <c r="W14" s="76"/>
      <c r="X14" s="76"/>
      <c r="Y14" s="76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</row>
    <row r="15" spans="1:37" s="63" customFormat="1" ht="15" customHeight="1">
      <c r="A15" s="62" t="s">
        <v>12</v>
      </c>
      <c r="B15" s="78">
        <f ca="1">INDIRECT("'("&amp;$A$4&amp;"b)'!C11")</f>
        <v>33</v>
      </c>
      <c r="C15" s="78">
        <f ca="1">INDIRECT("'("&amp;$A$4&amp;"b)'!d11")</f>
        <v>22</v>
      </c>
      <c r="D15" s="78"/>
      <c r="E15" s="78">
        <f ca="1">INDIRECT("'("&amp;$A$4&amp;"b)'!e11")</f>
        <v>1</v>
      </c>
      <c r="F15" s="78">
        <f ca="1">INDIRECT("'("&amp;$A$4&amp;"b)'!f11")</f>
        <v>0</v>
      </c>
      <c r="G15" s="78"/>
      <c r="H15" s="78">
        <f ca="1">INDIRECT("'("&amp;$A$4&amp;"b)'!g11")</f>
        <v>0</v>
      </c>
      <c r="I15" s="78">
        <f ca="1">INDIRECT("'("&amp;$A$4&amp;"b)'!h11")</f>
        <v>0</v>
      </c>
      <c r="J15" s="78"/>
      <c r="K15" s="78">
        <f ca="1">INDIRECT("'("&amp;$A$4&amp;"b)'!i11")</f>
        <v>0</v>
      </c>
      <c r="L15" s="73">
        <f ca="1">INDIRECT("'("&amp;$A$4&amp;"b)'!j11")</f>
        <v>0</v>
      </c>
      <c r="M15" s="62"/>
      <c r="O15" s="74"/>
      <c r="P15" s="74"/>
      <c r="R15" s="74"/>
      <c r="S15" s="74"/>
      <c r="U15" s="76"/>
      <c r="V15" s="76"/>
      <c r="W15" s="76"/>
      <c r="X15" s="76"/>
      <c r="Y15" s="76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</row>
    <row r="16" spans="1:37" s="63" customFormat="1" ht="15" customHeight="1">
      <c r="A16" s="62" t="s">
        <v>13</v>
      </c>
      <c r="B16" s="78">
        <f ca="1">INDIRECT("'("&amp;$A$4&amp;"b)'!C12")</f>
        <v>5</v>
      </c>
      <c r="C16" s="78">
        <f ca="1">INDIRECT("'("&amp;$A$4&amp;"b)'!d12")</f>
        <v>0</v>
      </c>
      <c r="D16" s="78"/>
      <c r="E16" s="78">
        <f ca="1">INDIRECT("'("&amp;$A$4&amp;"b)'!e12")</f>
        <v>0</v>
      </c>
      <c r="F16" s="78">
        <f ca="1">INDIRECT("'("&amp;$A$4&amp;"b)'!f12")</f>
        <v>0</v>
      </c>
      <c r="G16" s="78"/>
      <c r="H16" s="78">
        <f ca="1">INDIRECT("'("&amp;$A$4&amp;"b)'!g12")</f>
        <v>0</v>
      </c>
      <c r="I16" s="78">
        <f ca="1">INDIRECT("'("&amp;$A$4&amp;"b)'!h12")</f>
        <v>0</v>
      </c>
      <c r="J16" s="78"/>
      <c r="K16" s="78">
        <f ca="1">INDIRECT("'("&amp;$A$4&amp;"b)'!i12")</f>
        <v>0</v>
      </c>
      <c r="L16" s="73">
        <f ca="1">INDIRECT("'("&amp;$A$4&amp;"b)'!j12")</f>
        <v>0</v>
      </c>
      <c r="M16" s="62"/>
      <c r="O16" s="74"/>
      <c r="P16" s="74"/>
      <c r="R16" s="74"/>
      <c r="S16" s="74"/>
      <c r="U16" s="76"/>
      <c r="V16" s="76"/>
      <c r="W16" s="76"/>
      <c r="X16" s="76"/>
      <c r="Y16" s="76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</row>
    <row r="17" spans="1:37" s="63" customFormat="1" ht="15" customHeight="1">
      <c r="A17" s="62" t="s">
        <v>14</v>
      </c>
      <c r="B17" s="78">
        <f ca="1">INDIRECT("'("&amp;$A$4&amp;"b)'!C13")</f>
        <v>1</v>
      </c>
      <c r="C17" s="78">
        <f ca="1">INDIRECT("'("&amp;$A$4&amp;"b)'!d13")</f>
        <v>1</v>
      </c>
      <c r="D17" s="78"/>
      <c r="E17" s="78">
        <f ca="1">INDIRECT("'("&amp;$A$4&amp;"b)'!e13")</f>
        <v>0</v>
      </c>
      <c r="F17" s="78">
        <f ca="1">INDIRECT("'("&amp;$A$4&amp;"b)'!f13")</f>
        <v>0</v>
      </c>
      <c r="G17" s="78"/>
      <c r="H17" s="78">
        <f ca="1">INDIRECT("'("&amp;$A$4&amp;"b)'!g13")</f>
        <v>0</v>
      </c>
      <c r="I17" s="78">
        <f ca="1">INDIRECT("'("&amp;$A$4&amp;"b)'!h13")</f>
        <v>0</v>
      </c>
      <c r="J17" s="78"/>
      <c r="K17" s="78">
        <f ca="1">INDIRECT("'("&amp;$A$4&amp;"b)'!i13")</f>
        <v>0</v>
      </c>
      <c r="L17" s="73">
        <f ca="1">INDIRECT("'("&amp;$A$4&amp;"b)'!j13")</f>
        <v>0</v>
      </c>
      <c r="M17" s="62"/>
      <c r="O17" s="74"/>
      <c r="P17" s="74"/>
      <c r="R17" s="74"/>
      <c r="S17" s="74"/>
      <c r="U17" s="76"/>
      <c r="V17" s="76"/>
      <c r="W17" s="76"/>
      <c r="X17" s="76"/>
      <c r="Y17" s="76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</row>
    <row r="18" spans="1:37" s="63" customFormat="1" ht="15" customHeight="1">
      <c r="A18" s="62" t="s">
        <v>15</v>
      </c>
      <c r="B18" s="78">
        <f ca="1">INDIRECT("'("&amp;$A$4&amp;"b)'!C14")</f>
        <v>5</v>
      </c>
      <c r="C18" s="78">
        <f ca="1">INDIRECT("'("&amp;$A$4&amp;"b)'!d14")</f>
        <v>2</v>
      </c>
      <c r="D18" s="78"/>
      <c r="E18" s="78">
        <f ca="1">INDIRECT("'("&amp;$A$4&amp;"b)'!e14")</f>
        <v>3</v>
      </c>
      <c r="F18" s="78">
        <f ca="1">INDIRECT("'("&amp;$A$4&amp;"b)'!f14")</f>
        <v>1</v>
      </c>
      <c r="G18" s="78"/>
      <c r="H18" s="78">
        <f ca="1">INDIRECT("'("&amp;$A$4&amp;"b)'!g14")</f>
        <v>0</v>
      </c>
      <c r="I18" s="78">
        <f ca="1">INDIRECT("'("&amp;$A$4&amp;"b)'!h14")</f>
        <v>1</v>
      </c>
      <c r="J18" s="78"/>
      <c r="K18" s="78">
        <f ca="1">INDIRECT("'("&amp;$A$4&amp;"b)'!i14")</f>
        <v>0</v>
      </c>
      <c r="L18" s="73">
        <f ca="1">INDIRECT("'("&amp;$A$4&amp;"b)'!j14")</f>
        <v>0</v>
      </c>
      <c r="M18" s="62"/>
      <c r="O18" s="74"/>
      <c r="P18" s="74"/>
      <c r="R18" s="74"/>
      <c r="S18" s="74"/>
      <c r="U18" s="76"/>
      <c r="V18" s="76"/>
      <c r="W18" s="76"/>
      <c r="X18" s="76"/>
      <c r="Y18" s="76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</row>
    <row r="19" spans="1:37" s="63" customFormat="1" ht="15" customHeight="1">
      <c r="A19" s="79" t="s">
        <v>16</v>
      </c>
      <c r="B19" s="78">
        <f ca="1">INDIRECT("'("&amp;$A$4&amp;"b)'!C15")</f>
        <v>9</v>
      </c>
      <c r="C19" s="78">
        <f ca="1">INDIRECT("'("&amp;$A$4&amp;"b)'!d15")</f>
        <v>1</v>
      </c>
      <c r="D19" s="78"/>
      <c r="E19" s="78">
        <f ca="1">INDIRECT("'("&amp;$A$4&amp;"b)'!e15")</f>
        <v>3</v>
      </c>
      <c r="F19" s="78">
        <f ca="1">INDIRECT("'("&amp;$A$4&amp;"b)'!f15")</f>
        <v>0</v>
      </c>
      <c r="G19" s="78"/>
      <c r="H19" s="78">
        <f ca="1">INDIRECT("'("&amp;$A$4&amp;"b)'!g15")</f>
        <v>0</v>
      </c>
      <c r="I19" s="78">
        <f ca="1">INDIRECT("'("&amp;$A$4&amp;"b)'!h15")</f>
        <v>0</v>
      </c>
      <c r="J19" s="78"/>
      <c r="K19" s="78">
        <f ca="1">INDIRECT("'("&amp;$A$4&amp;"b)'!i15")</f>
        <v>0</v>
      </c>
      <c r="L19" s="73">
        <f ca="1">INDIRECT("'("&amp;$A$4&amp;"b)'!j15")</f>
        <v>0</v>
      </c>
      <c r="M19" s="62"/>
      <c r="O19" s="74"/>
      <c r="P19" s="74"/>
      <c r="R19" s="74"/>
      <c r="S19" s="74"/>
      <c r="U19" s="76"/>
      <c r="V19" s="76"/>
      <c r="W19" s="76"/>
      <c r="X19" s="76"/>
      <c r="Y19" s="76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</row>
    <row r="20" spans="1:37" s="63" customFormat="1" ht="15" customHeight="1">
      <c r="A20" s="79" t="s">
        <v>17</v>
      </c>
      <c r="B20" s="78">
        <f ca="1">INDIRECT("'("&amp;$A$4&amp;"b)'!C16")</f>
        <v>9</v>
      </c>
      <c r="C20" s="78">
        <f ca="1">INDIRECT("'("&amp;$A$4&amp;"b)'!d16")</f>
        <v>2</v>
      </c>
      <c r="D20" s="78"/>
      <c r="E20" s="78">
        <f ca="1">INDIRECT("'("&amp;$A$4&amp;"b)'!e16")</f>
        <v>5</v>
      </c>
      <c r="F20" s="78">
        <f ca="1">INDIRECT("'("&amp;$A$4&amp;"b)'!f16")</f>
        <v>1</v>
      </c>
      <c r="G20" s="78"/>
      <c r="H20" s="78">
        <f ca="1">INDIRECT("'("&amp;$A$4&amp;"b)'!g16")</f>
        <v>0</v>
      </c>
      <c r="I20" s="78">
        <f ca="1">INDIRECT("'("&amp;$A$4&amp;"b)'!h16")</f>
        <v>0</v>
      </c>
      <c r="J20" s="78"/>
      <c r="K20" s="78">
        <f ca="1">INDIRECT("'("&amp;$A$4&amp;"b)'!i16")</f>
        <v>0</v>
      </c>
      <c r="L20" s="73">
        <f ca="1">INDIRECT("'("&amp;$A$4&amp;"b)'!j16")</f>
        <v>0</v>
      </c>
      <c r="M20" s="62"/>
      <c r="O20" s="74"/>
      <c r="P20" s="74"/>
      <c r="R20" s="74"/>
      <c r="S20" s="74"/>
      <c r="U20" s="76"/>
      <c r="V20" s="76"/>
      <c r="W20" s="76"/>
      <c r="X20" s="76"/>
      <c r="Y20" s="76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</row>
    <row r="21" spans="1:37" s="63" customFormat="1" ht="15" customHeight="1">
      <c r="A21" s="62" t="s">
        <v>18</v>
      </c>
      <c r="B21" s="78">
        <f ca="1">INDIRECT("'("&amp;$A$4&amp;"b)'!C17")</f>
        <v>22</v>
      </c>
      <c r="C21" s="78">
        <f ca="1">INDIRECT("'("&amp;$A$4&amp;"b)'!d17")</f>
        <v>4</v>
      </c>
      <c r="D21" s="78"/>
      <c r="E21" s="78">
        <f ca="1">INDIRECT("'("&amp;$A$4&amp;"b)'!e17")</f>
        <v>5</v>
      </c>
      <c r="F21" s="78">
        <f ca="1">INDIRECT("'("&amp;$A$4&amp;"b)'!f17")</f>
        <v>1</v>
      </c>
      <c r="G21" s="78"/>
      <c r="H21" s="78">
        <f ca="1">INDIRECT("'("&amp;$A$4&amp;"b)'!g17")</f>
        <v>0</v>
      </c>
      <c r="I21" s="78">
        <f ca="1">INDIRECT("'("&amp;$A$4&amp;"b)'!h17")</f>
        <v>0</v>
      </c>
      <c r="J21" s="78"/>
      <c r="K21" s="78">
        <f ca="1">INDIRECT("'("&amp;$A$4&amp;"b)'!i17")</f>
        <v>0</v>
      </c>
      <c r="L21" s="73">
        <f ca="1">INDIRECT("'("&amp;$A$4&amp;"b)'!j17")</f>
        <v>0</v>
      </c>
      <c r="M21" s="62"/>
      <c r="O21" s="74"/>
      <c r="P21" s="74"/>
      <c r="R21" s="74"/>
      <c r="S21" s="74"/>
      <c r="U21" s="76"/>
      <c r="V21" s="76"/>
      <c r="W21" s="76"/>
      <c r="X21" s="76"/>
      <c r="Y21" s="76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</row>
    <row r="22" spans="1:37" s="63" customFormat="1" ht="15" customHeight="1">
      <c r="A22" s="62" t="s">
        <v>125</v>
      </c>
      <c r="B22" s="78">
        <f ca="1">INDIRECT("'("&amp;$A$4&amp;"b)'!C18")</f>
        <v>30</v>
      </c>
      <c r="C22" s="78">
        <f ca="1">INDIRECT("'("&amp;$A$4&amp;"b)'!d18")</f>
        <v>15</v>
      </c>
      <c r="D22" s="78"/>
      <c r="E22" s="78">
        <f ca="1">INDIRECT("'("&amp;$A$4&amp;"b)'!e18")</f>
        <v>5</v>
      </c>
      <c r="F22" s="78">
        <f ca="1">INDIRECT("'("&amp;$A$4&amp;"b)'!f18")</f>
        <v>2</v>
      </c>
      <c r="G22" s="78"/>
      <c r="H22" s="78">
        <f ca="1">INDIRECT("'("&amp;$A$4&amp;"b)'!g18")</f>
        <v>0</v>
      </c>
      <c r="I22" s="78">
        <f ca="1">INDIRECT("'("&amp;$A$4&amp;"b)'!h18")</f>
        <v>0</v>
      </c>
      <c r="J22" s="78"/>
      <c r="K22" s="78">
        <f ca="1">INDIRECT("'("&amp;$A$4&amp;"b)'!i18")</f>
        <v>0</v>
      </c>
      <c r="L22" s="73">
        <f ca="1">INDIRECT("'("&amp;$A$4&amp;"b)'!j18")</f>
        <v>0</v>
      </c>
      <c r="M22" s="62"/>
      <c r="O22" s="74"/>
      <c r="P22" s="74"/>
      <c r="R22" s="74"/>
      <c r="S22" s="74"/>
      <c r="U22" s="76"/>
      <c r="V22" s="76"/>
      <c r="W22" s="76"/>
      <c r="X22" s="76"/>
      <c r="Y22" s="76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</row>
    <row r="23" spans="1:37" s="63" customFormat="1" ht="15" customHeight="1">
      <c r="A23" s="62" t="s">
        <v>19</v>
      </c>
      <c r="B23" s="78" t="str">
        <f ca="1">INDIRECT("'("&amp;$A$4&amp;"b)'!C19")</f>
        <v>..</v>
      </c>
      <c r="C23" s="78" t="str">
        <f ca="1">INDIRECT("'("&amp;$A$4&amp;"b)'!d19")</f>
        <v>..</v>
      </c>
      <c r="D23" s="78"/>
      <c r="E23" s="78" t="str">
        <f ca="1">INDIRECT("'("&amp;$A$4&amp;"b)'!e19")</f>
        <v>..</v>
      </c>
      <c r="F23" s="78" t="str">
        <f ca="1">INDIRECT("'("&amp;$A$4&amp;"b)'!f19")</f>
        <v>..</v>
      </c>
      <c r="G23" s="78"/>
      <c r="H23" s="78" t="str">
        <f ca="1">INDIRECT("'("&amp;$A$4&amp;"b)'!g19")</f>
        <v>..</v>
      </c>
      <c r="I23" s="78" t="str">
        <f ca="1">INDIRECT("'("&amp;$A$4&amp;"b)'!h19")</f>
        <v>..</v>
      </c>
      <c r="J23" s="78"/>
      <c r="K23" s="78" t="str">
        <f ca="1">INDIRECT("'("&amp;$A$4&amp;"b)'!i19")</f>
        <v>..</v>
      </c>
      <c r="L23" s="73" t="str">
        <f ca="1">INDIRECT("'("&amp;$A$4&amp;"b)'!j19")</f>
        <v>..</v>
      </c>
      <c r="M23" s="62"/>
      <c r="O23" s="74"/>
      <c r="P23" s="74"/>
      <c r="R23" s="74"/>
      <c r="S23" s="74"/>
      <c r="U23" s="76"/>
      <c r="V23" s="76"/>
      <c r="W23" s="76"/>
      <c r="X23" s="76"/>
      <c r="Y23" s="76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</row>
    <row r="24" spans="1:37" s="63" customFormat="1" ht="15" customHeight="1">
      <c r="A24" s="62" t="s">
        <v>20</v>
      </c>
      <c r="B24" s="78">
        <f ca="1">INDIRECT("'("&amp;$A$4&amp;"b)'!C20")</f>
        <v>1</v>
      </c>
      <c r="C24" s="78">
        <f ca="1">INDIRECT("'("&amp;$A$4&amp;"b)'!d20")</f>
        <v>2</v>
      </c>
      <c r="D24" s="78"/>
      <c r="E24" s="78">
        <f ca="1">INDIRECT("'("&amp;$A$4&amp;"b)'!e20")</f>
        <v>1</v>
      </c>
      <c r="F24" s="78">
        <f ca="1">INDIRECT("'("&amp;$A$4&amp;"b)'!f20")</f>
        <v>2</v>
      </c>
      <c r="G24" s="78"/>
      <c r="H24" s="78">
        <f ca="1">INDIRECT("'("&amp;$A$4&amp;"b)'!g20")</f>
        <v>0</v>
      </c>
      <c r="I24" s="78">
        <f ca="1">INDIRECT("'("&amp;$A$4&amp;"b)'!h20")</f>
        <v>0</v>
      </c>
      <c r="J24" s="78"/>
      <c r="K24" s="78">
        <f ca="1">INDIRECT("'("&amp;$A$4&amp;"b)'!i20")</f>
        <v>0</v>
      </c>
      <c r="L24" s="73">
        <f ca="1">INDIRECT("'("&amp;$A$4&amp;"b)'!j20")</f>
        <v>0</v>
      </c>
      <c r="M24" s="62"/>
      <c r="O24" s="74"/>
      <c r="P24" s="74"/>
      <c r="R24" s="74"/>
      <c r="S24" s="74"/>
      <c r="U24" s="76"/>
      <c r="V24" s="76"/>
      <c r="W24" s="76"/>
      <c r="X24" s="76"/>
      <c r="Y24" s="76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</row>
    <row r="25" spans="1:37" s="63" customFormat="1" ht="15" customHeight="1">
      <c r="A25" s="62" t="s">
        <v>21</v>
      </c>
      <c r="B25" s="78">
        <f ca="1">INDIRECT("'("&amp;$A$4&amp;"b)'!C21")</f>
        <v>10</v>
      </c>
      <c r="C25" s="78">
        <f ca="1">INDIRECT("'("&amp;$A$4&amp;"b)'!d21")</f>
        <v>10</v>
      </c>
      <c r="D25" s="78"/>
      <c r="E25" s="78">
        <f ca="1">INDIRECT("'("&amp;$A$4&amp;"b)'!e21")</f>
        <v>1</v>
      </c>
      <c r="F25" s="78">
        <f ca="1">INDIRECT("'("&amp;$A$4&amp;"b)'!f21")</f>
        <v>1</v>
      </c>
      <c r="G25" s="78"/>
      <c r="H25" s="78">
        <f ca="1">INDIRECT("'("&amp;$A$4&amp;"b)'!g21")</f>
        <v>3</v>
      </c>
      <c r="I25" s="78">
        <f ca="1">INDIRECT("'("&amp;$A$4&amp;"b)'!h21")</f>
        <v>1</v>
      </c>
      <c r="J25" s="78"/>
      <c r="K25" s="78">
        <f ca="1">INDIRECT("'("&amp;$A$4&amp;"b)'!i21")</f>
        <v>0</v>
      </c>
      <c r="L25" s="73">
        <f ca="1">INDIRECT("'("&amp;$A$4&amp;"b)'!j21")</f>
        <v>0</v>
      </c>
      <c r="M25" s="62"/>
      <c r="O25" s="74"/>
      <c r="P25" s="74"/>
      <c r="R25" s="74"/>
      <c r="S25" s="74"/>
      <c r="U25" s="76"/>
      <c r="V25" s="76"/>
      <c r="W25" s="76"/>
      <c r="X25" s="76"/>
      <c r="Y25" s="76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</row>
    <row r="26" spans="1:37" s="63" customFormat="1" ht="15" customHeight="1">
      <c r="A26" s="62" t="s">
        <v>22</v>
      </c>
      <c r="B26" s="78">
        <f ca="1">INDIRECT("'("&amp;$A$4&amp;"b)'!C22")</f>
        <v>63</v>
      </c>
      <c r="C26" s="78">
        <f ca="1">INDIRECT("'("&amp;$A$4&amp;"b)'!d22")</f>
        <v>45</v>
      </c>
      <c r="D26" s="78"/>
      <c r="E26" s="78">
        <f ca="1">INDIRECT("'("&amp;$A$4&amp;"b)'!e22")</f>
        <v>8</v>
      </c>
      <c r="F26" s="78">
        <f ca="1">INDIRECT("'("&amp;$A$4&amp;"b)'!f22")</f>
        <v>2</v>
      </c>
      <c r="G26" s="78"/>
      <c r="H26" s="78">
        <f ca="1">INDIRECT("'("&amp;$A$4&amp;"b)'!g22")</f>
        <v>0</v>
      </c>
      <c r="I26" s="78">
        <f ca="1">INDIRECT("'("&amp;$A$4&amp;"b)'!h22")</f>
        <v>0</v>
      </c>
      <c r="J26" s="78"/>
      <c r="K26" s="78">
        <f ca="1">INDIRECT("'("&amp;$A$4&amp;"b)'!i22")</f>
        <v>0</v>
      </c>
      <c r="L26" s="73">
        <f ca="1">INDIRECT("'("&amp;$A$4&amp;"b)'!j22")</f>
        <v>0</v>
      </c>
      <c r="M26" s="62"/>
      <c r="O26" s="74"/>
      <c r="P26" s="74"/>
      <c r="R26" s="74"/>
      <c r="S26" s="74"/>
      <c r="U26" s="76"/>
      <c r="V26" s="76"/>
      <c r="W26" s="76"/>
      <c r="X26" s="76"/>
      <c r="Y26" s="76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</row>
    <row r="27" spans="1:37" s="63" customFormat="1" ht="15" customHeight="1">
      <c r="A27" s="62" t="s">
        <v>23</v>
      </c>
      <c r="B27" s="78">
        <f ca="1">INDIRECT("'("&amp;$A$4&amp;"b)'!C23")</f>
        <v>7</v>
      </c>
      <c r="C27" s="78">
        <f ca="1">INDIRECT("'("&amp;$A$4&amp;"b)'!d23")</f>
        <v>4</v>
      </c>
      <c r="D27" s="78"/>
      <c r="E27" s="78">
        <f ca="1">INDIRECT("'("&amp;$A$4&amp;"b)'!e23")</f>
        <v>0</v>
      </c>
      <c r="F27" s="78">
        <f ca="1">INDIRECT("'("&amp;$A$4&amp;"b)'!f23")</f>
        <v>0</v>
      </c>
      <c r="G27" s="78"/>
      <c r="H27" s="78">
        <f ca="1">INDIRECT("'("&amp;$A$4&amp;"b)'!g23")</f>
        <v>0</v>
      </c>
      <c r="I27" s="78">
        <f ca="1">INDIRECT("'("&amp;$A$4&amp;"b)'!h23")</f>
        <v>0</v>
      </c>
      <c r="J27" s="78"/>
      <c r="K27" s="78">
        <f ca="1">INDIRECT("'("&amp;$A$4&amp;"b)'!i23")</f>
        <v>0</v>
      </c>
      <c r="L27" s="73">
        <f ca="1">INDIRECT("'("&amp;$A$4&amp;"b)'!j23")</f>
        <v>0</v>
      </c>
      <c r="M27" s="62"/>
      <c r="O27" s="74"/>
      <c r="P27" s="74"/>
      <c r="R27" s="74"/>
      <c r="S27" s="74"/>
      <c r="U27" s="76"/>
      <c r="V27" s="76"/>
      <c r="W27" s="76"/>
      <c r="X27" s="76"/>
      <c r="Y27" s="76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</row>
    <row r="28" spans="1:37" s="63" customFormat="1" ht="15" customHeight="1">
      <c r="A28" s="62" t="s">
        <v>24</v>
      </c>
      <c r="B28" s="78">
        <f ca="1">INDIRECT("'("&amp;$A$4&amp;"b)'!C24")</f>
        <v>15</v>
      </c>
      <c r="C28" s="78">
        <f ca="1">INDIRECT("'("&amp;$A$4&amp;"b)'!d24")</f>
        <v>10</v>
      </c>
      <c r="D28" s="78"/>
      <c r="E28" s="78">
        <f ca="1">INDIRECT("'("&amp;$A$4&amp;"b)'!e24")</f>
        <v>3</v>
      </c>
      <c r="F28" s="78">
        <f ca="1">INDIRECT("'("&amp;$A$4&amp;"b)'!f24")</f>
        <v>2</v>
      </c>
      <c r="G28" s="78"/>
      <c r="H28" s="78">
        <f ca="1">INDIRECT("'("&amp;$A$4&amp;"b)'!g24")</f>
        <v>2</v>
      </c>
      <c r="I28" s="78">
        <f ca="1">INDIRECT("'("&amp;$A$4&amp;"b)'!h24")</f>
        <v>0</v>
      </c>
      <c r="J28" s="78"/>
      <c r="K28" s="78">
        <f ca="1">INDIRECT("'("&amp;$A$4&amp;"b)'!i24")</f>
        <v>0</v>
      </c>
      <c r="L28" s="73">
        <f ca="1">INDIRECT("'("&amp;$A$4&amp;"b)'!j24")</f>
        <v>0</v>
      </c>
      <c r="M28" s="62"/>
      <c r="O28" s="74"/>
      <c r="P28" s="74"/>
      <c r="R28" s="74"/>
      <c r="S28" s="74"/>
      <c r="U28" s="76"/>
      <c r="V28" s="76"/>
      <c r="W28" s="76"/>
      <c r="X28" s="76"/>
      <c r="Y28" s="76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</row>
    <row r="29" spans="1:37" s="63" customFormat="1" ht="15" customHeight="1">
      <c r="A29" s="62" t="s">
        <v>25</v>
      </c>
      <c r="B29" s="78">
        <f ca="1">INDIRECT("'("&amp;$A$4&amp;"b)'!C25")</f>
        <v>14</v>
      </c>
      <c r="C29" s="78">
        <f ca="1">INDIRECT("'("&amp;$A$4&amp;"b)'!d25")</f>
        <v>4</v>
      </c>
      <c r="D29" s="78"/>
      <c r="E29" s="78">
        <f ca="1">INDIRECT("'("&amp;$A$4&amp;"b)'!e25")</f>
        <v>1</v>
      </c>
      <c r="F29" s="78">
        <f ca="1">INDIRECT("'("&amp;$A$4&amp;"b)'!f25")</f>
        <v>0</v>
      </c>
      <c r="G29" s="78"/>
      <c r="H29" s="78">
        <f ca="1">INDIRECT("'("&amp;$A$4&amp;"b)'!g25")</f>
        <v>0</v>
      </c>
      <c r="I29" s="78">
        <f ca="1">INDIRECT("'("&amp;$A$4&amp;"b)'!h25")</f>
        <v>0</v>
      </c>
      <c r="J29" s="78"/>
      <c r="K29" s="78">
        <f ca="1">INDIRECT("'("&amp;$A$4&amp;"b)'!i25")</f>
        <v>0</v>
      </c>
      <c r="L29" s="73">
        <f ca="1">INDIRECT("'("&amp;$A$4&amp;"b)'!j25")</f>
        <v>0</v>
      </c>
      <c r="M29" s="62"/>
      <c r="O29" s="74"/>
      <c r="P29" s="74"/>
      <c r="R29" s="74"/>
      <c r="S29" s="74"/>
      <c r="U29" s="76"/>
      <c r="V29" s="76"/>
      <c r="W29" s="76"/>
      <c r="X29" s="76"/>
      <c r="Y29" s="76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</row>
    <row r="30" spans="1:37" s="63" customFormat="1" ht="15" customHeight="1">
      <c r="A30" s="62" t="s">
        <v>26</v>
      </c>
      <c r="B30" s="78">
        <f ca="1">INDIRECT("'("&amp;$A$4&amp;"b)'!C26")</f>
        <v>17</v>
      </c>
      <c r="C30" s="78">
        <f ca="1">INDIRECT("'("&amp;$A$4&amp;"b)'!d26")</f>
        <v>0</v>
      </c>
      <c r="D30" s="78"/>
      <c r="E30" s="78">
        <f ca="1">INDIRECT("'("&amp;$A$4&amp;"b)'!e26")</f>
        <v>7</v>
      </c>
      <c r="F30" s="78">
        <f ca="1">INDIRECT("'("&amp;$A$4&amp;"b)'!f26")</f>
        <v>0</v>
      </c>
      <c r="G30" s="78"/>
      <c r="H30" s="78">
        <f ca="1">INDIRECT("'("&amp;$A$4&amp;"b)'!g26")</f>
        <v>0</v>
      </c>
      <c r="I30" s="78">
        <f ca="1">INDIRECT("'("&amp;$A$4&amp;"b)'!h26")</f>
        <v>0</v>
      </c>
      <c r="J30" s="78"/>
      <c r="K30" s="78">
        <f ca="1">INDIRECT("'("&amp;$A$4&amp;"b)'!i26")</f>
        <v>0</v>
      </c>
      <c r="L30" s="73">
        <f ca="1">INDIRECT("'("&amp;$A$4&amp;"b)'!j26")</f>
        <v>0</v>
      </c>
      <c r="M30" s="62"/>
      <c r="O30" s="74"/>
      <c r="P30" s="74"/>
      <c r="R30" s="74"/>
      <c r="S30" s="74"/>
      <c r="U30" s="76"/>
      <c r="V30" s="76"/>
      <c r="W30" s="76"/>
      <c r="X30" s="76"/>
      <c r="Y30" s="76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</row>
    <row r="31" spans="1:37" s="63" customFormat="1" ht="15" customHeight="1">
      <c r="A31" s="62" t="s">
        <v>27</v>
      </c>
      <c r="B31" s="78">
        <f ca="1">INDIRECT("'("&amp;$A$4&amp;"b)'!C27")</f>
        <v>24</v>
      </c>
      <c r="C31" s="78">
        <f ca="1">INDIRECT("'("&amp;$A$4&amp;"b)'!d27")</f>
        <v>8</v>
      </c>
      <c r="D31" s="78"/>
      <c r="E31" s="78">
        <f ca="1">INDIRECT("'("&amp;$A$4&amp;"b)'!e27")</f>
        <v>6</v>
      </c>
      <c r="F31" s="78">
        <f ca="1">INDIRECT("'("&amp;$A$4&amp;"b)'!f27")</f>
        <v>0</v>
      </c>
      <c r="G31" s="78"/>
      <c r="H31" s="78">
        <f ca="1">INDIRECT("'("&amp;$A$4&amp;"b)'!g27")</f>
        <v>2</v>
      </c>
      <c r="I31" s="78">
        <f ca="1">INDIRECT("'("&amp;$A$4&amp;"b)'!h27")</f>
        <v>0</v>
      </c>
      <c r="J31" s="78"/>
      <c r="K31" s="78">
        <f ca="1">INDIRECT("'("&amp;$A$4&amp;"b)'!i27")</f>
        <v>0</v>
      </c>
      <c r="L31" s="73">
        <f ca="1">INDIRECT("'("&amp;$A$4&amp;"b)'!j27")</f>
        <v>0</v>
      </c>
      <c r="M31" s="62"/>
      <c r="O31" s="74"/>
      <c r="P31" s="74"/>
      <c r="R31" s="74"/>
      <c r="S31" s="74"/>
      <c r="U31" s="76"/>
      <c r="V31" s="76"/>
      <c r="W31" s="76"/>
      <c r="X31" s="76"/>
      <c r="Y31" s="76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</row>
    <row r="32" spans="1:37" s="63" customFormat="1" ht="15" customHeight="1">
      <c r="A32" s="63" t="s">
        <v>28</v>
      </c>
      <c r="B32" s="78">
        <f ca="1">INDIRECT("'("&amp;$A$4&amp;"b)'!C28")</f>
        <v>2</v>
      </c>
      <c r="C32" s="78">
        <f ca="1">INDIRECT("'("&amp;$A$4&amp;"b)'!d28")</f>
        <v>0</v>
      </c>
      <c r="D32" s="78"/>
      <c r="E32" s="78">
        <f ca="1">INDIRECT("'("&amp;$A$4&amp;"b)'!e28")</f>
        <v>0</v>
      </c>
      <c r="F32" s="78">
        <f ca="1">INDIRECT("'("&amp;$A$4&amp;"b)'!f28")</f>
        <v>0</v>
      </c>
      <c r="G32" s="78"/>
      <c r="H32" s="78">
        <f ca="1">INDIRECT("'("&amp;$A$4&amp;"b)'!g28")</f>
        <v>0</v>
      </c>
      <c r="I32" s="78">
        <f ca="1">INDIRECT("'("&amp;$A$4&amp;"b)'!h28")</f>
        <v>0</v>
      </c>
      <c r="J32" s="78"/>
      <c r="K32" s="78">
        <f ca="1">INDIRECT("'("&amp;$A$4&amp;"b)'!i28")</f>
        <v>0</v>
      </c>
      <c r="L32" s="73">
        <f ca="1">INDIRECT("'("&amp;$A$4&amp;"b)'!j28")</f>
        <v>0</v>
      </c>
      <c r="M32" s="62"/>
      <c r="O32" s="74"/>
      <c r="P32" s="74"/>
      <c r="R32" s="74"/>
      <c r="S32" s="74"/>
      <c r="U32" s="76"/>
      <c r="V32" s="76"/>
      <c r="W32" s="76"/>
      <c r="X32" s="76"/>
      <c r="Y32" s="76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</row>
    <row r="33" spans="1:37" s="63" customFormat="1" ht="15" customHeight="1">
      <c r="A33" s="63" t="s">
        <v>29</v>
      </c>
      <c r="B33" s="78">
        <f ca="1">INDIRECT("'("&amp;$A$4&amp;"b)'!C29")</f>
        <v>16</v>
      </c>
      <c r="C33" s="78">
        <f ca="1">INDIRECT("'("&amp;$A$4&amp;"b)'!d29")</f>
        <v>7</v>
      </c>
      <c r="D33" s="78"/>
      <c r="E33" s="78">
        <f ca="1">INDIRECT("'("&amp;$A$4&amp;"b)'!e29")</f>
        <v>3</v>
      </c>
      <c r="F33" s="78">
        <f ca="1">INDIRECT("'("&amp;$A$4&amp;"b)'!f29")</f>
        <v>2</v>
      </c>
      <c r="G33" s="78"/>
      <c r="H33" s="78">
        <f ca="1">INDIRECT("'("&amp;$A$4&amp;"b)'!g29")</f>
        <v>0</v>
      </c>
      <c r="I33" s="78">
        <f ca="1">INDIRECT("'("&amp;$A$4&amp;"b)'!h29")</f>
        <v>0</v>
      </c>
      <c r="J33" s="78"/>
      <c r="K33" s="78">
        <f ca="1">INDIRECT("'("&amp;$A$4&amp;"b)'!i29")</f>
        <v>0</v>
      </c>
      <c r="L33" s="73">
        <f ca="1">INDIRECT("'("&amp;$A$4&amp;"b)'!j29")</f>
        <v>0</v>
      </c>
      <c r="M33" s="62"/>
      <c r="O33" s="74"/>
      <c r="P33" s="74"/>
      <c r="R33" s="74"/>
      <c r="S33" s="74"/>
      <c r="U33" s="76"/>
      <c r="V33" s="76"/>
      <c r="W33" s="76"/>
      <c r="X33" s="76"/>
      <c r="Y33" s="76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</row>
    <row r="34" spans="1:37" s="63" customFormat="1" ht="15" customHeight="1">
      <c r="A34" s="62" t="s">
        <v>30</v>
      </c>
      <c r="B34" s="78">
        <f ca="1">INDIRECT("'("&amp;$A$4&amp;"b)'!C30")</f>
        <v>9</v>
      </c>
      <c r="C34" s="78">
        <f ca="1">INDIRECT("'("&amp;$A$4&amp;"b)'!d30")</f>
        <v>5</v>
      </c>
      <c r="D34" s="78"/>
      <c r="E34" s="78">
        <f ca="1">INDIRECT("'("&amp;$A$4&amp;"b)'!e30")</f>
        <v>3</v>
      </c>
      <c r="F34" s="78">
        <f ca="1">INDIRECT("'("&amp;$A$4&amp;"b)'!f30")</f>
        <v>1</v>
      </c>
      <c r="G34" s="78"/>
      <c r="H34" s="78">
        <f ca="1">INDIRECT("'("&amp;$A$4&amp;"b)'!g30")</f>
        <v>0</v>
      </c>
      <c r="I34" s="78">
        <f ca="1">INDIRECT("'("&amp;$A$4&amp;"b)'!h30")</f>
        <v>0</v>
      </c>
      <c r="J34" s="78"/>
      <c r="K34" s="78">
        <f ca="1">INDIRECT("'("&amp;$A$4&amp;"b)'!i30")</f>
        <v>0</v>
      </c>
      <c r="L34" s="73">
        <f ca="1">INDIRECT("'("&amp;$A$4&amp;"b)'!j30")</f>
        <v>0</v>
      </c>
      <c r="M34" s="62"/>
      <c r="O34" s="74"/>
      <c r="P34" s="74"/>
      <c r="R34" s="74"/>
      <c r="S34" s="74"/>
      <c r="U34" s="76"/>
      <c r="V34" s="76"/>
      <c r="W34" s="76"/>
      <c r="X34" s="76"/>
      <c r="Y34" s="76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</row>
    <row r="35" spans="1:37" s="63" customFormat="1" ht="15" customHeight="1">
      <c r="A35" s="63" t="s">
        <v>31</v>
      </c>
      <c r="B35" s="78">
        <f ca="1">INDIRECT("'("&amp;$A$4&amp;"b)'!C31")</f>
        <v>12</v>
      </c>
      <c r="C35" s="78">
        <f ca="1">INDIRECT("'("&amp;$A$4&amp;"b)'!d31")</f>
        <v>5</v>
      </c>
      <c r="D35" s="78"/>
      <c r="E35" s="78">
        <f ca="1">INDIRECT("'("&amp;$A$4&amp;"b)'!e31")</f>
        <v>1</v>
      </c>
      <c r="F35" s="78">
        <f ca="1">INDIRECT("'("&amp;$A$4&amp;"b)'!f31")</f>
        <v>1</v>
      </c>
      <c r="G35" s="78"/>
      <c r="H35" s="78">
        <f ca="1">INDIRECT("'("&amp;$A$4&amp;"b)'!g31")</f>
        <v>1</v>
      </c>
      <c r="I35" s="78">
        <f ca="1">INDIRECT("'("&amp;$A$4&amp;"b)'!h31")</f>
        <v>1</v>
      </c>
      <c r="J35" s="78"/>
      <c r="K35" s="78">
        <f ca="1">INDIRECT("'("&amp;$A$4&amp;"b)'!i31")</f>
        <v>0</v>
      </c>
      <c r="L35" s="73">
        <f ca="1">INDIRECT("'("&amp;$A$4&amp;"b)'!j31")</f>
        <v>0</v>
      </c>
      <c r="M35" s="62"/>
      <c r="O35" s="74"/>
      <c r="P35" s="74"/>
      <c r="R35" s="74"/>
      <c r="S35" s="74"/>
      <c r="U35" s="76"/>
      <c r="V35" s="76"/>
      <c r="W35" s="76"/>
      <c r="X35" s="76"/>
      <c r="Y35" s="76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</row>
    <row r="36" spans="1:37" s="63" customFormat="1" ht="15" customHeight="1">
      <c r="A36" s="63" t="s">
        <v>32</v>
      </c>
      <c r="B36" s="78">
        <f ca="1">INDIRECT("'("&amp;$A$4&amp;"b)'!C32")</f>
        <v>21</v>
      </c>
      <c r="C36" s="78">
        <f ca="1">INDIRECT("'("&amp;$A$4&amp;"b)'!d32")</f>
        <v>9</v>
      </c>
      <c r="D36" s="78"/>
      <c r="E36" s="78">
        <f ca="1">INDIRECT("'("&amp;$A$4&amp;"b)'!e32")</f>
        <v>5</v>
      </c>
      <c r="F36" s="78">
        <f ca="1">INDIRECT("'("&amp;$A$4&amp;"b)'!f32")</f>
        <v>3</v>
      </c>
      <c r="G36" s="78"/>
      <c r="H36" s="78">
        <f ca="1">INDIRECT("'("&amp;$A$4&amp;"b)'!g32")</f>
        <v>0</v>
      </c>
      <c r="I36" s="78">
        <f ca="1">INDIRECT("'("&amp;$A$4&amp;"b)'!h32")</f>
        <v>0</v>
      </c>
      <c r="J36" s="78"/>
      <c r="K36" s="78">
        <f ca="1">INDIRECT("'("&amp;$A$4&amp;"b)'!i32")</f>
        <v>0</v>
      </c>
      <c r="L36" s="73">
        <f ca="1">INDIRECT("'("&amp;$A$4&amp;"b)'!j32")</f>
        <v>0</v>
      </c>
      <c r="M36" s="62"/>
      <c r="O36" s="74"/>
      <c r="P36" s="74"/>
      <c r="R36" s="74"/>
      <c r="S36" s="74"/>
      <c r="U36" s="76"/>
      <c r="V36" s="76"/>
      <c r="W36" s="76"/>
      <c r="X36" s="76"/>
      <c r="Y36" s="76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</row>
    <row r="37" spans="1:37" s="63" customFormat="1" ht="15" customHeight="1">
      <c r="A37" s="62" t="s">
        <v>33</v>
      </c>
      <c r="B37" s="78">
        <f ca="1">INDIRECT("'("&amp;$A$4&amp;"b)'!C33")</f>
        <v>22</v>
      </c>
      <c r="C37" s="78">
        <f ca="1">INDIRECT("'("&amp;$A$4&amp;"b)'!d33")</f>
        <v>8</v>
      </c>
      <c r="D37" s="78"/>
      <c r="E37" s="78">
        <f ca="1">INDIRECT("'("&amp;$A$4&amp;"b)'!e33")</f>
        <v>0</v>
      </c>
      <c r="F37" s="78">
        <f ca="1">INDIRECT("'("&amp;$A$4&amp;"b)'!f33")</f>
        <v>1</v>
      </c>
      <c r="G37" s="78"/>
      <c r="H37" s="78">
        <f ca="1">INDIRECT("'("&amp;$A$4&amp;"b)'!g33")</f>
        <v>0</v>
      </c>
      <c r="I37" s="78">
        <f ca="1">INDIRECT("'("&amp;$A$4&amp;"b)'!h33")</f>
        <v>1</v>
      </c>
      <c r="J37" s="78"/>
      <c r="K37" s="78">
        <f ca="1">INDIRECT("'("&amp;$A$4&amp;"b)'!i33")</f>
        <v>0</v>
      </c>
      <c r="L37" s="73">
        <f ca="1">INDIRECT("'("&amp;$A$4&amp;"b)'!j33")</f>
        <v>0</v>
      </c>
      <c r="M37" s="62"/>
      <c r="O37" s="74"/>
      <c r="P37" s="74"/>
      <c r="R37" s="74"/>
      <c r="S37" s="74"/>
      <c r="U37" s="76"/>
      <c r="V37" s="76"/>
      <c r="W37" s="76"/>
      <c r="X37" s="76"/>
      <c r="Y37" s="76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</row>
    <row r="38" spans="1:37" s="63" customFormat="1" ht="15" customHeight="1">
      <c r="A38" s="63" t="s">
        <v>34</v>
      </c>
      <c r="B38" s="78">
        <f ca="1">INDIRECT("'("&amp;$A$4&amp;"b)'!C34")</f>
        <v>1</v>
      </c>
      <c r="C38" s="78">
        <f ca="1">INDIRECT("'("&amp;$A$4&amp;"b)'!d34")</f>
        <v>2</v>
      </c>
      <c r="D38" s="78"/>
      <c r="E38" s="78">
        <f ca="1">INDIRECT("'("&amp;$A$4&amp;"b)'!e34")</f>
        <v>0</v>
      </c>
      <c r="F38" s="78">
        <f ca="1">INDIRECT("'("&amp;$A$4&amp;"b)'!f34")</f>
        <v>2</v>
      </c>
      <c r="G38" s="78"/>
      <c r="H38" s="78">
        <f ca="1">INDIRECT("'("&amp;$A$4&amp;"b)'!g34")</f>
        <v>1</v>
      </c>
      <c r="I38" s="78">
        <f ca="1">INDIRECT("'("&amp;$A$4&amp;"b)'!h34")</f>
        <v>0</v>
      </c>
      <c r="J38" s="78"/>
      <c r="K38" s="78">
        <f ca="1">INDIRECT("'("&amp;$A$4&amp;"b)'!i34")</f>
        <v>0</v>
      </c>
      <c r="L38" s="73">
        <f ca="1">INDIRECT("'("&amp;$A$4&amp;"b)'!j34")</f>
        <v>0</v>
      </c>
      <c r="M38" s="62"/>
      <c r="O38" s="74"/>
      <c r="P38" s="74"/>
      <c r="R38" s="74"/>
      <c r="S38" s="74"/>
      <c r="U38" s="76"/>
      <c r="V38" s="76"/>
      <c r="W38" s="76"/>
      <c r="X38" s="76"/>
      <c r="Y38" s="76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</row>
    <row r="39" spans="1:37" s="63" customFormat="1" ht="15" customHeight="1">
      <c r="A39" s="63" t="s">
        <v>35</v>
      </c>
      <c r="B39" s="78">
        <f ca="1">INDIRECT("'("&amp;$A$4&amp;"b)'!C35")</f>
        <v>12</v>
      </c>
      <c r="C39" s="78">
        <f ca="1">INDIRECT("'("&amp;$A$4&amp;"b)'!d35")</f>
        <v>8</v>
      </c>
      <c r="D39" s="78"/>
      <c r="E39" s="78">
        <f ca="1">INDIRECT("'("&amp;$A$4&amp;"b)'!e35")</f>
        <v>3</v>
      </c>
      <c r="F39" s="78">
        <f ca="1">INDIRECT("'("&amp;$A$4&amp;"b)'!f35")</f>
        <v>0</v>
      </c>
      <c r="G39" s="78"/>
      <c r="H39" s="78">
        <f ca="1">INDIRECT("'("&amp;$A$4&amp;"b)'!g35")</f>
        <v>0</v>
      </c>
      <c r="I39" s="78">
        <f ca="1">INDIRECT("'("&amp;$A$4&amp;"b)'!h35")</f>
        <v>0</v>
      </c>
      <c r="J39" s="78"/>
      <c r="K39" s="78">
        <f ca="1">INDIRECT("'("&amp;$A$4&amp;"b)'!i35")</f>
        <v>0</v>
      </c>
      <c r="L39" s="73">
        <f ca="1">INDIRECT("'("&amp;$A$4&amp;"b)'!j35")</f>
        <v>0</v>
      </c>
      <c r="M39" s="62"/>
      <c r="O39" s="74"/>
      <c r="P39" s="74"/>
      <c r="R39" s="74"/>
      <c r="S39" s="74"/>
      <c r="U39" s="76"/>
      <c r="V39" s="76"/>
      <c r="W39" s="76"/>
      <c r="X39" s="76"/>
      <c r="Y39" s="76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</row>
    <row r="40" spans="1:37" s="63" customFormat="1" ht="15" customHeight="1">
      <c r="A40" s="63" t="s">
        <v>36</v>
      </c>
      <c r="B40" s="78">
        <f ca="1">INDIRECT("'("&amp;$A$4&amp;"b)'!C36")</f>
        <v>2</v>
      </c>
      <c r="C40" s="78">
        <f ca="1">INDIRECT("'("&amp;$A$4&amp;"b)'!d36")</f>
        <v>2</v>
      </c>
      <c r="D40" s="78"/>
      <c r="E40" s="78">
        <f ca="1">INDIRECT("'("&amp;$A$4&amp;"b)'!e36")</f>
        <v>0</v>
      </c>
      <c r="F40" s="78">
        <f ca="1">INDIRECT("'("&amp;$A$4&amp;"b)'!f36")</f>
        <v>0</v>
      </c>
      <c r="G40" s="78"/>
      <c r="H40" s="78">
        <f ca="1">INDIRECT("'("&amp;$A$4&amp;"b)'!g36")</f>
        <v>1</v>
      </c>
      <c r="I40" s="78">
        <f ca="1">INDIRECT("'("&amp;$A$4&amp;"b)'!h36")</f>
        <v>0</v>
      </c>
      <c r="J40" s="78"/>
      <c r="K40" s="78">
        <f ca="1">INDIRECT("'("&amp;$A$4&amp;"b)'!i36")</f>
        <v>0</v>
      </c>
      <c r="L40" s="73">
        <f ca="1">INDIRECT("'("&amp;$A$4&amp;"b)'!j36")</f>
        <v>0</v>
      </c>
      <c r="M40" s="62"/>
      <c r="O40" s="74"/>
      <c r="P40" s="74"/>
      <c r="R40" s="74"/>
      <c r="S40" s="74"/>
      <c r="U40" s="76"/>
      <c r="V40" s="76"/>
      <c r="W40" s="76"/>
      <c r="X40" s="76"/>
      <c r="Y40" s="76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</row>
    <row r="41" spans="1:37" s="63" customFormat="1" ht="15" customHeight="1">
      <c r="A41" s="62" t="s">
        <v>37</v>
      </c>
      <c r="B41" s="78">
        <f ca="1">INDIRECT("'("&amp;$A$4&amp;"b)'!C37")</f>
        <v>4</v>
      </c>
      <c r="C41" s="78">
        <f ca="1">INDIRECT("'("&amp;$A$4&amp;"b)'!d37")</f>
        <v>1</v>
      </c>
      <c r="D41" s="78"/>
      <c r="E41" s="78">
        <f ca="1">INDIRECT("'("&amp;$A$4&amp;"b)'!e37")</f>
        <v>2</v>
      </c>
      <c r="F41" s="78">
        <f ca="1">INDIRECT("'("&amp;$A$4&amp;"b)'!f37")</f>
        <v>0</v>
      </c>
      <c r="G41" s="78"/>
      <c r="H41" s="78">
        <f ca="1">INDIRECT("'("&amp;$A$4&amp;"b)'!g37")</f>
        <v>0</v>
      </c>
      <c r="I41" s="78">
        <f ca="1">INDIRECT("'("&amp;$A$4&amp;"b)'!h37")</f>
        <v>0</v>
      </c>
      <c r="J41" s="78"/>
      <c r="K41" s="78">
        <f ca="1">INDIRECT("'("&amp;$A$4&amp;"b)'!i37")</f>
        <v>0</v>
      </c>
      <c r="L41" s="73">
        <f ca="1">INDIRECT("'("&amp;$A$4&amp;"b)'!j37")</f>
        <v>0</v>
      </c>
      <c r="M41" s="62"/>
      <c r="O41" s="74"/>
      <c r="P41" s="74"/>
      <c r="R41" s="74"/>
      <c r="S41" s="74"/>
      <c r="U41" s="76"/>
      <c r="V41" s="76"/>
      <c r="W41" s="76"/>
      <c r="X41" s="76"/>
      <c r="Y41" s="76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</row>
    <row r="42" spans="1:37" s="63" customFormat="1" ht="15" customHeight="1">
      <c r="A42" s="62" t="s">
        <v>38</v>
      </c>
      <c r="B42" s="78">
        <f ca="1">INDIRECT("'("&amp;$A$4&amp;"b)'!C38")</f>
        <v>9</v>
      </c>
      <c r="C42" s="78">
        <f ca="1">INDIRECT("'("&amp;$A$4&amp;"b)'!d38")</f>
        <v>4</v>
      </c>
      <c r="D42" s="78"/>
      <c r="E42" s="78">
        <f ca="1">INDIRECT("'("&amp;$A$4&amp;"b)'!e38")</f>
        <v>2</v>
      </c>
      <c r="F42" s="78">
        <f ca="1">INDIRECT("'("&amp;$A$4&amp;"b)'!f38")</f>
        <v>1</v>
      </c>
      <c r="G42" s="78"/>
      <c r="H42" s="78">
        <f ca="1">INDIRECT("'("&amp;$A$4&amp;"b)'!g38")</f>
        <v>0</v>
      </c>
      <c r="I42" s="78">
        <f ca="1">INDIRECT("'("&amp;$A$4&amp;"b)'!h38")</f>
        <v>0</v>
      </c>
      <c r="J42" s="78"/>
      <c r="K42" s="78">
        <f ca="1">INDIRECT("'("&amp;$A$4&amp;"b)'!i38")</f>
        <v>0</v>
      </c>
      <c r="L42" s="73">
        <f ca="1">INDIRECT("'("&amp;$A$4&amp;"b)'!j38")</f>
        <v>0</v>
      </c>
      <c r="M42" s="62"/>
      <c r="O42" s="74"/>
      <c r="P42" s="74"/>
      <c r="R42" s="74"/>
      <c r="S42" s="74"/>
      <c r="U42" s="76"/>
      <c r="V42" s="76"/>
      <c r="W42" s="76"/>
      <c r="X42" s="76"/>
      <c r="Y42" s="76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</row>
    <row r="43" spans="1:37" s="63" customFormat="1" ht="15" customHeight="1">
      <c r="A43" s="62" t="s">
        <v>39</v>
      </c>
      <c r="B43" s="78">
        <f ca="1">INDIRECT("'("&amp;$A$4&amp;"b)'!C39")</f>
        <v>9</v>
      </c>
      <c r="C43" s="78">
        <f ca="1">INDIRECT("'("&amp;$A$4&amp;"b)'!d39")</f>
        <v>9</v>
      </c>
      <c r="D43" s="78"/>
      <c r="E43" s="78">
        <f ca="1">INDIRECT("'("&amp;$A$4&amp;"b)'!e39")</f>
        <v>2</v>
      </c>
      <c r="F43" s="78">
        <f ca="1">INDIRECT("'("&amp;$A$4&amp;"b)'!f39")</f>
        <v>0</v>
      </c>
      <c r="G43" s="78"/>
      <c r="H43" s="78">
        <f ca="1">INDIRECT("'("&amp;$A$4&amp;"b)'!g39")</f>
        <v>1</v>
      </c>
      <c r="I43" s="78">
        <f ca="1">INDIRECT("'("&amp;$A$4&amp;"b)'!h39")</f>
        <v>0</v>
      </c>
      <c r="J43" s="78"/>
      <c r="K43" s="78">
        <f ca="1">INDIRECT("'("&amp;$A$4&amp;"b)'!i39")</f>
        <v>0</v>
      </c>
      <c r="L43" s="73">
        <f ca="1">INDIRECT("'("&amp;$A$4&amp;"b)'!j39")</f>
        <v>0</v>
      </c>
      <c r="M43" s="62"/>
      <c r="O43" s="74"/>
      <c r="P43" s="74"/>
      <c r="R43" s="74"/>
      <c r="S43" s="74"/>
      <c r="U43" s="76"/>
      <c r="V43" s="76"/>
      <c r="W43" s="76"/>
      <c r="X43" s="76"/>
      <c r="Y43" s="76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</row>
    <row r="44" spans="1:37" s="63" customFormat="1" ht="15" customHeight="1">
      <c r="A44" s="62" t="s">
        <v>40</v>
      </c>
      <c r="B44" s="78">
        <f ca="1">INDIRECT("'("&amp;$A$4&amp;"b)'!C40")</f>
        <v>14</v>
      </c>
      <c r="C44" s="78">
        <f ca="1">INDIRECT("'("&amp;$A$4&amp;"b)'!d40")</f>
        <v>3</v>
      </c>
      <c r="D44" s="78"/>
      <c r="E44" s="78">
        <f ca="1">INDIRECT("'("&amp;$A$4&amp;"b)'!e40")</f>
        <v>4</v>
      </c>
      <c r="F44" s="78">
        <f ca="1">INDIRECT("'("&amp;$A$4&amp;"b)'!f40")</f>
        <v>1</v>
      </c>
      <c r="G44" s="78"/>
      <c r="H44" s="78">
        <f ca="1">INDIRECT("'("&amp;$A$4&amp;"b)'!g40")</f>
        <v>0</v>
      </c>
      <c r="I44" s="78">
        <f ca="1">INDIRECT("'("&amp;$A$4&amp;"b)'!h40")</f>
        <v>0</v>
      </c>
      <c r="J44" s="78"/>
      <c r="K44" s="78">
        <f ca="1">INDIRECT("'("&amp;$A$4&amp;"b)'!i40")</f>
        <v>0</v>
      </c>
      <c r="L44" s="73">
        <f ca="1">INDIRECT("'("&amp;$A$4&amp;"b)'!j40")</f>
        <v>0</v>
      </c>
      <c r="M44" s="62"/>
      <c r="O44" s="74"/>
      <c r="P44" s="74"/>
      <c r="R44" s="74"/>
      <c r="S44" s="74"/>
      <c r="U44" s="76"/>
      <c r="V44" s="76"/>
      <c r="W44" s="76"/>
      <c r="X44" s="76"/>
      <c r="Y44" s="76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</row>
    <row r="45" spans="1:37" s="63" customFormat="1" ht="15" customHeight="1">
      <c r="A45" s="62" t="s">
        <v>41</v>
      </c>
      <c r="B45" s="78">
        <f ca="1">INDIRECT("'("&amp;$A$4&amp;"b)'!C41")</f>
        <v>8</v>
      </c>
      <c r="C45" s="78">
        <f ca="1">INDIRECT("'("&amp;$A$4&amp;"b)'!d41")</f>
        <v>4</v>
      </c>
      <c r="D45" s="78"/>
      <c r="E45" s="78">
        <f ca="1">INDIRECT("'("&amp;$A$4&amp;"b)'!e41")</f>
        <v>1</v>
      </c>
      <c r="F45" s="78">
        <f ca="1">INDIRECT("'("&amp;$A$4&amp;"b)'!f41")</f>
        <v>0</v>
      </c>
      <c r="G45" s="78"/>
      <c r="H45" s="78">
        <f ca="1">INDIRECT("'("&amp;$A$4&amp;"b)'!g41")</f>
        <v>0</v>
      </c>
      <c r="I45" s="78">
        <f ca="1">INDIRECT("'("&amp;$A$4&amp;"b)'!h41")</f>
        <v>0</v>
      </c>
      <c r="J45" s="78"/>
      <c r="K45" s="78">
        <f ca="1">INDIRECT("'("&amp;$A$4&amp;"b)'!i41")</f>
        <v>0</v>
      </c>
      <c r="L45" s="73">
        <f ca="1">INDIRECT("'("&amp;$A$4&amp;"b)'!j41")</f>
        <v>0</v>
      </c>
      <c r="M45" s="62"/>
      <c r="O45" s="74"/>
      <c r="P45" s="74"/>
      <c r="R45" s="74"/>
      <c r="S45" s="74"/>
      <c r="U45" s="76"/>
      <c r="V45" s="76"/>
      <c r="W45" s="76"/>
      <c r="X45" s="76"/>
      <c r="Y45" s="76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</row>
    <row r="46" spans="1:37" s="63" customFormat="1" ht="15" customHeight="1">
      <c r="A46" s="62" t="s">
        <v>42</v>
      </c>
      <c r="B46" s="78">
        <f ca="1">INDIRECT("'("&amp;$A$4&amp;"b)'!C42")</f>
        <v>20</v>
      </c>
      <c r="C46" s="78">
        <f ca="1">INDIRECT("'("&amp;$A$4&amp;"b)'!d42")</f>
        <v>2</v>
      </c>
      <c r="D46" s="78"/>
      <c r="E46" s="78">
        <f ca="1">INDIRECT("'("&amp;$A$4&amp;"b)'!e42")</f>
        <v>4</v>
      </c>
      <c r="F46" s="78">
        <f ca="1">INDIRECT("'("&amp;$A$4&amp;"b)'!f42")</f>
        <v>0</v>
      </c>
      <c r="G46" s="78"/>
      <c r="H46" s="78">
        <f ca="1">INDIRECT("'("&amp;$A$4&amp;"b)'!g42")</f>
        <v>0</v>
      </c>
      <c r="I46" s="78">
        <f ca="1">INDIRECT("'("&amp;$A$4&amp;"b)'!h42")</f>
        <v>0</v>
      </c>
      <c r="J46" s="78"/>
      <c r="K46" s="78">
        <f ca="1">INDIRECT("'("&amp;$A$4&amp;"b)'!i42")</f>
        <v>0</v>
      </c>
      <c r="L46" s="73">
        <f ca="1">INDIRECT("'("&amp;$A$4&amp;"b)'!j42")</f>
        <v>0</v>
      </c>
      <c r="M46" s="62"/>
      <c r="O46" s="74"/>
      <c r="P46" s="74"/>
      <c r="R46" s="74"/>
      <c r="S46" s="74"/>
      <c r="U46" s="76"/>
      <c r="V46" s="76"/>
      <c r="W46" s="76"/>
      <c r="X46" s="76"/>
      <c r="Y46" s="76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</row>
    <row r="47" spans="1:37" s="63" customFormat="1" ht="15" customHeight="1">
      <c r="A47" s="62" t="s">
        <v>43</v>
      </c>
      <c r="B47" s="78">
        <f ca="1">INDIRECT("'("&amp;$A$4&amp;"b)'!C43")</f>
        <v>5</v>
      </c>
      <c r="C47" s="78">
        <f ca="1">INDIRECT("'("&amp;$A$4&amp;"b)'!d43")</f>
        <v>5</v>
      </c>
      <c r="D47" s="78"/>
      <c r="E47" s="78">
        <f ca="1">INDIRECT("'("&amp;$A$4&amp;"b)'!e43")</f>
        <v>0</v>
      </c>
      <c r="F47" s="78">
        <f ca="1">INDIRECT("'("&amp;$A$4&amp;"b)'!f43")</f>
        <v>0</v>
      </c>
      <c r="G47" s="78"/>
      <c r="H47" s="78">
        <f ca="1">INDIRECT("'("&amp;$A$4&amp;"b)'!g43")</f>
        <v>0</v>
      </c>
      <c r="I47" s="78">
        <f ca="1">INDIRECT("'("&amp;$A$4&amp;"b)'!h43")</f>
        <v>0</v>
      </c>
      <c r="J47" s="78"/>
      <c r="K47" s="78">
        <f ca="1">INDIRECT("'("&amp;$A$4&amp;"b)'!i43")</f>
        <v>0</v>
      </c>
      <c r="L47" s="73">
        <f ca="1">INDIRECT("'("&amp;$A$4&amp;"b)'!j43")</f>
        <v>0</v>
      </c>
      <c r="M47" s="62"/>
      <c r="O47" s="74"/>
      <c r="P47" s="74"/>
      <c r="R47" s="74"/>
      <c r="S47" s="74"/>
      <c r="U47" s="76"/>
      <c r="V47" s="76"/>
      <c r="W47" s="76"/>
      <c r="X47" s="76"/>
      <c r="Y47" s="76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</row>
    <row r="48" spans="1:37" s="63" customFormat="1" ht="15" customHeight="1">
      <c r="A48" s="62" t="s">
        <v>44</v>
      </c>
      <c r="B48" s="78">
        <f ca="1">INDIRECT("'("&amp;$A$4&amp;"b)'!C44")</f>
        <v>7</v>
      </c>
      <c r="C48" s="78">
        <f ca="1">INDIRECT("'("&amp;$A$4&amp;"b)'!d44")</f>
        <v>6</v>
      </c>
      <c r="D48" s="78"/>
      <c r="E48" s="78">
        <f ca="1">INDIRECT("'("&amp;$A$4&amp;"b)'!e44")</f>
        <v>1</v>
      </c>
      <c r="F48" s="78">
        <f ca="1">INDIRECT("'("&amp;$A$4&amp;"b)'!f44")</f>
        <v>0</v>
      </c>
      <c r="G48" s="78"/>
      <c r="H48" s="78">
        <f ca="1">INDIRECT("'("&amp;$A$4&amp;"b)'!g44")</f>
        <v>0</v>
      </c>
      <c r="I48" s="78">
        <f ca="1">INDIRECT("'("&amp;$A$4&amp;"b)'!h44")</f>
        <v>0</v>
      </c>
      <c r="J48" s="78"/>
      <c r="K48" s="78">
        <f ca="1">INDIRECT("'("&amp;$A$4&amp;"b)'!i44")</f>
        <v>0</v>
      </c>
      <c r="L48" s="73">
        <f ca="1">INDIRECT("'("&amp;$A$4&amp;"b)'!j44")</f>
        <v>0</v>
      </c>
      <c r="M48" s="62"/>
      <c r="O48" s="74"/>
      <c r="P48" s="74"/>
      <c r="R48" s="74"/>
      <c r="S48" s="74"/>
      <c r="U48" s="76"/>
      <c r="V48" s="76"/>
      <c r="W48" s="76"/>
      <c r="X48" s="76"/>
      <c r="Y48" s="76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</row>
    <row r="49" spans="1:37" s="63" customFormat="1" ht="15" customHeight="1">
      <c r="A49" s="62" t="s">
        <v>45</v>
      </c>
      <c r="B49" s="91" t="str">
        <f ca="1">INDIRECT("'("&amp;$A$4&amp;"b)'!C45")</f>
        <v>..</v>
      </c>
      <c r="C49" s="91" t="str">
        <f ca="1">INDIRECT("'("&amp;$A$4&amp;"b)'!d45")</f>
        <v>..</v>
      </c>
      <c r="D49" s="91"/>
      <c r="E49" s="91" t="str">
        <f ca="1">INDIRECT("'("&amp;$A$4&amp;"b)'!e45")</f>
        <v>..</v>
      </c>
      <c r="F49" s="91" t="str">
        <f ca="1">INDIRECT("'("&amp;$A$4&amp;"b)'!f45")</f>
        <v>..</v>
      </c>
      <c r="G49" s="91"/>
      <c r="H49" s="91" t="str">
        <f ca="1">INDIRECT("'("&amp;$A$4&amp;"b)'!g45")</f>
        <v>..</v>
      </c>
      <c r="I49" s="91" t="str">
        <f ca="1">INDIRECT("'("&amp;$A$4&amp;"b)'!h45")</f>
        <v>..</v>
      </c>
      <c r="J49" s="91"/>
      <c r="K49" s="91" t="str">
        <f ca="1">INDIRECT("'("&amp;$A$4&amp;"b)'!i45")</f>
        <v>..</v>
      </c>
      <c r="L49" s="73" t="str">
        <f ca="1">INDIRECT("'("&amp;$A$4&amp;"b)'!j45")</f>
        <v>..</v>
      </c>
      <c r="M49" s="62"/>
      <c r="O49" s="74"/>
      <c r="P49" s="74"/>
      <c r="R49" s="74"/>
      <c r="S49" s="74"/>
      <c r="U49" s="76"/>
      <c r="V49" s="76"/>
      <c r="W49" s="76"/>
      <c r="X49" s="76"/>
      <c r="Y49" s="76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</row>
    <row r="50" spans="1:37" s="63" customFormat="1" ht="15" customHeight="1">
      <c r="A50" s="62" t="s">
        <v>46</v>
      </c>
      <c r="B50" s="190">
        <f ca="1">INDIRECT("'("&amp;$A$4&amp;"b)'!C46")</f>
        <v>0</v>
      </c>
      <c r="C50" s="190">
        <f ca="1">INDIRECT("'("&amp;$A$4&amp;"b)'!d46")</f>
        <v>0</v>
      </c>
      <c r="D50" s="190"/>
      <c r="E50" s="190">
        <f ca="1">INDIRECT("'("&amp;$A$4&amp;"b)'!e46")</f>
        <v>0</v>
      </c>
      <c r="F50" s="190">
        <f ca="1">INDIRECT("'("&amp;$A$4&amp;"b)'!f46")</f>
        <v>0</v>
      </c>
      <c r="G50" s="190"/>
      <c r="H50" s="190">
        <f ca="1">INDIRECT("'("&amp;$A$4&amp;"b)'!g46")</f>
        <v>0</v>
      </c>
      <c r="I50" s="190">
        <f ca="1">INDIRECT("'("&amp;$A$4&amp;"b)'!h46")</f>
        <v>0</v>
      </c>
      <c r="J50" s="190"/>
      <c r="K50" s="190">
        <f ca="1">INDIRECT("'("&amp;$A$4&amp;"b)'!i46")</f>
        <v>0</v>
      </c>
      <c r="L50" s="73">
        <f ca="1">INDIRECT("'("&amp;$A$4&amp;"b)'!j46")</f>
        <v>0</v>
      </c>
      <c r="M50" s="62"/>
      <c r="O50" s="74"/>
      <c r="P50" s="74"/>
      <c r="R50" s="74"/>
      <c r="S50" s="74"/>
      <c r="U50" s="76"/>
      <c r="V50" s="76"/>
      <c r="W50" s="76"/>
      <c r="X50" s="76"/>
      <c r="Y50" s="76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</row>
    <row r="51" spans="1:37" s="63" customFormat="1" ht="15" customHeight="1">
      <c r="A51" s="80" t="s">
        <v>47</v>
      </c>
      <c r="B51" s="90">
        <f ca="1">INDIRECT("'("&amp;$A$4&amp;"b)'!C47")</f>
        <v>240</v>
      </c>
      <c r="C51" s="90">
        <f ca="1">INDIRECT("'("&amp;$A$4&amp;"b)'!d47")</f>
        <v>123</v>
      </c>
      <c r="D51" s="90"/>
      <c r="E51" s="90">
        <f ca="1">INDIRECT("'("&amp;$A$4&amp;"b)'!e47")</f>
        <v>53</v>
      </c>
      <c r="F51" s="90">
        <f ca="1">INDIRECT("'("&amp;$A$4&amp;"b)'!f47")</f>
        <v>41</v>
      </c>
      <c r="G51" s="90"/>
      <c r="H51" s="90">
        <f ca="1">INDIRECT("'("&amp;$A$4&amp;"b)'!g47")</f>
        <v>38</v>
      </c>
      <c r="I51" s="90">
        <f ca="1">INDIRECT("'("&amp;$A$4&amp;"b)'!h47")</f>
        <v>20</v>
      </c>
      <c r="J51" s="90"/>
      <c r="K51" s="90">
        <f ca="1">INDIRECT("'("&amp;$A$4&amp;"b)'!i47")</f>
        <v>0</v>
      </c>
      <c r="L51" s="73">
        <f ca="1">INDIRECT("'("&amp;$A$4&amp;"b)'!j47")</f>
        <v>0</v>
      </c>
      <c r="M51" s="62"/>
      <c r="O51" s="74"/>
      <c r="P51" s="74"/>
      <c r="R51" s="74"/>
      <c r="S51" s="74"/>
      <c r="U51" s="76"/>
      <c r="V51" s="76"/>
      <c r="W51" s="76"/>
      <c r="X51" s="76"/>
      <c r="Y51" s="76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</row>
    <row r="52" spans="1:37" s="63" customFormat="1" ht="15" customHeight="1">
      <c r="A52" s="62" t="s">
        <v>48</v>
      </c>
      <c r="B52" s="78">
        <f ca="1">INDIRECT("'("&amp;$A$4&amp;"b)'!C48")</f>
        <v>16</v>
      </c>
      <c r="C52" s="78">
        <f ca="1">INDIRECT("'("&amp;$A$4&amp;"b)'!d48")</f>
        <v>12</v>
      </c>
      <c r="D52" s="78"/>
      <c r="E52" s="78">
        <f ca="1">INDIRECT("'("&amp;$A$4&amp;"b)'!e48")</f>
        <v>0</v>
      </c>
      <c r="F52" s="78">
        <f ca="1">INDIRECT("'("&amp;$A$4&amp;"b)'!f48")</f>
        <v>1</v>
      </c>
      <c r="G52" s="78"/>
      <c r="H52" s="78">
        <f ca="1">INDIRECT("'("&amp;$A$4&amp;"b)'!g48")</f>
        <v>0</v>
      </c>
      <c r="I52" s="78">
        <f ca="1">INDIRECT("'("&amp;$A$4&amp;"b)'!h48")</f>
        <v>1</v>
      </c>
      <c r="J52" s="78"/>
      <c r="K52" s="78">
        <f ca="1">INDIRECT("'("&amp;$A$4&amp;"b)'!i48")</f>
        <v>0</v>
      </c>
      <c r="L52" s="73">
        <f ca="1">INDIRECT("'("&amp;$A$4&amp;"b)'!j48")</f>
        <v>0</v>
      </c>
      <c r="M52" s="62"/>
      <c r="O52" s="74"/>
      <c r="P52" s="74"/>
      <c r="R52" s="74"/>
      <c r="S52" s="74"/>
      <c r="U52" s="76"/>
      <c r="V52" s="76"/>
      <c r="W52" s="76"/>
      <c r="X52" s="76"/>
      <c r="Y52" s="76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</row>
    <row r="53" spans="1:37" s="63" customFormat="1" ht="15" customHeight="1">
      <c r="A53" s="62" t="s">
        <v>49</v>
      </c>
      <c r="B53" s="78">
        <f ca="1">INDIRECT("'("&amp;$A$4&amp;"b)'!C49")</f>
        <v>14</v>
      </c>
      <c r="C53" s="78">
        <f ca="1">INDIRECT("'("&amp;$A$4&amp;"b)'!d49")</f>
        <v>2</v>
      </c>
      <c r="D53" s="78"/>
      <c r="E53" s="78">
        <f ca="1">INDIRECT("'("&amp;$A$4&amp;"b)'!e49")</f>
        <v>4</v>
      </c>
      <c r="F53" s="78">
        <f ca="1">INDIRECT("'("&amp;$A$4&amp;"b)'!f49")</f>
        <v>0</v>
      </c>
      <c r="G53" s="78"/>
      <c r="H53" s="78">
        <f ca="1">INDIRECT("'("&amp;$A$4&amp;"b)'!g49")</f>
        <v>0</v>
      </c>
      <c r="I53" s="78">
        <f ca="1">INDIRECT("'("&amp;$A$4&amp;"b)'!h49")</f>
        <v>0</v>
      </c>
      <c r="J53" s="78"/>
      <c r="K53" s="78">
        <f ca="1">INDIRECT("'("&amp;$A$4&amp;"b)'!i49")</f>
        <v>0</v>
      </c>
      <c r="L53" s="73">
        <f ca="1">INDIRECT("'("&amp;$A$4&amp;"b)'!j49")</f>
        <v>0</v>
      </c>
      <c r="M53" s="62"/>
      <c r="O53" s="74"/>
      <c r="P53" s="74"/>
      <c r="R53" s="74"/>
      <c r="S53" s="74"/>
      <c r="U53" s="76"/>
      <c r="V53" s="76"/>
      <c r="W53" s="76"/>
      <c r="X53" s="76"/>
      <c r="Y53" s="76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</row>
    <row r="54" spans="1:37" s="63" customFormat="1" ht="15" customHeight="1">
      <c r="A54" s="62" t="s">
        <v>50</v>
      </c>
      <c r="B54" s="78">
        <f ca="1">INDIRECT("'("&amp;$A$4&amp;"b)'!C50")</f>
        <v>21</v>
      </c>
      <c r="C54" s="78">
        <f ca="1">INDIRECT("'("&amp;$A$4&amp;"b)'!d50")</f>
        <v>15</v>
      </c>
      <c r="D54" s="78"/>
      <c r="E54" s="78">
        <f ca="1">INDIRECT("'("&amp;$A$4&amp;"b)'!e50")</f>
        <v>0</v>
      </c>
      <c r="F54" s="78">
        <f ca="1">INDIRECT("'("&amp;$A$4&amp;"b)'!f50")</f>
        <v>3</v>
      </c>
      <c r="G54" s="78"/>
      <c r="H54" s="78">
        <f ca="1">INDIRECT("'("&amp;$A$4&amp;"b)'!g50")</f>
        <v>3</v>
      </c>
      <c r="I54" s="78">
        <f ca="1">INDIRECT("'("&amp;$A$4&amp;"b)'!h50")</f>
        <v>2</v>
      </c>
      <c r="J54" s="78"/>
      <c r="K54" s="78">
        <f ca="1">INDIRECT("'("&amp;$A$4&amp;"b)'!i50")</f>
        <v>0</v>
      </c>
      <c r="L54" s="73">
        <f ca="1">INDIRECT("'("&amp;$A$4&amp;"b)'!j50")</f>
        <v>0</v>
      </c>
      <c r="M54" s="62"/>
      <c r="O54" s="74"/>
      <c r="P54" s="74"/>
      <c r="R54" s="74"/>
      <c r="S54" s="74"/>
      <c r="U54" s="76"/>
      <c r="V54" s="76"/>
      <c r="W54" s="76"/>
      <c r="X54" s="76"/>
      <c r="Y54" s="76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</row>
    <row r="55" spans="1:37" s="63" customFormat="1" ht="15" customHeight="1">
      <c r="A55" s="62" t="s">
        <v>51</v>
      </c>
      <c r="B55" s="78">
        <f ca="1">INDIRECT("'("&amp;$A$4&amp;"b)'!C51")</f>
        <v>13</v>
      </c>
      <c r="C55" s="78">
        <f ca="1">INDIRECT("'("&amp;$A$4&amp;"b)'!d51")</f>
        <v>0</v>
      </c>
      <c r="D55" s="78"/>
      <c r="E55" s="78">
        <f ca="1">INDIRECT("'("&amp;$A$4&amp;"b)'!e51")</f>
        <v>1</v>
      </c>
      <c r="F55" s="78">
        <f ca="1">INDIRECT("'("&amp;$A$4&amp;"b)'!f51")</f>
        <v>0</v>
      </c>
      <c r="G55" s="78"/>
      <c r="H55" s="78">
        <f ca="1">INDIRECT("'("&amp;$A$4&amp;"b)'!g51")</f>
        <v>0</v>
      </c>
      <c r="I55" s="78">
        <f ca="1">INDIRECT("'("&amp;$A$4&amp;"b)'!h51")</f>
        <v>0</v>
      </c>
      <c r="J55" s="78"/>
      <c r="K55" s="78">
        <f ca="1">INDIRECT("'("&amp;$A$4&amp;"b)'!i51")</f>
        <v>0</v>
      </c>
      <c r="L55" s="73">
        <f ca="1">INDIRECT("'("&amp;$A$4&amp;"b)'!j51")</f>
        <v>0</v>
      </c>
      <c r="M55" s="62"/>
      <c r="O55" s="74"/>
      <c r="P55" s="74"/>
      <c r="Q55" s="62"/>
      <c r="R55" s="74"/>
      <c r="S55" s="74"/>
      <c r="U55" s="76"/>
      <c r="V55" s="76"/>
      <c r="W55" s="76"/>
      <c r="X55" s="76"/>
      <c r="Y55" s="76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</row>
    <row r="56" spans="1:37" s="63" customFormat="1" ht="15" customHeight="1">
      <c r="A56" s="62" t="s">
        <v>52</v>
      </c>
      <c r="B56" s="78">
        <f ca="1">INDIRECT("'("&amp;$A$4&amp;"b)'!C52")</f>
        <v>31</v>
      </c>
      <c r="C56" s="78">
        <f ca="1">INDIRECT("'("&amp;$A$4&amp;"b)'!d52")</f>
        <v>12</v>
      </c>
      <c r="D56" s="78"/>
      <c r="E56" s="78">
        <f ca="1">INDIRECT("'("&amp;$A$4&amp;"b)'!e52")</f>
        <v>4</v>
      </c>
      <c r="F56" s="78">
        <f ca="1">INDIRECT("'("&amp;$A$4&amp;"b)'!f52")</f>
        <v>0</v>
      </c>
      <c r="G56" s="78"/>
      <c r="H56" s="78">
        <f ca="1">INDIRECT("'("&amp;$A$4&amp;"b)'!g52")</f>
        <v>0</v>
      </c>
      <c r="I56" s="78">
        <f ca="1">INDIRECT("'("&amp;$A$4&amp;"b)'!h52")</f>
        <v>0</v>
      </c>
      <c r="J56" s="78"/>
      <c r="K56" s="78">
        <f ca="1">INDIRECT("'("&amp;$A$4&amp;"b)'!i52")</f>
        <v>0</v>
      </c>
      <c r="L56" s="73">
        <f ca="1">INDIRECT("'("&amp;$A$4&amp;"b)'!j52")</f>
        <v>0</v>
      </c>
      <c r="M56" s="62"/>
      <c r="O56" s="74"/>
      <c r="P56" s="74"/>
      <c r="Q56" s="62"/>
      <c r="R56" s="74"/>
      <c r="S56" s="74"/>
      <c r="U56" s="76"/>
      <c r="V56" s="76"/>
      <c r="W56" s="76"/>
      <c r="X56" s="76"/>
      <c r="Y56" s="76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</row>
    <row r="57" spans="1:37" s="63" customFormat="1" ht="15" customHeight="1">
      <c r="A57" s="62" t="s">
        <v>53</v>
      </c>
      <c r="B57" s="78">
        <f ca="1">INDIRECT("'("&amp;$A$4&amp;"b)'!C53")</f>
        <v>53</v>
      </c>
      <c r="C57" s="78">
        <f ca="1">INDIRECT("'("&amp;$A$4&amp;"b)'!d53")</f>
        <v>7</v>
      </c>
      <c r="D57" s="78"/>
      <c r="E57" s="78">
        <f ca="1">INDIRECT("'("&amp;$A$4&amp;"b)'!e53")</f>
        <v>5</v>
      </c>
      <c r="F57" s="78">
        <f ca="1">INDIRECT("'("&amp;$A$4&amp;"b)'!f53")</f>
        <v>0</v>
      </c>
      <c r="G57" s="78"/>
      <c r="H57" s="78">
        <f ca="1">INDIRECT("'("&amp;$A$4&amp;"b)'!g53")</f>
        <v>3</v>
      </c>
      <c r="I57" s="78">
        <f ca="1">INDIRECT("'("&amp;$A$4&amp;"b)'!h53")</f>
        <v>1</v>
      </c>
      <c r="J57" s="78"/>
      <c r="K57" s="78">
        <f ca="1">INDIRECT("'("&amp;$A$4&amp;"b)'!i53")</f>
        <v>0</v>
      </c>
      <c r="L57" s="73">
        <f ca="1">INDIRECT("'("&amp;$A$4&amp;"b)'!j53")</f>
        <v>0</v>
      </c>
      <c r="M57" s="62"/>
      <c r="O57" s="74"/>
      <c r="P57" s="74"/>
      <c r="Q57" s="62"/>
      <c r="R57" s="74"/>
      <c r="S57" s="74"/>
      <c r="U57" s="76"/>
      <c r="V57" s="76"/>
      <c r="W57" s="76"/>
      <c r="X57" s="76"/>
      <c r="Y57" s="76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</row>
    <row r="58" spans="1:37" ht="15.75" thickBot="1">
      <c r="A58" s="81" t="s">
        <v>54</v>
      </c>
      <c r="B58" s="82">
        <f ca="1">INDIRECT("'("&amp;$A$4&amp;"b)'!C54")</f>
        <v>92</v>
      </c>
      <c r="C58" s="82">
        <f ca="1">INDIRECT("'("&amp;$A$4&amp;"b)'!d54")</f>
        <v>75</v>
      </c>
      <c r="D58" s="82"/>
      <c r="E58" s="82">
        <f ca="1">INDIRECT("'("&amp;$A$4&amp;"b)'!e54")</f>
        <v>39</v>
      </c>
      <c r="F58" s="82">
        <f ca="1">INDIRECT("'("&amp;$A$4&amp;"b)'!f54")</f>
        <v>37</v>
      </c>
      <c r="G58" s="82"/>
      <c r="H58" s="82">
        <f ca="1">INDIRECT("'("&amp;$A$4&amp;"b)'!g54")</f>
        <v>32</v>
      </c>
      <c r="I58" s="82">
        <f ca="1">INDIRECT("'("&amp;$A$4&amp;"b)'!h54")</f>
        <v>16</v>
      </c>
      <c r="J58" s="82"/>
      <c r="K58" s="82">
        <f ca="1">INDIRECT("'("&amp;$A$4&amp;"b)'!i54")</f>
        <v>0</v>
      </c>
      <c r="L58" s="83">
        <f ca="1">INDIRECT("'("&amp;$A$4&amp;"b)'!j54")</f>
        <v>0</v>
      </c>
      <c r="O58" s="74"/>
      <c r="P58" s="74"/>
      <c r="R58" s="74"/>
      <c r="S58" s="74"/>
      <c r="T58" s="74"/>
      <c r="U58" s="74"/>
      <c r="V58" s="74"/>
      <c r="W58" s="74"/>
      <c r="X58" s="74"/>
      <c r="Y58" s="74"/>
    </row>
    <row r="59" spans="1:37" s="63" customFormat="1" ht="15" customHeight="1">
      <c r="A59" s="231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62"/>
      <c r="N59" s="62"/>
      <c r="O59" s="74"/>
      <c r="P59" s="74"/>
      <c r="Q59" s="62"/>
      <c r="R59" s="74"/>
      <c r="S59" s="74"/>
      <c r="T59" s="74"/>
      <c r="U59" s="74"/>
      <c r="V59" s="74"/>
      <c r="W59" s="74"/>
      <c r="X59" s="74"/>
      <c r="Y59" s="74"/>
    </row>
    <row r="60" spans="1:37" s="63" customFormat="1" ht="15" customHeight="1">
      <c r="A60" s="237"/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62"/>
      <c r="N60" s="62"/>
      <c r="O60" s="74"/>
      <c r="P60" s="74"/>
      <c r="Q60" s="62"/>
      <c r="R60" s="74"/>
      <c r="S60" s="74"/>
      <c r="T60" s="74"/>
      <c r="U60" s="74"/>
      <c r="V60" s="74"/>
      <c r="W60" s="74"/>
      <c r="X60" s="74"/>
      <c r="Y60" s="74"/>
    </row>
    <row r="61" spans="1:37" s="63" customFormat="1" ht="15" customHeight="1">
      <c r="A61" s="8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74"/>
      <c r="P61" s="74"/>
      <c r="Q61" s="62"/>
      <c r="R61" s="74"/>
      <c r="S61" s="74"/>
      <c r="T61" s="74"/>
      <c r="U61" s="74"/>
      <c r="V61" s="74"/>
      <c r="W61" s="74"/>
      <c r="X61" s="74"/>
      <c r="Y61" s="74"/>
    </row>
    <row r="62" spans="1:37" s="63" customFormat="1">
      <c r="A62" s="231"/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62"/>
      <c r="N62" s="62"/>
      <c r="O62" s="74"/>
      <c r="P62" s="74"/>
      <c r="Q62" s="62"/>
      <c r="R62" s="74"/>
      <c r="S62" s="74"/>
      <c r="T62" s="74"/>
      <c r="U62" s="74"/>
      <c r="V62" s="74"/>
      <c r="W62" s="74"/>
      <c r="X62" s="74"/>
      <c r="Y62" s="74"/>
    </row>
    <row r="63" spans="1:37" s="63" customFormat="1" ht="15" customHeight="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62"/>
      <c r="N63" s="62"/>
      <c r="O63" s="74"/>
      <c r="P63" s="74"/>
      <c r="Q63" s="62"/>
      <c r="R63" s="74"/>
      <c r="S63" s="74"/>
      <c r="T63" s="74"/>
      <c r="U63" s="74"/>
      <c r="V63" s="74"/>
      <c r="W63" s="74"/>
      <c r="X63" s="74"/>
      <c r="Y63" s="74"/>
    </row>
    <row r="64" spans="1:37" s="63" customFormat="1" ht="15" customHeight="1">
      <c r="A64" s="62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Q64" s="62"/>
    </row>
    <row r="65" spans="1:17" s="63" customFormat="1" ht="15" customHeight="1">
      <c r="A65" s="86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Q65" s="62"/>
    </row>
    <row r="66" spans="1:17" s="63" customFormat="1" ht="15" customHeight="1">
      <c r="A66" s="86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Q66" s="62"/>
    </row>
    <row r="67" spans="1:17" s="63" customFormat="1">
      <c r="A67" s="231"/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Q67" s="62"/>
    </row>
    <row r="69" spans="1:17" s="63" customForma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87"/>
      <c r="Q69" s="62"/>
    </row>
    <row r="70" spans="1:17" s="63" customFormat="1" ht="15">
      <c r="A70" s="86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87"/>
      <c r="Q70" s="62"/>
    </row>
    <row r="77" spans="1:17">
      <c r="O77" s="62" t="s">
        <v>70</v>
      </c>
      <c r="P77" s="63"/>
    </row>
    <row r="78" spans="1:17">
      <c r="O78" s="62" t="s">
        <v>71</v>
      </c>
    </row>
    <row r="79" spans="1:17">
      <c r="O79" s="62" t="s">
        <v>72</v>
      </c>
    </row>
    <row r="80" spans="1:17">
      <c r="O80" s="62" t="s">
        <v>73</v>
      </c>
    </row>
    <row r="81" spans="15:15">
      <c r="O81" s="62" t="s">
        <v>74</v>
      </c>
    </row>
    <row r="82" spans="15:15">
      <c r="O82" s="62" t="s">
        <v>75</v>
      </c>
    </row>
    <row r="83" spans="15:15">
      <c r="O83" s="62" t="s">
        <v>76</v>
      </c>
    </row>
  </sheetData>
  <mergeCells count="12">
    <mergeCell ref="A67:L67"/>
    <mergeCell ref="E7:F7"/>
    <mergeCell ref="H7:I7"/>
    <mergeCell ref="E6:I6"/>
    <mergeCell ref="B6:C7"/>
    <mergeCell ref="K6:L7"/>
    <mergeCell ref="A62:L62"/>
    <mergeCell ref="A1:L1"/>
    <mergeCell ref="A4:I4"/>
    <mergeCell ref="B5:I5"/>
    <mergeCell ref="A59:L59"/>
    <mergeCell ref="A60:L60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</sheetPr>
  <dimension ref="A1:AF83"/>
  <sheetViews>
    <sheetView workbookViewId="0">
      <selection activeCell="B12" sqref="B12"/>
    </sheetView>
  </sheetViews>
  <sheetFormatPr defaultRowHeight="12.75"/>
  <cols>
    <col min="1" max="1" width="50.7109375" style="62" customWidth="1"/>
    <col min="2" max="2" width="10.7109375" style="62" customWidth="1"/>
    <col min="3" max="3" width="2.7109375" style="62" customWidth="1"/>
    <col min="4" max="5" width="10.7109375" style="62" customWidth="1"/>
    <col min="6" max="6" width="2.7109375" style="62" customWidth="1"/>
    <col min="7" max="7" width="10.7109375" style="62" customWidth="1"/>
    <col min="8" max="8" width="9.140625" style="62" customWidth="1"/>
    <col min="9" max="10" width="0" style="62" hidden="1" customWidth="1"/>
    <col min="11" max="11" width="9.140625" style="62" customWidth="1"/>
    <col min="12" max="12" width="10" style="62" bestFit="1" customWidth="1"/>
    <col min="13" max="13" width="11.85546875" style="62" customWidth="1"/>
    <col min="14" max="18" width="9.140625" style="62"/>
    <col min="19" max="19" width="11" style="62" customWidth="1"/>
    <col min="20" max="16384" width="9.140625" style="62"/>
  </cols>
  <sheetData>
    <row r="1" spans="1:32" s="61" customFormat="1" ht="37.5" customHeight="1">
      <c r="A1" s="235"/>
      <c r="B1" s="235"/>
      <c r="C1" s="235"/>
      <c r="D1" s="235"/>
      <c r="E1" s="235"/>
      <c r="F1" s="235"/>
      <c r="G1" s="235"/>
      <c r="H1" s="59"/>
      <c r="I1" s="59"/>
      <c r="J1" s="60"/>
      <c r="K1" s="60"/>
    </row>
    <row r="2" spans="1:32" s="63" customFormat="1" ht="1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32" s="63" customFormat="1" ht="15" customHeight="1">
      <c r="A3" s="64" t="s">
        <v>66</v>
      </c>
      <c r="B3" s="65"/>
      <c r="C3" s="65"/>
      <c r="D3" s="65"/>
      <c r="E3" s="65"/>
      <c r="F3" s="65"/>
      <c r="G3" s="65"/>
      <c r="H3" s="62"/>
      <c r="I3" s="62"/>
      <c r="J3" s="62"/>
      <c r="K3" s="62"/>
    </row>
    <row r="4" spans="1:32" s="63" customFormat="1" ht="15" customHeight="1">
      <c r="A4" s="236" t="str">
        <f>FIRE0508c!A4</f>
        <v>2016-17</v>
      </c>
      <c r="B4" s="236"/>
      <c r="C4" s="236"/>
      <c r="D4" s="236"/>
      <c r="E4" s="236"/>
      <c r="F4" s="236"/>
      <c r="G4" s="236"/>
      <c r="H4" s="62"/>
      <c r="I4" s="62"/>
      <c r="J4" s="62"/>
      <c r="K4" s="62"/>
      <c r="L4" s="62"/>
    </row>
    <row r="5" spans="1:32" s="63" customFormat="1" ht="13.5" thickBot="1">
      <c r="A5" s="62"/>
      <c r="B5" s="92"/>
      <c r="C5" s="92"/>
      <c r="D5" s="92"/>
      <c r="E5" s="92"/>
      <c r="F5" s="92"/>
      <c r="G5" s="92"/>
      <c r="H5" s="62"/>
      <c r="I5" s="62"/>
      <c r="J5" s="68"/>
      <c r="K5" s="68"/>
      <c r="M5" s="68"/>
      <c r="N5" s="68"/>
      <c r="P5" s="68"/>
      <c r="Q5" s="68"/>
      <c r="R5" s="68"/>
      <c r="S5" s="68"/>
      <c r="T5" s="68"/>
      <c r="W5" s="69"/>
    </row>
    <row r="6" spans="1:32" s="63" customFormat="1" ht="13.5" thickBot="1">
      <c r="A6" s="62"/>
      <c r="B6" s="233" t="s">
        <v>1</v>
      </c>
      <c r="C6" s="94"/>
      <c r="D6" s="232" t="s">
        <v>77</v>
      </c>
      <c r="E6" s="232"/>
      <c r="F6" s="95"/>
      <c r="G6" s="233" t="s">
        <v>5</v>
      </c>
      <c r="H6" s="62"/>
      <c r="I6" s="62"/>
      <c r="J6" s="68"/>
      <c r="K6" s="68"/>
      <c r="M6" s="68"/>
      <c r="N6" s="68"/>
      <c r="P6" s="68"/>
      <c r="Q6" s="68"/>
      <c r="R6" s="68"/>
      <c r="S6" s="68"/>
      <c r="T6" s="68"/>
      <c r="W6" s="69"/>
    </row>
    <row r="7" spans="1:32" s="72" customFormat="1" ht="51.75" thickBot="1">
      <c r="A7" s="70" t="s">
        <v>67</v>
      </c>
      <c r="B7" s="234"/>
      <c r="C7" s="93"/>
      <c r="D7" s="71" t="s">
        <v>3</v>
      </c>
      <c r="E7" s="71" t="s">
        <v>78</v>
      </c>
      <c r="F7" s="93"/>
      <c r="G7" s="234"/>
      <c r="L7" s="62"/>
    </row>
    <row r="8" spans="1:32" s="63" customFormat="1" ht="15" customHeight="1">
      <c r="A8" s="77" t="s">
        <v>6</v>
      </c>
      <c r="B8" s="73">
        <f ca="1">INDIRECT("'("&amp;$A$4&amp;"c)'!C4")</f>
        <v>922</v>
      </c>
      <c r="C8" s="73"/>
      <c r="D8" s="73">
        <f ca="1">INDIRECT("'("&amp;$A$4&amp;"c)'!d4")</f>
        <v>181</v>
      </c>
      <c r="E8" s="73">
        <f ca="1">INDIRECT("'("&amp;$A$4&amp;"c)'!e4")</f>
        <v>37</v>
      </c>
      <c r="F8" s="73"/>
      <c r="G8" s="73">
        <f ca="1">INDIRECT("'("&amp;$A$4&amp;"c)'!f4")</f>
        <v>0</v>
      </c>
      <c r="H8" s="62"/>
      <c r="J8" s="74"/>
      <c r="K8" s="74"/>
      <c r="M8" s="74"/>
      <c r="N8" s="74"/>
      <c r="P8" s="76"/>
      <c r="Q8" s="76"/>
      <c r="R8" s="76"/>
      <c r="S8" s="76"/>
      <c r="T8" s="76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</row>
    <row r="9" spans="1:32" s="63" customFormat="1" ht="15" customHeight="1">
      <c r="A9" s="89" t="s">
        <v>7</v>
      </c>
      <c r="B9" s="90">
        <f ca="1">INDIRECT("'("&amp;$A$4&amp;"c)'!C5")</f>
        <v>754</v>
      </c>
      <c r="C9" s="90"/>
      <c r="D9" s="90">
        <f ca="1">INDIRECT("'("&amp;$A$4&amp;"c)'!d5")</f>
        <v>137</v>
      </c>
      <c r="E9" s="90">
        <f ca="1">INDIRECT("'("&amp;$A$4&amp;"c)'!e5")</f>
        <v>31</v>
      </c>
      <c r="F9" s="90"/>
      <c r="G9" s="90">
        <f ca="1">INDIRECT("'("&amp;$A$4&amp;"c)'!f5")</f>
        <v>0</v>
      </c>
      <c r="H9" s="62"/>
      <c r="J9" s="74"/>
      <c r="K9" s="74"/>
      <c r="M9" s="74"/>
      <c r="N9" s="74"/>
      <c r="P9" s="76"/>
      <c r="Q9" s="76"/>
      <c r="R9" s="76"/>
      <c r="S9" s="76"/>
      <c r="T9" s="76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</row>
    <row r="10" spans="1:32" s="63" customFormat="1" ht="15" customHeight="1">
      <c r="A10" s="62" t="s">
        <v>8</v>
      </c>
      <c r="B10" s="78">
        <f ca="1">INDIRECT("'("&amp;$A$4&amp;"c)'!C6")</f>
        <v>29</v>
      </c>
      <c r="C10" s="78"/>
      <c r="D10" s="78">
        <f ca="1">INDIRECT("'("&amp;$A$4&amp;"c)'!d6")</f>
        <v>6</v>
      </c>
      <c r="E10" s="78">
        <f ca="1">INDIRECT("'("&amp;$A$4&amp;"c)'!e6")</f>
        <v>0</v>
      </c>
      <c r="F10" s="78"/>
      <c r="G10" s="78">
        <f ca="1">INDIRECT("'("&amp;$A$4&amp;"c)'!f6")</f>
        <v>0</v>
      </c>
      <c r="H10" s="62"/>
      <c r="J10" s="74"/>
      <c r="K10" s="74"/>
      <c r="M10" s="74"/>
      <c r="N10" s="74"/>
      <c r="P10" s="76"/>
      <c r="Q10" s="76"/>
      <c r="R10" s="76"/>
      <c r="S10" s="76"/>
      <c r="T10" s="76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</row>
    <row r="11" spans="1:32" s="63" customFormat="1" ht="15" customHeight="1">
      <c r="A11" s="62" t="s">
        <v>9</v>
      </c>
      <c r="B11" s="78">
        <f ca="1">INDIRECT("'("&amp;$A$4&amp;"c)'!C7")</f>
        <v>11</v>
      </c>
      <c r="C11" s="78"/>
      <c r="D11" s="78">
        <f ca="1">INDIRECT("'("&amp;$A$4&amp;"c)'!d7")</f>
        <v>2</v>
      </c>
      <c r="E11" s="78">
        <f ca="1">INDIRECT("'("&amp;$A$4&amp;"c)'!e7")</f>
        <v>0</v>
      </c>
      <c r="F11" s="78"/>
      <c r="G11" s="78">
        <f ca="1">INDIRECT("'("&amp;$A$4&amp;"c)'!f7")</f>
        <v>0</v>
      </c>
      <c r="H11" s="62"/>
      <c r="J11" s="74"/>
      <c r="K11" s="74"/>
      <c r="M11" s="74"/>
      <c r="N11" s="74"/>
      <c r="P11" s="76"/>
      <c r="Q11" s="76"/>
      <c r="R11" s="76"/>
      <c r="S11" s="76"/>
      <c r="T11" s="76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</row>
    <row r="12" spans="1:32" s="63" customFormat="1" ht="15" customHeight="1">
      <c r="A12" s="62" t="s">
        <v>10</v>
      </c>
      <c r="B12" s="78">
        <f ca="1">INDIRECT("'("&amp;$A$4&amp;"c)'!C8")</f>
        <v>14</v>
      </c>
      <c r="C12" s="78"/>
      <c r="D12" s="78">
        <f ca="1">INDIRECT("'("&amp;$A$4&amp;"c)'!d8")</f>
        <v>1</v>
      </c>
      <c r="E12" s="78">
        <f ca="1">INDIRECT("'("&amp;$A$4&amp;"c)'!e8")</f>
        <v>0</v>
      </c>
      <c r="F12" s="78"/>
      <c r="G12" s="78">
        <f ca="1">INDIRECT("'("&amp;$A$4&amp;"c)'!f8")</f>
        <v>0</v>
      </c>
      <c r="H12" s="62"/>
      <c r="J12" s="74"/>
      <c r="K12" s="74"/>
      <c r="M12" s="74"/>
      <c r="N12" s="74"/>
      <c r="P12" s="76"/>
      <c r="Q12" s="76"/>
      <c r="R12" s="76"/>
      <c r="S12" s="76"/>
      <c r="T12" s="76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</row>
    <row r="13" spans="1:32" s="63" customFormat="1" ht="15" customHeight="1">
      <c r="A13" s="62" t="s">
        <v>11</v>
      </c>
      <c r="B13" s="78">
        <f ca="1">INDIRECT("'("&amp;$A$4&amp;"c)'!C9")</f>
        <v>16</v>
      </c>
      <c r="C13" s="78"/>
      <c r="D13" s="78">
        <f ca="1">INDIRECT("'("&amp;$A$4&amp;"c)'!d9")</f>
        <v>1</v>
      </c>
      <c r="E13" s="78">
        <f ca="1">INDIRECT("'("&amp;$A$4&amp;"c)'!e9")</f>
        <v>0</v>
      </c>
      <c r="F13" s="78"/>
      <c r="G13" s="78">
        <f ca="1">INDIRECT("'("&amp;$A$4&amp;"c)'!f9")</f>
        <v>0</v>
      </c>
      <c r="H13" s="62"/>
      <c r="J13" s="74"/>
      <c r="K13" s="74"/>
      <c r="M13" s="74"/>
      <c r="N13" s="74"/>
      <c r="P13" s="76"/>
      <c r="Q13" s="76"/>
      <c r="R13" s="76"/>
      <c r="S13" s="76"/>
      <c r="T13" s="76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1:32" s="63" customFormat="1" ht="15" customHeight="1">
      <c r="A14" s="62" t="s">
        <v>12</v>
      </c>
      <c r="B14" s="78">
        <f ca="1">INDIRECT("'("&amp;$A$4&amp;"c)'!C10")</f>
        <v>39</v>
      </c>
      <c r="C14" s="78"/>
      <c r="D14" s="78">
        <f ca="1">INDIRECT("'("&amp;$A$4&amp;"c)'!d10")</f>
        <v>4</v>
      </c>
      <c r="E14" s="78">
        <f ca="1">INDIRECT("'("&amp;$A$4&amp;"c)'!e10")</f>
        <v>6</v>
      </c>
      <c r="F14" s="78"/>
      <c r="G14" s="78">
        <f ca="1">INDIRECT("'("&amp;$A$4&amp;"c)'!f10")</f>
        <v>0</v>
      </c>
      <c r="H14" s="62"/>
      <c r="J14" s="74"/>
      <c r="K14" s="74"/>
      <c r="M14" s="74"/>
      <c r="N14" s="74"/>
      <c r="P14" s="76"/>
      <c r="Q14" s="76"/>
      <c r="R14" s="76"/>
      <c r="S14" s="76"/>
      <c r="T14" s="76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1:32" s="63" customFormat="1" ht="15" customHeight="1">
      <c r="A15" s="62" t="s">
        <v>13</v>
      </c>
      <c r="B15" s="78">
        <f ca="1">INDIRECT("'("&amp;$A$4&amp;"c)'!C11")</f>
        <v>8</v>
      </c>
      <c r="C15" s="78"/>
      <c r="D15" s="78">
        <f ca="1">INDIRECT("'("&amp;$A$4&amp;"c)'!d11")</f>
        <v>1</v>
      </c>
      <c r="E15" s="78">
        <f ca="1">INDIRECT("'("&amp;$A$4&amp;"c)'!e11")</f>
        <v>0</v>
      </c>
      <c r="F15" s="78"/>
      <c r="G15" s="78">
        <f ca="1">INDIRECT("'("&amp;$A$4&amp;"c)'!f11")</f>
        <v>0</v>
      </c>
      <c r="H15" s="62"/>
      <c r="J15" s="74"/>
      <c r="K15" s="74"/>
      <c r="M15" s="74"/>
      <c r="N15" s="74"/>
      <c r="P15" s="76"/>
      <c r="Q15" s="76"/>
      <c r="R15" s="76"/>
      <c r="S15" s="76"/>
      <c r="T15" s="76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</row>
    <row r="16" spans="1:32" s="63" customFormat="1" ht="15" customHeight="1">
      <c r="A16" s="62" t="s">
        <v>14</v>
      </c>
      <c r="B16" s="78">
        <f ca="1">INDIRECT("'("&amp;$A$4&amp;"c)'!C12")</f>
        <v>4</v>
      </c>
      <c r="C16" s="78"/>
      <c r="D16" s="78">
        <f ca="1">INDIRECT("'("&amp;$A$4&amp;"c)'!d12")</f>
        <v>0</v>
      </c>
      <c r="E16" s="78">
        <f ca="1">INDIRECT("'("&amp;$A$4&amp;"c)'!e12")</f>
        <v>0</v>
      </c>
      <c r="F16" s="78"/>
      <c r="G16" s="78">
        <f ca="1">INDIRECT("'("&amp;$A$4&amp;"c)'!f12")</f>
        <v>0</v>
      </c>
      <c r="H16" s="62"/>
      <c r="J16" s="74"/>
      <c r="K16" s="74"/>
      <c r="M16" s="74"/>
      <c r="N16" s="74"/>
      <c r="P16" s="76"/>
      <c r="Q16" s="76"/>
      <c r="R16" s="76"/>
      <c r="S16" s="76"/>
      <c r="T16" s="76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</row>
    <row r="17" spans="1:32" s="63" customFormat="1" ht="15" customHeight="1">
      <c r="A17" s="62" t="s">
        <v>15</v>
      </c>
      <c r="B17" s="78">
        <f ca="1">INDIRECT("'("&amp;$A$4&amp;"c)'!C13")</f>
        <v>8</v>
      </c>
      <c r="C17" s="78"/>
      <c r="D17" s="78">
        <f ca="1">INDIRECT("'("&amp;$A$4&amp;"c)'!d13")</f>
        <v>0</v>
      </c>
      <c r="E17" s="78">
        <f ca="1">INDIRECT("'("&amp;$A$4&amp;"c)'!e13")</f>
        <v>2</v>
      </c>
      <c r="F17" s="78"/>
      <c r="G17" s="78">
        <f ca="1">INDIRECT("'("&amp;$A$4&amp;"c)'!f13")</f>
        <v>0</v>
      </c>
      <c r="H17" s="62"/>
      <c r="J17" s="74"/>
      <c r="K17" s="74"/>
      <c r="M17" s="74"/>
      <c r="N17" s="74"/>
      <c r="P17" s="76"/>
      <c r="Q17" s="76"/>
      <c r="R17" s="76"/>
      <c r="S17" s="76"/>
      <c r="T17" s="76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</row>
    <row r="18" spans="1:32" s="63" customFormat="1" ht="15" customHeight="1">
      <c r="A18" s="79" t="s">
        <v>16</v>
      </c>
      <c r="B18" s="78">
        <f ca="1">INDIRECT("'("&amp;$A$4&amp;"c)'!C14")</f>
        <v>8</v>
      </c>
      <c r="C18" s="78"/>
      <c r="D18" s="78">
        <f ca="1">INDIRECT("'("&amp;$A$4&amp;"c)'!d14")</f>
        <v>2</v>
      </c>
      <c r="E18" s="78">
        <f ca="1">INDIRECT("'("&amp;$A$4&amp;"c)'!e14")</f>
        <v>0</v>
      </c>
      <c r="F18" s="78"/>
      <c r="G18" s="78">
        <f ca="1">INDIRECT("'("&amp;$A$4&amp;"c)'!f14")</f>
        <v>0</v>
      </c>
      <c r="H18" s="62"/>
      <c r="J18" s="74"/>
      <c r="K18" s="74"/>
      <c r="M18" s="74"/>
      <c r="N18" s="74"/>
      <c r="P18" s="76"/>
      <c r="Q18" s="76"/>
      <c r="R18" s="76"/>
      <c r="S18" s="76"/>
      <c r="T18" s="76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</row>
    <row r="19" spans="1:32" s="63" customFormat="1" ht="15" customHeight="1">
      <c r="A19" s="79" t="s">
        <v>17</v>
      </c>
      <c r="B19" s="78">
        <f ca="1">INDIRECT("'("&amp;$A$4&amp;"c)'!C15")</f>
        <v>12</v>
      </c>
      <c r="C19" s="78"/>
      <c r="D19" s="78">
        <f ca="1">INDIRECT("'("&amp;$A$4&amp;"c)'!d15")</f>
        <v>2</v>
      </c>
      <c r="E19" s="78">
        <f ca="1">INDIRECT("'("&amp;$A$4&amp;"c)'!e15")</f>
        <v>2</v>
      </c>
      <c r="F19" s="78"/>
      <c r="G19" s="78">
        <f ca="1">INDIRECT("'("&amp;$A$4&amp;"c)'!f15")</f>
        <v>0</v>
      </c>
      <c r="H19" s="62"/>
      <c r="J19" s="74"/>
      <c r="K19" s="74"/>
      <c r="M19" s="74"/>
      <c r="N19" s="74"/>
      <c r="P19" s="76"/>
      <c r="Q19" s="76"/>
      <c r="R19" s="76"/>
      <c r="S19" s="76"/>
      <c r="T19" s="76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</row>
    <row r="20" spans="1:32" s="63" customFormat="1" ht="15" customHeight="1">
      <c r="A20" s="62" t="s">
        <v>18</v>
      </c>
      <c r="B20" s="78">
        <f ca="1">INDIRECT("'("&amp;$A$4&amp;"c)'!C16")</f>
        <v>27</v>
      </c>
      <c r="C20" s="78"/>
      <c r="D20" s="78">
        <f ca="1">INDIRECT("'("&amp;$A$4&amp;"c)'!d16")</f>
        <v>15</v>
      </c>
      <c r="E20" s="78">
        <f ca="1">INDIRECT("'("&amp;$A$4&amp;"c)'!e16")</f>
        <v>1</v>
      </c>
      <c r="F20" s="78"/>
      <c r="G20" s="78">
        <f ca="1">INDIRECT("'("&amp;$A$4&amp;"c)'!f16")</f>
        <v>0</v>
      </c>
      <c r="H20" s="62"/>
      <c r="J20" s="74"/>
      <c r="K20" s="74"/>
      <c r="M20" s="74"/>
      <c r="N20" s="74"/>
      <c r="P20" s="76"/>
      <c r="Q20" s="76"/>
      <c r="R20" s="76"/>
      <c r="S20" s="76"/>
      <c r="T20" s="76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</row>
    <row r="21" spans="1:32" s="63" customFormat="1" ht="15" customHeight="1">
      <c r="A21" s="62" t="s">
        <v>125</v>
      </c>
      <c r="B21" s="78">
        <f ca="1">INDIRECT("'("&amp;$A$4&amp;"c)'!C17")</f>
        <v>33</v>
      </c>
      <c r="C21" s="78"/>
      <c r="D21" s="78">
        <f ca="1">INDIRECT("'("&amp;$A$4&amp;"c)'!d17")</f>
        <v>3</v>
      </c>
      <c r="E21" s="78">
        <f ca="1">INDIRECT("'("&amp;$A$4&amp;"c)'!e17")</f>
        <v>1</v>
      </c>
      <c r="F21" s="78"/>
      <c r="G21" s="78">
        <f ca="1">INDIRECT("'("&amp;$A$4&amp;"c)'!f17")</f>
        <v>0</v>
      </c>
      <c r="H21" s="62"/>
      <c r="J21" s="74"/>
      <c r="K21" s="74"/>
      <c r="M21" s="74"/>
      <c r="N21" s="74"/>
      <c r="P21" s="76"/>
      <c r="Q21" s="76"/>
      <c r="R21" s="76"/>
      <c r="S21" s="76"/>
      <c r="T21" s="76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</row>
    <row r="22" spans="1:32" s="63" customFormat="1" ht="15" customHeight="1">
      <c r="A22" s="62" t="s">
        <v>19</v>
      </c>
      <c r="B22" s="78" t="str">
        <f ca="1">INDIRECT("'("&amp;$A$4&amp;"c)'!C18")</f>
        <v>..</v>
      </c>
      <c r="C22" s="78"/>
      <c r="D22" s="78" t="str">
        <f ca="1">INDIRECT("'("&amp;$A$4&amp;"c)'!d18")</f>
        <v>..</v>
      </c>
      <c r="E22" s="78" t="str">
        <f ca="1">INDIRECT("'("&amp;$A$4&amp;"c)'!e18")</f>
        <v>..</v>
      </c>
      <c r="F22" s="78"/>
      <c r="G22" s="78" t="str">
        <f ca="1">INDIRECT("'("&amp;$A$4&amp;"c)'!f18")</f>
        <v>..</v>
      </c>
      <c r="H22" s="62"/>
      <c r="J22" s="74"/>
      <c r="K22" s="74"/>
      <c r="M22" s="74"/>
      <c r="N22" s="74"/>
      <c r="P22" s="76"/>
      <c r="Q22" s="76"/>
      <c r="R22" s="76"/>
      <c r="S22" s="76"/>
      <c r="T22" s="76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</row>
    <row r="23" spans="1:32" s="63" customFormat="1" ht="15" customHeight="1">
      <c r="A23" s="62" t="s">
        <v>20</v>
      </c>
      <c r="B23" s="78">
        <f ca="1">INDIRECT("'("&amp;$A$4&amp;"c)'!C19")</f>
        <v>3</v>
      </c>
      <c r="C23" s="78"/>
      <c r="D23" s="78">
        <f ca="1">INDIRECT("'("&amp;$A$4&amp;"c)'!d19")</f>
        <v>1</v>
      </c>
      <c r="E23" s="78">
        <f ca="1">INDIRECT("'("&amp;$A$4&amp;"c)'!e19")</f>
        <v>0</v>
      </c>
      <c r="F23" s="78"/>
      <c r="G23" s="78">
        <f ca="1">INDIRECT("'("&amp;$A$4&amp;"c)'!f19")</f>
        <v>0</v>
      </c>
      <c r="H23" s="62"/>
      <c r="J23" s="74"/>
      <c r="K23" s="74"/>
      <c r="M23" s="74"/>
      <c r="N23" s="74"/>
      <c r="P23" s="76"/>
      <c r="Q23" s="76"/>
      <c r="R23" s="76"/>
      <c r="S23" s="76"/>
      <c r="T23" s="76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</row>
    <row r="24" spans="1:32" s="63" customFormat="1" ht="15" customHeight="1">
      <c r="A24" s="62" t="s">
        <v>21</v>
      </c>
      <c r="B24" s="78">
        <f ca="1">INDIRECT("'("&amp;$A$4&amp;"c)'!C20")</f>
        <v>23</v>
      </c>
      <c r="C24" s="78"/>
      <c r="D24" s="78">
        <f ca="1">INDIRECT("'("&amp;$A$4&amp;"c)'!d20")</f>
        <v>4</v>
      </c>
      <c r="E24" s="78">
        <f ca="1">INDIRECT("'("&amp;$A$4&amp;"c)'!e20")</f>
        <v>1</v>
      </c>
      <c r="F24" s="78"/>
      <c r="G24" s="78">
        <f ca="1">INDIRECT("'("&amp;$A$4&amp;"c)'!f20")</f>
        <v>0</v>
      </c>
      <c r="H24" s="62"/>
      <c r="J24" s="74"/>
      <c r="K24" s="74"/>
      <c r="M24" s="74"/>
      <c r="N24" s="74"/>
      <c r="P24" s="76"/>
      <c r="Q24" s="76"/>
      <c r="R24" s="76"/>
      <c r="S24" s="76"/>
      <c r="T24" s="76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</row>
    <row r="25" spans="1:32" s="63" customFormat="1" ht="15" customHeight="1">
      <c r="A25" s="62" t="s">
        <v>22</v>
      </c>
      <c r="B25" s="78">
        <f ca="1">INDIRECT("'("&amp;$A$4&amp;"c)'!C21")</f>
        <v>37</v>
      </c>
      <c r="C25" s="78"/>
      <c r="D25" s="78">
        <f ca="1">INDIRECT("'("&amp;$A$4&amp;"c)'!d21")</f>
        <v>6</v>
      </c>
      <c r="E25" s="78">
        <f ca="1">INDIRECT("'("&amp;$A$4&amp;"c)'!e21")</f>
        <v>0</v>
      </c>
      <c r="F25" s="78"/>
      <c r="G25" s="78">
        <f ca="1">INDIRECT("'("&amp;$A$4&amp;"c)'!f21")</f>
        <v>0</v>
      </c>
      <c r="H25" s="62"/>
      <c r="J25" s="74"/>
      <c r="K25" s="74"/>
      <c r="M25" s="74"/>
      <c r="N25" s="74"/>
      <c r="P25" s="76"/>
      <c r="Q25" s="76"/>
      <c r="R25" s="76"/>
      <c r="S25" s="76"/>
      <c r="T25" s="76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1:32" s="63" customFormat="1" ht="15" customHeight="1">
      <c r="A26" s="62" t="s">
        <v>23</v>
      </c>
      <c r="B26" s="78">
        <f ca="1">INDIRECT("'("&amp;$A$4&amp;"c)'!C22")</f>
        <v>35</v>
      </c>
      <c r="C26" s="78"/>
      <c r="D26" s="78">
        <f ca="1">INDIRECT("'("&amp;$A$4&amp;"c)'!d22")</f>
        <v>0</v>
      </c>
      <c r="E26" s="78">
        <f ca="1">INDIRECT("'("&amp;$A$4&amp;"c)'!e22")</f>
        <v>0</v>
      </c>
      <c r="F26" s="78"/>
      <c r="G26" s="78">
        <f ca="1">INDIRECT("'("&amp;$A$4&amp;"c)'!f22")</f>
        <v>0</v>
      </c>
      <c r="H26" s="62"/>
      <c r="J26" s="74"/>
      <c r="K26" s="74"/>
      <c r="M26" s="74"/>
      <c r="N26" s="74"/>
      <c r="P26" s="76"/>
      <c r="Q26" s="76"/>
      <c r="R26" s="76"/>
      <c r="S26" s="76"/>
      <c r="T26" s="76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1:32" s="63" customFormat="1" ht="15" customHeight="1">
      <c r="A27" s="62" t="s">
        <v>24</v>
      </c>
      <c r="B27" s="78">
        <f ca="1">INDIRECT("'("&amp;$A$4&amp;"c)'!C23")</f>
        <v>41</v>
      </c>
      <c r="C27" s="78"/>
      <c r="D27" s="78">
        <f ca="1">INDIRECT("'("&amp;$A$4&amp;"c)'!d23")</f>
        <v>7</v>
      </c>
      <c r="E27" s="78">
        <f ca="1">INDIRECT("'("&amp;$A$4&amp;"c)'!e23")</f>
        <v>0</v>
      </c>
      <c r="F27" s="78"/>
      <c r="G27" s="78">
        <f ca="1">INDIRECT("'("&amp;$A$4&amp;"c)'!f23")</f>
        <v>0</v>
      </c>
      <c r="H27" s="62"/>
      <c r="J27" s="74"/>
      <c r="K27" s="74"/>
      <c r="M27" s="74"/>
      <c r="N27" s="74"/>
      <c r="P27" s="76"/>
      <c r="Q27" s="76"/>
      <c r="R27" s="76"/>
      <c r="S27" s="76"/>
      <c r="T27" s="76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1:32" s="63" customFormat="1" ht="15" customHeight="1">
      <c r="A28" s="62" t="s">
        <v>25</v>
      </c>
      <c r="B28" s="78">
        <f ca="1">INDIRECT("'("&amp;$A$4&amp;"c)'!C24")</f>
        <v>31</v>
      </c>
      <c r="C28" s="78"/>
      <c r="D28" s="78">
        <f ca="1">INDIRECT("'("&amp;$A$4&amp;"c)'!d24")</f>
        <v>6</v>
      </c>
      <c r="E28" s="78">
        <f ca="1">INDIRECT("'("&amp;$A$4&amp;"c)'!e24")</f>
        <v>0</v>
      </c>
      <c r="F28" s="78"/>
      <c r="G28" s="78">
        <f ca="1">INDIRECT("'("&amp;$A$4&amp;"c)'!f24")</f>
        <v>0</v>
      </c>
      <c r="H28" s="62"/>
      <c r="J28" s="74"/>
      <c r="K28" s="74"/>
      <c r="M28" s="74"/>
      <c r="N28" s="74"/>
      <c r="P28" s="76"/>
      <c r="Q28" s="76"/>
      <c r="R28" s="76"/>
      <c r="S28" s="76"/>
      <c r="T28" s="76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</row>
    <row r="29" spans="1:32" s="63" customFormat="1" ht="15" customHeight="1">
      <c r="A29" s="62" t="s">
        <v>26</v>
      </c>
      <c r="B29" s="78">
        <f ca="1">INDIRECT("'("&amp;$A$4&amp;"c)'!C25")</f>
        <v>22</v>
      </c>
      <c r="C29" s="78"/>
      <c r="D29" s="78">
        <f ca="1">INDIRECT("'("&amp;$A$4&amp;"c)'!d25")</f>
        <v>9</v>
      </c>
      <c r="E29" s="78">
        <f ca="1">INDIRECT("'("&amp;$A$4&amp;"c)'!e25")</f>
        <v>0</v>
      </c>
      <c r="F29" s="78"/>
      <c r="G29" s="78">
        <f ca="1">INDIRECT("'("&amp;$A$4&amp;"c)'!f25")</f>
        <v>0</v>
      </c>
      <c r="H29" s="62"/>
      <c r="J29" s="74"/>
      <c r="K29" s="74"/>
      <c r="M29" s="74"/>
      <c r="N29" s="74"/>
      <c r="P29" s="76"/>
      <c r="Q29" s="76"/>
      <c r="R29" s="76"/>
      <c r="S29" s="76"/>
      <c r="T29" s="76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</row>
    <row r="30" spans="1:32" s="63" customFormat="1" ht="15" customHeight="1">
      <c r="A30" s="62" t="s">
        <v>27</v>
      </c>
      <c r="B30" s="78">
        <f ca="1">INDIRECT("'("&amp;$A$4&amp;"c)'!C26")</f>
        <v>38</v>
      </c>
      <c r="C30" s="78"/>
      <c r="D30" s="78">
        <f ca="1">INDIRECT("'("&amp;$A$4&amp;"c)'!d26")</f>
        <v>7</v>
      </c>
      <c r="E30" s="78">
        <f ca="1">INDIRECT("'("&amp;$A$4&amp;"c)'!e26")</f>
        <v>2</v>
      </c>
      <c r="F30" s="78"/>
      <c r="G30" s="78">
        <f ca="1">INDIRECT("'("&amp;$A$4&amp;"c)'!f26")</f>
        <v>0</v>
      </c>
      <c r="H30" s="62"/>
      <c r="J30" s="74"/>
      <c r="K30" s="74"/>
      <c r="M30" s="74"/>
      <c r="N30" s="74"/>
      <c r="P30" s="76"/>
      <c r="Q30" s="76"/>
      <c r="R30" s="76"/>
      <c r="S30" s="76"/>
      <c r="T30" s="76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</row>
    <row r="31" spans="1:32" s="63" customFormat="1" ht="15" customHeight="1">
      <c r="A31" s="63" t="s">
        <v>28</v>
      </c>
      <c r="B31" s="78">
        <f ca="1">INDIRECT("'("&amp;$A$4&amp;"c)'!C27")</f>
        <v>4</v>
      </c>
      <c r="C31" s="78"/>
      <c r="D31" s="78">
        <f ca="1">INDIRECT("'("&amp;$A$4&amp;"c)'!d27")</f>
        <v>0</v>
      </c>
      <c r="E31" s="78">
        <f ca="1">INDIRECT("'("&amp;$A$4&amp;"c)'!e27")</f>
        <v>0</v>
      </c>
      <c r="F31" s="78"/>
      <c r="G31" s="78">
        <f ca="1">INDIRECT("'("&amp;$A$4&amp;"c)'!f27")</f>
        <v>0</v>
      </c>
      <c r="H31" s="62"/>
      <c r="J31" s="74"/>
      <c r="K31" s="74"/>
      <c r="M31" s="74"/>
      <c r="N31" s="74"/>
      <c r="P31" s="76"/>
      <c r="Q31" s="76"/>
      <c r="R31" s="76"/>
      <c r="S31" s="76"/>
      <c r="T31" s="76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</row>
    <row r="32" spans="1:32" s="63" customFormat="1" ht="15" customHeight="1">
      <c r="A32" s="63" t="s">
        <v>29</v>
      </c>
      <c r="B32" s="78">
        <f ca="1">INDIRECT("'("&amp;$A$4&amp;"c)'!C28")</f>
        <v>25</v>
      </c>
      <c r="C32" s="78"/>
      <c r="D32" s="78">
        <f ca="1">INDIRECT("'("&amp;$A$4&amp;"c)'!d28")</f>
        <v>8</v>
      </c>
      <c r="E32" s="78">
        <f ca="1">INDIRECT("'("&amp;$A$4&amp;"c)'!e28")</f>
        <v>1</v>
      </c>
      <c r="F32" s="78"/>
      <c r="G32" s="78">
        <f ca="1">INDIRECT("'("&amp;$A$4&amp;"c)'!f28")</f>
        <v>0</v>
      </c>
      <c r="H32" s="62"/>
      <c r="J32" s="74"/>
      <c r="K32" s="74"/>
      <c r="M32" s="74"/>
      <c r="N32" s="74"/>
      <c r="P32" s="76"/>
      <c r="Q32" s="76"/>
      <c r="R32" s="76"/>
      <c r="S32" s="76"/>
      <c r="T32" s="76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</row>
    <row r="33" spans="1:32" s="63" customFormat="1" ht="15" customHeight="1">
      <c r="A33" s="62" t="s">
        <v>30</v>
      </c>
      <c r="B33" s="78">
        <f ca="1">INDIRECT("'("&amp;$A$4&amp;"c)'!C29")</f>
        <v>22</v>
      </c>
      <c r="C33" s="78"/>
      <c r="D33" s="78">
        <f ca="1">INDIRECT("'("&amp;$A$4&amp;"c)'!d29")</f>
        <v>9</v>
      </c>
      <c r="E33" s="78">
        <f ca="1">INDIRECT("'("&amp;$A$4&amp;"c)'!e29")</f>
        <v>0</v>
      </c>
      <c r="F33" s="78"/>
      <c r="G33" s="78">
        <f ca="1">INDIRECT("'("&amp;$A$4&amp;"c)'!f29")</f>
        <v>0</v>
      </c>
      <c r="H33" s="62"/>
      <c r="J33" s="74"/>
      <c r="K33" s="74"/>
      <c r="M33" s="74"/>
      <c r="N33" s="74"/>
      <c r="P33" s="76"/>
      <c r="Q33" s="76"/>
      <c r="R33" s="76"/>
      <c r="S33" s="76"/>
      <c r="T33" s="76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</row>
    <row r="34" spans="1:32" s="63" customFormat="1" ht="15" customHeight="1">
      <c r="A34" s="63" t="s">
        <v>31</v>
      </c>
      <c r="B34" s="78">
        <f ca="1">INDIRECT("'("&amp;$A$4&amp;"c)'!C30")</f>
        <v>29</v>
      </c>
      <c r="C34" s="78"/>
      <c r="D34" s="78">
        <f ca="1">INDIRECT("'("&amp;$A$4&amp;"c)'!d30")</f>
        <v>18</v>
      </c>
      <c r="E34" s="78">
        <f ca="1">INDIRECT("'("&amp;$A$4&amp;"c)'!e30")</f>
        <v>11</v>
      </c>
      <c r="F34" s="78"/>
      <c r="G34" s="78">
        <f ca="1">INDIRECT("'("&amp;$A$4&amp;"c)'!f30")</f>
        <v>0</v>
      </c>
      <c r="H34" s="62"/>
      <c r="J34" s="74"/>
      <c r="K34" s="74"/>
      <c r="M34" s="74"/>
      <c r="N34" s="74"/>
      <c r="P34" s="76"/>
      <c r="Q34" s="76"/>
      <c r="R34" s="76"/>
      <c r="S34" s="76"/>
      <c r="T34" s="76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</row>
    <row r="35" spans="1:32" s="63" customFormat="1" ht="15" customHeight="1">
      <c r="A35" s="63" t="s">
        <v>32</v>
      </c>
      <c r="B35" s="78">
        <f ca="1">INDIRECT("'("&amp;$A$4&amp;"c)'!C31")</f>
        <v>11</v>
      </c>
      <c r="C35" s="78"/>
      <c r="D35" s="78">
        <f ca="1">INDIRECT("'("&amp;$A$4&amp;"c)'!d31")</f>
        <v>2</v>
      </c>
      <c r="E35" s="78">
        <f ca="1">INDIRECT("'("&amp;$A$4&amp;"c)'!e31")</f>
        <v>0</v>
      </c>
      <c r="F35" s="78"/>
      <c r="G35" s="78">
        <f ca="1">INDIRECT("'("&amp;$A$4&amp;"c)'!f31")</f>
        <v>0</v>
      </c>
      <c r="H35" s="62"/>
      <c r="J35" s="74"/>
      <c r="K35" s="74"/>
      <c r="M35" s="74"/>
      <c r="N35" s="74"/>
      <c r="P35" s="76"/>
      <c r="Q35" s="76"/>
      <c r="R35" s="76"/>
      <c r="S35" s="76"/>
      <c r="T35" s="76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</row>
    <row r="36" spans="1:32" s="63" customFormat="1" ht="15" customHeight="1">
      <c r="A36" s="62" t="s">
        <v>33</v>
      </c>
      <c r="B36" s="78">
        <f ca="1">INDIRECT("'("&amp;$A$4&amp;"c)'!C32")</f>
        <v>37</v>
      </c>
      <c r="C36" s="78"/>
      <c r="D36" s="78">
        <f ca="1">INDIRECT("'("&amp;$A$4&amp;"c)'!d32")</f>
        <v>2</v>
      </c>
      <c r="E36" s="78">
        <f ca="1">INDIRECT("'("&amp;$A$4&amp;"c)'!e32")</f>
        <v>0</v>
      </c>
      <c r="F36" s="78"/>
      <c r="G36" s="78">
        <f ca="1">INDIRECT("'("&amp;$A$4&amp;"c)'!f32")</f>
        <v>0</v>
      </c>
      <c r="H36" s="62"/>
      <c r="J36" s="74"/>
      <c r="K36" s="74"/>
      <c r="M36" s="74"/>
      <c r="N36" s="74"/>
      <c r="P36" s="76"/>
      <c r="Q36" s="76"/>
      <c r="R36" s="76"/>
      <c r="S36" s="76"/>
      <c r="T36" s="76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</row>
    <row r="37" spans="1:32" s="63" customFormat="1" ht="15" customHeight="1">
      <c r="A37" s="63" t="s">
        <v>34</v>
      </c>
      <c r="B37" s="78">
        <f ca="1">INDIRECT("'("&amp;$A$4&amp;"c)'!C33")</f>
        <v>36</v>
      </c>
      <c r="C37" s="78"/>
      <c r="D37" s="78">
        <f ca="1">INDIRECT("'("&amp;$A$4&amp;"c)'!d33")</f>
        <v>4</v>
      </c>
      <c r="E37" s="78">
        <f ca="1">INDIRECT("'("&amp;$A$4&amp;"c)'!e33")</f>
        <v>3</v>
      </c>
      <c r="F37" s="78"/>
      <c r="G37" s="78">
        <f ca="1">INDIRECT("'("&amp;$A$4&amp;"c)'!f33")</f>
        <v>0</v>
      </c>
      <c r="H37" s="62"/>
      <c r="J37" s="74"/>
      <c r="K37" s="74"/>
      <c r="M37" s="74"/>
      <c r="N37" s="74"/>
      <c r="P37" s="76"/>
      <c r="Q37" s="76"/>
      <c r="R37" s="76"/>
      <c r="S37" s="76"/>
      <c r="T37" s="76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</row>
    <row r="38" spans="1:32" s="63" customFormat="1" ht="15" customHeight="1">
      <c r="A38" s="63" t="s">
        <v>35</v>
      </c>
      <c r="B38" s="78">
        <f ca="1">INDIRECT("'("&amp;$A$4&amp;"c)'!C34")</f>
        <v>14</v>
      </c>
      <c r="C38" s="78"/>
      <c r="D38" s="78">
        <f ca="1">INDIRECT("'("&amp;$A$4&amp;"c)'!d34")</f>
        <v>3</v>
      </c>
      <c r="E38" s="78">
        <f ca="1">INDIRECT("'("&amp;$A$4&amp;"c)'!e34")</f>
        <v>0</v>
      </c>
      <c r="F38" s="78"/>
      <c r="G38" s="78">
        <f ca="1">INDIRECT("'("&amp;$A$4&amp;"c)'!f34")</f>
        <v>0</v>
      </c>
      <c r="H38" s="62"/>
      <c r="J38" s="74"/>
      <c r="K38" s="74"/>
      <c r="M38" s="74"/>
      <c r="N38" s="74"/>
      <c r="P38" s="76"/>
      <c r="Q38" s="76"/>
      <c r="R38" s="76"/>
      <c r="S38" s="76"/>
      <c r="T38" s="76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</row>
    <row r="39" spans="1:32" s="63" customFormat="1" ht="15" customHeight="1">
      <c r="A39" s="63" t="s">
        <v>36</v>
      </c>
      <c r="B39" s="78">
        <f ca="1">INDIRECT("'("&amp;$A$4&amp;"c)'!C35")</f>
        <v>9</v>
      </c>
      <c r="C39" s="78"/>
      <c r="D39" s="78">
        <f ca="1">INDIRECT("'("&amp;$A$4&amp;"c)'!d35")</f>
        <v>0</v>
      </c>
      <c r="E39" s="78">
        <f ca="1">INDIRECT("'("&amp;$A$4&amp;"c)'!e35")</f>
        <v>0</v>
      </c>
      <c r="F39" s="78"/>
      <c r="G39" s="78">
        <f ca="1">INDIRECT("'("&amp;$A$4&amp;"c)'!f35")</f>
        <v>0</v>
      </c>
      <c r="H39" s="62"/>
      <c r="J39" s="74"/>
      <c r="K39" s="74"/>
      <c r="M39" s="74"/>
      <c r="N39" s="74"/>
      <c r="P39" s="76"/>
      <c r="Q39" s="76"/>
      <c r="R39" s="76"/>
      <c r="S39" s="76"/>
      <c r="T39" s="76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</row>
    <row r="40" spans="1:32" s="63" customFormat="1" ht="15" customHeight="1">
      <c r="A40" s="62" t="s">
        <v>37</v>
      </c>
      <c r="B40" s="78">
        <f ca="1">INDIRECT("'("&amp;$A$4&amp;"c)'!C36")</f>
        <v>9</v>
      </c>
      <c r="C40" s="78"/>
      <c r="D40" s="78">
        <f ca="1">INDIRECT("'("&amp;$A$4&amp;"c)'!d36")</f>
        <v>1</v>
      </c>
      <c r="E40" s="78">
        <f ca="1">INDIRECT("'("&amp;$A$4&amp;"c)'!e36")</f>
        <v>0</v>
      </c>
      <c r="F40" s="78"/>
      <c r="G40" s="78">
        <f ca="1">INDIRECT("'("&amp;$A$4&amp;"c)'!f36")</f>
        <v>0</v>
      </c>
      <c r="H40" s="62"/>
      <c r="J40" s="74"/>
      <c r="K40" s="74"/>
      <c r="M40" s="74"/>
      <c r="N40" s="74"/>
      <c r="P40" s="76"/>
      <c r="Q40" s="76"/>
      <c r="R40" s="76"/>
      <c r="S40" s="76"/>
      <c r="T40" s="76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</row>
    <row r="41" spans="1:32" s="63" customFormat="1" ht="15" customHeight="1">
      <c r="A41" s="62" t="s">
        <v>38</v>
      </c>
      <c r="B41" s="78">
        <f ca="1">INDIRECT("'("&amp;$A$4&amp;"c)'!C37")</f>
        <v>23</v>
      </c>
      <c r="C41" s="78"/>
      <c r="D41" s="78">
        <f ca="1">INDIRECT("'("&amp;$A$4&amp;"c)'!d37")</f>
        <v>2</v>
      </c>
      <c r="E41" s="78">
        <f ca="1">INDIRECT("'("&amp;$A$4&amp;"c)'!e37")</f>
        <v>0</v>
      </c>
      <c r="F41" s="78"/>
      <c r="G41" s="78">
        <f ca="1">INDIRECT("'("&amp;$A$4&amp;"c)'!f37")</f>
        <v>0</v>
      </c>
      <c r="H41" s="62"/>
      <c r="J41" s="74"/>
      <c r="K41" s="74"/>
      <c r="M41" s="74"/>
      <c r="N41" s="74"/>
      <c r="P41" s="76"/>
      <c r="Q41" s="76"/>
      <c r="R41" s="76"/>
      <c r="S41" s="76"/>
      <c r="T41" s="76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</row>
    <row r="42" spans="1:32" s="63" customFormat="1" ht="15" customHeight="1">
      <c r="A42" s="62" t="s">
        <v>39</v>
      </c>
      <c r="B42" s="78">
        <f ca="1">INDIRECT("'("&amp;$A$4&amp;"c)'!C38")</f>
        <v>8</v>
      </c>
      <c r="C42" s="78"/>
      <c r="D42" s="78">
        <f ca="1">INDIRECT("'("&amp;$A$4&amp;"c)'!d38")</f>
        <v>2</v>
      </c>
      <c r="E42" s="78">
        <f ca="1">INDIRECT("'("&amp;$A$4&amp;"c)'!e38")</f>
        <v>0</v>
      </c>
      <c r="F42" s="78"/>
      <c r="G42" s="78">
        <f ca="1">INDIRECT("'("&amp;$A$4&amp;"c)'!f38")</f>
        <v>0</v>
      </c>
      <c r="H42" s="62"/>
      <c r="J42" s="74"/>
      <c r="K42" s="74"/>
      <c r="M42" s="74"/>
      <c r="N42" s="74"/>
      <c r="P42" s="76"/>
      <c r="Q42" s="76"/>
      <c r="R42" s="76"/>
      <c r="S42" s="76"/>
      <c r="T42" s="76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</row>
    <row r="43" spans="1:32" s="63" customFormat="1" ht="15" customHeight="1">
      <c r="A43" s="62" t="s">
        <v>40</v>
      </c>
      <c r="B43" s="78">
        <f ca="1">INDIRECT("'("&amp;$A$4&amp;"c)'!C39")</f>
        <v>19</v>
      </c>
      <c r="C43" s="78"/>
      <c r="D43" s="78">
        <f ca="1">INDIRECT("'("&amp;$A$4&amp;"c)'!d39")</f>
        <v>0</v>
      </c>
      <c r="E43" s="78">
        <f ca="1">INDIRECT("'("&amp;$A$4&amp;"c)'!e39")</f>
        <v>1</v>
      </c>
      <c r="F43" s="78"/>
      <c r="G43" s="78">
        <f ca="1">INDIRECT("'("&amp;$A$4&amp;"c)'!f39")</f>
        <v>0</v>
      </c>
      <c r="H43" s="62"/>
      <c r="J43" s="74"/>
      <c r="K43" s="74"/>
      <c r="M43" s="74"/>
      <c r="N43" s="74"/>
      <c r="P43" s="76"/>
      <c r="Q43" s="76"/>
      <c r="R43" s="76"/>
      <c r="S43" s="76"/>
      <c r="T43" s="76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</row>
    <row r="44" spans="1:32" s="63" customFormat="1" ht="15" customHeight="1">
      <c r="A44" s="62" t="s">
        <v>41</v>
      </c>
      <c r="B44" s="78">
        <f ca="1">INDIRECT("'("&amp;$A$4&amp;"c)'!C40")</f>
        <v>32</v>
      </c>
      <c r="C44" s="78"/>
      <c r="D44" s="78">
        <f ca="1">INDIRECT("'("&amp;$A$4&amp;"c)'!d40")</f>
        <v>6</v>
      </c>
      <c r="E44" s="78">
        <f ca="1">INDIRECT("'("&amp;$A$4&amp;"c)'!e40")</f>
        <v>0</v>
      </c>
      <c r="F44" s="78"/>
      <c r="G44" s="78">
        <f ca="1">INDIRECT("'("&amp;$A$4&amp;"c)'!f40")</f>
        <v>0</v>
      </c>
      <c r="H44" s="62"/>
      <c r="J44" s="74"/>
      <c r="K44" s="74"/>
      <c r="M44" s="74"/>
      <c r="N44" s="74"/>
      <c r="P44" s="76"/>
      <c r="Q44" s="76"/>
      <c r="R44" s="76"/>
      <c r="S44" s="76"/>
      <c r="T44" s="76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</row>
    <row r="45" spans="1:32" s="63" customFormat="1" ht="15" customHeight="1">
      <c r="A45" s="62" t="s">
        <v>42</v>
      </c>
      <c r="B45" s="78">
        <f ca="1">INDIRECT("'("&amp;$A$4&amp;"c)'!C41")</f>
        <v>16</v>
      </c>
      <c r="C45" s="78"/>
      <c r="D45" s="78">
        <f ca="1">INDIRECT("'("&amp;$A$4&amp;"c)'!d41")</f>
        <v>1</v>
      </c>
      <c r="E45" s="78">
        <f ca="1">INDIRECT("'("&amp;$A$4&amp;"c)'!e41")</f>
        <v>0</v>
      </c>
      <c r="F45" s="78"/>
      <c r="G45" s="78">
        <f ca="1">INDIRECT("'("&amp;$A$4&amp;"c)'!f41")</f>
        <v>0</v>
      </c>
      <c r="H45" s="62"/>
      <c r="J45" s="74"/>
      <c r="K45" s="74"/>
      <c r="M45" s="74"/>
      <c r="N45" s="74"/>
      <c r="P45" s="76"/>
      <c r="Q45" s="76"/>
      <c r="R45" s="76"/>
      <c r="S45" s="76"/>
      <c r="T45" s="76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</row>
    <row r="46" spans="1:32" s="63" customFormat="1" ht="15" customHeight="1">
      <c r="A46" s="62" t="s">
        <v>43</v>
      </c>
      <c r="B46" s="78">
        <f ca="1">INDIRECT("'("&amp;$A$4&amp;"c)'!C42")</f>
        <v>8</v>
      </c>
      <c r="C46" s="78"/>
      <c r="D46" s="78">
        <f ca="1">INDIRECT("'("&amp;$A$4&amp;"c)'!d42")</f>
        <v>2</v>
      </c>
      <c r="E46" s="78">
        <f ca="1">INDIRECT("'("&amp;$A$4&amp;"c)'!e42")</f>
        <v>0</v>
      </c>
      <c r="F46" s="78"/>
      <c r="G46" s="78">
        <f ca="1">INDIRECT("'("&amp;$A$4&amp;"c)'!f42")</f>
        <v>0</v>
      </c>
      <c r="H46" s="62"/>
      <c r="J46" s="74"/>
      <c r="K46" s="74"/>
      <c r="M46" s="74"/>
      <c r="N46" s="74"/>
      <c r="P46" s="76"/>
      <c r="Q46" s="76"/>
      <c r="R46" s="76"/>
      <c r="S46" s="76"/>
      <c r="T46" s="76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</row>
    <row r="47" spans="1:32" s="63" customFormat="1" ht="15" customHeight="1">
      <c r="A47" s="62" t="s">
        <v>44</v>
      </c>
      <c r="B47" s="78">
        <f ca="1">INDIRECT("'("&amp;$A$4&amp;"c)'!C43")</f>
        <v>13</v>
      </c>
      <c r="C47" s="78"/>
      <c r="D47" s="78">
        <f ca="1">INDIRECT("'("&amp;$A$4&amp;"c)'!d43")</f>
        <v>0</v>
      </c>
      <c r="E47" s="78">
        <f ca="1">INDIRECT("'("&amp;$A$4&amp;"c)'!e43")</f>
        <v>0</v>
      </c>
      <c r="F47" s="78"/>
      <c r="G47" s="78">
        <f ca="1">INDIRECT("'("&amp;$A$4&amp;"c)'!f43")</f>
        <v>0</v>
      </c>
      <c r="H47" s="62"/>
      <c r="J47" s="74"/>
      <c r="K47" s="74"/>
      <c r="M47" s="74"/>
      <c r="N47" s="74"/>
      <c r="P47" s="76"/>
      <c r="Q47" s="76"/>
      <c r="R47" s="76"/>
      <c r="S47" s="76"/>
      <c r="T47" s="76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</row>
    <row r="48" spans="1:32" s="63" customFormat="1" ht="15" customHeight="1">
      <c r="A48" s="62" t="s">
        <v>45</v>
      </c>
      <c r="B48" s="78" t="str">
        <f ca="1">INDIRECT("'("&amp;$A$4&amp;"c)'!C44")</f>
        <v>..</v>
      </c>
      <c r="C48" s="78"/>
      <c r="D48" s="78" t="str">
        <f ca="1">INDIRECT("'("&amp;$A$4&amp;"c)'!d44")</f>
        <v>..</v>
      </c>
      <c r="E48" s="78" t="str">
        <f ca="1">INDIRECT("'("&amp;$A$4&amp;"c)'!e44")</f>
        <v>..</v>
      </c>
      <c r="F48" s="78"/>
      <c r="G48" s="78" t="str">
        <f ca="1">INDIRECT("'("&amp;$A$4&amp;"c)'!f44")</f>
        <v>..</v>
      </c>
      <c r="H48" s="62"/>
      <c r="J48" s="74"/>
      <c r="K48" s="74"/>
      <c r="M48" s="74"/>
      <c r="N48" s="74"/>
      <c r="P48" s="76"/>
      <c r="Q48" s="76"/>
      <c r="R48" s="76"/>
      <c r="S48" s="76"/>
      <c r="T48" s="76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</row>
    <row r="49" spans="1:32" s="63" customFormat="1" ht="15" customHeight="1">
      <c r="A49" s="62" t="s">
        <v>46</v>
      </c>
      <c r="B49" s="189">
        <f ca="1">INDIRECT("'("&amp;$A$4&amp;"c)'!C45")</f>
        <v>0</v>
      </c>
      <c r="C49" s="189"/>
      <c r="D49" s="189">
        <f ca="1">INDIRECT("'("&amp;$A$4&amp;"c)'!d45")</f>
        <v>0</v>
      </c>
      <c r="E49" s="189">
        <f ca="1">INDIRECT("'("&amp;$A$4&amp;"c)'!e45")</f>
        <v>0</v>
      </c>
      <c r="F49" s="189"/>
      <c r="G49" s="189">
        <f ca="1">INDIRECT("'("&amp;$A$4&amp;"c)'!f45")</f>
        <v>0</v>
      </c>
      <c r="H49" s="62"/>
      <c r="J49" s="74"/>
      <c r="K49" s="74"/>
      <c r="M49" s="74"/>
      <c r="N49" s="74"/>
      <c r="P49" s="76"/>
      <c r="Q49" s="76"/>
      <c r="R49" s="76"/>
      <c r="S49" s="76"/>
      <c r="T49" s="76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spans="1:32" s="63" customFormat="1" ht="15" customHeight="1">
      <c r="A50" s="80" t="s">
        <v>47</v>
      </c>
      <c r="B50" s="90">
        <f ca="1">INDIRECT("'("&amp;$A$4&amp;"c)'!C46")</f>
        <v>168</v>
      </c>
      <c r="C50" s="90"/>
      <c r="D50" s="90">
        <f ca="1">INDIRECT("'("&amp;$A$4&amp;"c)'!d46")</f>
        <v>44</v>
      </c>
      <c r="E50" s="90">
        <f ca="1">INDIRECT("'("&amp;$A$4&amp;"c)'!e46")</f>
        <v>6</v>
      </c>
      <c r="F50" s="90"/>
      <c r="G50" s="90">
        <f ca="1">INDIRECT("'("&amp;$A$4&amp;"c)'!f46")</f>
        <v>0</v>
      </c>
      <c r="H50" s="62"/>
      <c r="J50" s="74"/>
      <c r="K50" s="74"/>
      <c r="M50" s="74"/>
      <c r="N50" s="74"/>
      <c r="P50" s="76"/>
      <c r="Q50" s="76"/>
      <c r="R50" s="76"/>
      <c r="S50" s="76"/>
      <c r="T50" s="76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</row>
    <row r="51" spans="1:32" s="63" customFormat="1" ht="15" customHeight="1">
      <c r="A51" s="62" t="s">
        <v>48</v>
      </c>
      <c r="B51" s="78">
        <f ca="1">INDIRECT("'("&amp;$A$4&amp;"c)'!C47")</f>
        <v>21</v>
      </c>
      <c r="C51" s="78"/>
      <c r="D51" s="78">
        <f ca="1">INDIRECT("'("&amp;$A$4&amp;"c)'!d47")</f>
        <v>4</v>
      </c>
      <c r="E51" s="78">
        <f ca="1">INDIRECT("'("&amp;$A$4&amp;"c)'!e47")</f>
        <v>1</v>
      </c>
      <c r="F51" s="78"/>
      <c r="G51" s="78">
        <f ca="1">INDIRECT("'("&amp;$A$4&amp;"c)'!f47")</f>
        <v>0</v>
      </c>
      <c r="H51" s="62"/>
      <c r="J51" s="74"/>
      <c r="K51" s="74"/>
      <c r="M51" s="74"/>
      <c r="N51" s="74"/>
      <c r="P51" s="76"/>
      <c r="Q51" s="76"/>
      <c r="R51" s="76"/>
      <c r="S51" s="76"/>
      <c r="T51" s="76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</row>
    <row r="52" spans="1:32" s="63" customFormat="1" ht="15" customHeight="1">
      <c r="A52" s="62" t="s">
        <v>49</v>
      </c>
      <c r="B52" s="78">
        <f ca="1">INDIRECT("'("&amp;$A$4&amp;"c)'!C48")</f>
        <v>6</v>
      </c>
      <c r="C52" s="78"/>
      <c r="D52" s="78">
        <f ca="1">INDIRECT("'("&amp;$A$4&amp;"c)'!d48")</f>
        <v>0</v>
      </c>
      <c r="E52" s="78">
        <f ca="1">INDIRECT("'("&amp;$A$4&amp;"c)'!e48")</f>
        <v>0</v>
      </c>
      <c r="F52" s="78"/>
      <c r="G52" s="78">
        <f ca="1">INDIRECT("'("&amp;$A$4&amp;"c)'!f48")</f>
        <v>0</v>
      </c>
      <c r="H52" s="62"/>
      <c r="J52" s="74"/>
      <c r="K52" s="74"/>
      <c r="M52" s="74"/>
      <c r="N52" s="74"/>
      <c r="P52" s="76"/>
      <c r="Q52" s="76"/>
      <c r="R52" s="76"/>
      <c r="S52" s="76"/>
      <c r="T52" s="76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</row>
    <row r="53" spans="1:32" s="63" customFormat="1" ht="15" customHeight="1">
      <c r="A53" s="62" t="s">
        <v>50</v>
      </c>
      <c r="B53" s="78">
        <f ca="1">INDIRECT("'("&amp;$A$4&amp;"c)'!C49")</f>
        <v>13</v>
      </c>
      <c r="C53" s="78"/>
      <c r="D53" s="78">
        <f ca="1">INDIRECT("'("&amp;$A$4&amp;"c)'!d49")</f>
        <v>2</v>
      </c>
      <c r="E53" s="78">
        <f ca="1">INDIRECT("'("&amp;$A$4&amp;"c)'!e49")</f>
        <v>3</v>
      </c>
      <c r="F53" s="78"/>
      <c r="G53" s="78">
        <f ca="1">INDIRECT("'("&amp;$A$4&amp;"c)'!f49")</f>
        <v>0</v>
      </c>
      <c r="H53" s="62"/>
      <c r="J53" s="74"/>
      <c r="K53" s="74"/>
      <c r="M53" s="74"/>
      <c r="N53" s="74"/>
      <c r="P53" s="76"/>
      <c r="Q53" s="76"/>
      <c r="R53" s="76"/>
      <c r="S53" s="76"/>
      <c r="T53" s="76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</row>
    <row r="54" spans="1:32" s="63" customFormat="1" ht="15" customHeight="1">
      <c r="A54" s="62" t="s">
        <v>51</v>
      </c>
      <c r="B54" s="78">
        <f ca="1">INDIRECT("'("&amp;$A$4&amp;"c)'!C50")</f>
        <v>6</v>
      </c>
      <c r="C54" s="78"/>
      <c r="D54" s="78">
        <f ca="1">INDIRECT("'("&amp;$A$4&amp;"c)'!d50")</f>
        <v>3</v>
      </c>
      <c r="E54" s="78">
        <f ca="1">INDIRECT("'("&amp;$A$4&amp;"c)'!e50")</f>
        <v>0</v>
      </c>
      <c r="F54" s="78"/>
      <c r="G54" s="78">
        <f ca="1">INDIRECT("'("&amp;$A$4&amp;"c)'!f50")</f>
        <v>0</v>
      </c>
      <c r="H54" s="62"/>
      <c r="J54" s="74"/>
      <c r="K54" s="74"/>
      <c r="M54" s="74"/>
      <c r="N54" s="74"/>
      <c r="P54" s="76"/>
      <c r="Q54" s="76"/>
      <c r="R54" s="76"/>
      <c r="S54" s="76"/>
      <c r="T54" s="76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</row>
    <row r="55" spans="1:32" s="63" customFormat="1" ht="15" customHeight="1">
      <c r="A55" s="62" t="s">
        <v>52</v>
      </c>
      <c r="B55" s="78">
        <f ca="1">INDIRECT("'("&amp;$A$4&amp;"c)'!C51")</f>
        <v>20</v>
      </c>
      <c r="C55" s="78"/>
      <c r="D55" s="78">
        <f ca="1">INDIRECT("'("&amp;$A$4&amp;"c)'!d51")</f>
        <v>5</v>
      </c>
      <c r="E55" s="78">
        <f ca="1">INDIRECT("'("&amp;$A$4&amp;"c)'!e51")</f>
        <v>0</v>
      </c>
      <c r="F55" s="78"/>
      <c r="G55" s="78">
        <f ca="1">INDIRECT("'("&amp;$A$4&amp;"c)'!f51")</f>
        <v>0</v>
      </c>
      <c r="H55" s="62"/>
      <c r="J55" s="74"/>
      <c r="K55" s="74"/>
      <c r="L55" s="62"/>
      <c r="M55" s="74"/>
      <c r="N55" s="74"/>
      <c r="P55" s="76"/>
      <c r="Q55" s="76"/>
      <c r="R55" s="76"/>
      <c r="S55" s="76"/>
      <c r="T55" s="76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</row>
    <row r="56" spans="1:32" s="63" customFormat="1" ht="15" customHeight="1">
      <c r="A56" s="62" t="s">
        <v>53</v>
      </c>
      <c r="B56" s="78">
        <f ca="1">INDIRECT("'("&amp;$A$4&amp;"c)'!C52")</f>
        <v>58</v>
      </c>
      <c r="C56" s="78"/>
      <c r="D56" s="78">
        <f ca="1">INDIRECT("'("&amp;$A$4&amp;"c)'!d52")</f>
        <v>15</v>
      </c>
      <c r="E56" s="78">
        <f ca="1">INDIRECT("'("&amp;$A$4&amp;"c)'!e52")</f>
        <v>2</v>
      </c>
      <c r="F56" s="78"/>
      <c r="G56" s="78">
        <f ca="1">INDIRECT("'("&amp;$A$4&amp;"c)'!f52")</f>
        <v>0</v>
      </c>
      <c r="H56" s="62"/>
      <c r="J56" s="74"/>
      <c r="K56" s="74"/>
      <c r="L56" s="62"/>
      <c r="M56" s="74"/>
      <c r="N56" s="74"/>
      <c r="P56" s="76"/>
      <c r="Q56" s="76"/>
      <c r="R56" s="76"/>
      <c r="S56" s="76"/>
      <c r="T56" s="76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</row>
    <row r="57" spans="1:32" s="63" customFormat="1" ht="15" customHeight="1" thickBot="1">
      <c r="A57" s="81" t="s">
        <v>54</v>
      </c>
      <c r="B57" s="82">
        <f ca="1">INDIRECT("'("&amp;$A$4&amp;"c)'!C53")</f>
        <v>44</v>
      </c>
      <c r="C57" s="82"/>
      <c r="D57" s="82">
        <f ca="1">INDIRECT("'("&amp;$A$4&amp;"c)'!d53")</f>
        <v>15</v>
      </c>
      <c r="E57" s="82">
        <f ca="1">INDIRECT("'("&amp;$A$4&amp;"c)'!e53")</f>
        <v>0</v>
      </c>
      <c r="F57" s="82"/>
      <c r="G57" s="82">
        <f ca="1">INDIRECT("'("&amp;$A$4&amp;"c)'!f53")</f>
        <v>0</v>
      </c>
      <c r="H57" s="62"/>
      <c r="J57" s="74"/>
      <c r="K57" s="74"/>
      <c r="L57" s="62"/>
      <c r="M57" s="74"/>
      <c r="N57" s="74"/>
      <c r="P57" s="76"/>
      <c r="Q57" s="76"/>
      <c r="R57" s="76"/>
      <c r="S57" s="76"/>
      <c r="T57" s="76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</row>
    <row r="58" spans="1:32">
      <c r="J58" s="74"/>
      <c r="K58" s="74"/>
      <c r="M58" s="74"/>
      <c r="N58" s="74"/>
      <c r="O58" s="74"/>
      <c r="P58" s="74"/>
      <c r="Q58" s="74"/>
      <c r="R58" s="74"/>
      <c r="S58" s="74"/>
      <c r="T58" s="74"/>
    </row>
    <row r="59" spans="1:32" s="63" customFormat="1" ht="15" customHeight="1">
      <c r="A59" s="231"/>
      <c r="B59" s="231"/>
      <c r="C59" s="231"/>
      <c r="D59" s="231"/>
      <c r="E59" s="231"/>
      <c r="F59" s="231"/>
      <c r="G59" s="231"/>
      <c r="H59" s="62"/>
      <c r="I59" s="62"/>
      <c r="J59" s="74"/>
      <c r="K59" s="74"/>
      <c r="L59" s="62"/>
      <c r="M59" s="74"/>
      <c r="N59" s="74"/>
      <c r="O59" s="74"/>
      <c r="P59" s="74"/>
      <c r="Q59" s="74"/>
      <c r="R59" s="74"/>
      <c r="S59" s="74"/>
      <c r="T59" s="74"/>
    </row>
    <row r="60" spans="1:32" s="63" customFormat="1" ht="15" customHeight="1">
      <c r="A60" s="237"/>
      <c r="B60" s="237"/>
      <c r="C60" s="237"/>
      <c r="D60" s="237"/>
      <c r="E60" s="237"/>
      <c r="F60" s="237"/>
      <c r="G60" s="237"/>
      <c r="H60" s="62"/>
      <c r="I60" s="62"/>
      <c r="J60" s="74"/>
      <c r="K60" s="74"/>
      <c r="L60" s="62"/>
      <c r="M60" s="74"/>
      <c r="N60" s="74"/>
      <c r="O60" s="74"/>
      <c r="P60" s="74"/>
      <c r="Q60" s="74"/>
      <c r="R60" s="74"/>
      <c r="S60" s="74"/>
      <c r="T60" s="74"/>
    </row>
    <row r="61" spans="1:32" s="63" customFormat="1" ht="15" customHeight="1">
      <c r="A61" s="84"/>
      <c r="B61" s="62"/>
      <c r="C61" s="62"/>
      <c r="D61" s="62"/>
      <c r="E61" s="62"/>
      <c r="F61" s="62"/>
      <c r="G61" s="62"/>
      <c r="H61" s="62"/>
      <c r="I61" s="62"/>
      <c r="J61" s="74"/>
      <c r="K61" s="74"/>
      <c r="L61" s="62"/>
      <c r="M61" s="74"/>
      <c r="N61" s="74"/>
      <c r="O61" s="74"/>
      <c r="P61" s="74"/>
      <c r="Q61" s="74"/>
      <c r="R61" s="74"/>
      <c r="S61" s="74"/>
      <c r="T61" s="74"/>
    </row>
    <row r="62" spans="1:32" s="63" customFormat="1">
      <c r="A62" s="231"/>
      <c r="B62" s="231"/>
      <c r="C62" s="231"/>
      <c r="D62" s="231"/>
      <c r="E62" s="231"/>
      <c r="F62" s="231"/>
      <c r="G62" s="231"/>
      <c r="H62" s="62"/>
      <c r="I62" s="62"/>
      <c r="J62" s="74"/>
      <c r="K62" s="74"/>
      <c r="L62" s="62"/>
      <c r="M62" s="74"/>
      <c r="N62" s="74"/>
      <c r="O62" s="74"/>
      <c r="P62" s="74"/>
      <c r="Q62" s="74"/>
      <c r="R62" s="74"/>
      <c r="S62" s="74"/>
      <c r="T62" s="74"/>
    </row>
    <row r="63" spans="1:32" s="63" customFormat="1" ht="15" customHeight="1">
      <c r="A63" s="85"/>
      <c r="B63" s="85"/>
      <c r="C63" s="85"/>
      <c r="D63" s="85"/>
      <c r="E63" s="85"/>
      <c r="F63" s="85"/>
      <c r="G63" s="85"/>
      <c r="H63" s="62"/>
      <c r="I63" s="62"/>
      <c r="J63" s="74"/>
      <c r="K63" s="74"/>
      <c r="L63" s="62"/>
      <c r="M63" s="74"/>
      <c r="N63" s="74"/>
      <c r="O63" s="74"/>
      <c r="P63" s="74"/>
      <c r="Q63" s="74"/>
      <c r="R63" s="74"/>
      <c r="S63" s="74"/>
      <c r="T63" s="74"/>
    </row>
    <row r="64" spans="1:32" s="63" customFormat="1" ht="15" customHeight="1">
      <c r="A64" s="62"/>
      <c r="B64" s="60"/>
      <c r="C64" s="60"/>
      <c r="D64" s="60"/>
      <c r="E64" s="60"/>
      <c r="F64" s="60"/>
      <c r="G64" s="60"/>
      <c r="L64" s="62"/>
    </row>
    <row r="65" spans="1:12" s="63" customFormat="1" ht="15" customHeight="1">
      <c r="A65" s="86"/>
      <c r="B65" s="60"/>
      <c r="C65" s="60"/>
      <c r="D65" s="60"/>
      <c r="E65" s="60"/>
      <c r="F65" s="60"/>
      <c r="G65" s="60"/>
      <c r="L65" s="62"/>
    </row>
    <row r="66" spans="1:12" s="63" customFormat="1" ht="15" customHeight="1">
      <c r="A66" s="86"/>
      <c r="B66" s="60"/>
      <c r="C66" s="60"/>
      <c r="D66" s="60"/>
      <c r="E66" s="60"/>
      <c r="F66" s="60"/>
      <c r="G66" s="60"/>
      <c r="L66" s="62"/>
    </row>
    <row r="67" spans="1:12" s="63" customFormat="1">
      <c r="A67" s="231"/>
      <c r="B67" s="231"/>
      <c r="C67" s="231"/>
      <c r="D67" s="231"/>
      <c r="E67" s="231"/>
      <c r="F67" s="231"/>
      <c r="G67" s="231"/>
      <c r="L67" s="62"/>
    </row>
    <row r="69" spans="1:12" s="63" customFormat="1">
      <c r="A69" s="62"/>
      <c r="B69" s="62"/>
      <c r="C69" s="62"/>
      <c r="D69" s="62"/>
      <c r="E69" s="62"/>
      <c r="F69" s="62"/>
      <c r="G69" s="62"/>
      <c r="L69" s="62"/>
    </row>
    <row r="70" spans="1:12" s="63" customFormat="1" ht="15">
      <c r="A70" s="86"/>
      <c r="B70" s="62"/>
      <c r="C70" s="62"/>
      <c r="D70" s="62"/>
      <c r="E70" s="62"/>
      <c r="F70" s="62"/>
      <c r="G70" s="62"/>
      <c r="L70" s="62"/>
    </row>
    <row r="77" spans="1:12">
      <c r="J77" s="62" t="s">
        <v>70</v>
      </c>
      <c r="K77" s="63"/>
    </row>
    <row r="78" spans="1:12">
      <c r="J78" s="62" t="s">
        <v>71</v>
      </c>
    </row>
    <row r="79" spans="1:12">
      <c r="J79" s="62" t="s">
        <v>72</v>
      </c>
    </row>
    <row r="80" spans="1:12">
      <c r="J80" s="62" t="s">
        <v>73</v>
      </c>
    </row>
    <row r="81" spans="10:10">
      <c r="J81" s="62" t="s">
        <v>74</v>
      </c>
    </row>
    <row r="82" spans="10:10">
      <c r="J82" s="62" t="s">
        <v>75</v>
      </c>
    </row>
    <row r="83" spans="10:10">
      <c r="J83" s="62" t="s">
        <v>76</v>
      </c>
    </row>
  </sheetData>
  <mergeCells count="9">
    <mergeCell ref="A60:G60"/>
    <mergeCell ref="A62:G62"/>
    <mergeCell ref="A67:G67"/>
    <mergeCell ref="A1:G1"/>
    <mergeCell ref="A4:G4"/>
    <mergeCell ref="B6:B7"/>
    <mergeCell ref="D6:E6"/>
    <mergeCell ref="G6:G7"/>
    <mergeCell ref="A59:G59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F0"/>
  </sheetPr>
  <dimension ref="A1:AF83"/>
  <sheetViews>
    <sheetView workbookViewId="0">
      <selection activeCell="B12" sqref="B12"/>
    </sheetView>
  </sheetViews>
  <sheetFormatPr defaultRowHeight="12.75"/>
  <cols>
    <col min="1" max="1" width="50.7109375" style="62" customWidth="1"/>
    <col min="2" max="2" width="10.7109375" style="62" customWidth="1"/>
    <col min="3" max="3" width="2.7109375" style="62" customWidth="1"/>
    <col min="4" max="5" width="10.7109375" style="62" customWidth="1"/>
    <col min="6" max="6" width="2.7109375" style="62" customWidth="1"/>
    <col min="7" max="7" width="10.7109375" style="62" customWidth="1"/>
    <col min="8" max="8" width="9.140625" style="62" customWidth="1"/>
    <col min="9" max="10" width="0" style="62" hidden="1" customWidth="1"/>
    <col min="11" max="11" width="9.140625" style="62" customWidth="1"/>
    <col min="12" max="12" width="10" style="62" bestFit="1" customWidth="1"/>
    <col min="13" max="13" width="11.85546875" style="62" customWidth="1"/>
    <col min="14" max="18" width="9.140625" style="62"/>
    <col min="19" max="19" width="11" style="62" customWidth="1"/>
    <col min="20" max="16384" width="9.140625" style="62"/>
  </cols>
  <sheetData>
    <row r="1" spans="1:32" s="61" customFormat="1" ht="37.5" customHeight="1">
      <c r="A1" s="235"/>
      <c r="B1" s="235"/>
      <c r="C1" s="235"/>
      <c r="D1" s="235"/>
      <c r="E1" s="235"/>
      <c r="F1" s="235"/>
      <c r="G1" s="235"/>
      <c r="H1" s="59"/>
      <c r="I1" s="59"/>
      <c r="J1" s="60"/>
      <c r="K1" s="60"/>
    </row>
    <row r="2" spans="1:32" s="63" customFormat="1" ht="1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32" s="63" customFormat="1" ht="15" customHeight="1">
      <c r="A3" s="64" t="s">
        <v>66</v>
      </c>
      <c r="B3" s="65"/>
      <c r="C3" s="65"/>
      <c r="D3" s="65"/>
      <c r="E3" s="65"/>
      <c r="F3" s="65"/>
      <c r="G3" s="65"/>
      <c r="H3" s="62"/>
      <c r="I3" s="62"/>
      <c r="J3" s="62"/>
      <c r="K3" s="62"/>
    </row>
    <row r="4" spans="1:32" s="63" customFormat="1" ht="15" customHeight="1">
      <c r="A4" s="236" t="str">
        <f>FIRE0508d!A4</f>
        <v>2016-17</v>
      </c>
      <c r="B4" s="236"/>
      <c r="C4" s="236"/>
      <c r="D4" s="236"/>
      <c r="E4" s="236"/>
      <c r="F4" s="236"/>
      <c r="G4" s="236"/>
      <c r="H4" s="62"/>
      <c r="I4" s="62"/>
      <c r="J4" s="62"/>
      <c r="K4" s="62"/>
      <c r="L4" s="62"/>
    </row>
    <row r="5" spans="1:32" s="63" customFormat="1" ht="13.5" thickBot="1">
      <c r="A5" s="62"/>
      <c r="B5" s="92"/>
      <c r="C5" s="92"/>
      <c r="D5" s="92"/>
      <c r="E5" s="92"/>
      <c r="F5" s="92"/>
      <c r="G5" s="92"/>
      <c r="H5" s="62"/>
      <c r="I5" s="62"/>
      <c r="J5" s="68"/>
      <c r="K5" s="68"/>
      <c r="M5" s="68"/>
      <c r="N5" s="68"/>
      <c r="P5" s="68"/>
      <c r="Q5" s="68"/>
      <c r="R5" s="68"/>
      <c r="S5" s="68"/>
      <c r="T5" s="68"/>
      <c r="W5" s="69"/>
    </row>
    <row r="6" spans="1:32" s="63" customFormat="1" ht="13.5" thickBot="1">
      <c r="A6" s="62"/>
      <c r="B6" s="233" t="s">
        <v>1</v>
      </c>
      <c r="C6" s="94"/>
      <c r="D6" s="232" t="s">
        <v>77</v>
      </c>
      <c r="E6" s="232"/>
      <c r="F6" s="95"/>
      <c r="G6" s="233" t="s">
        <v>5</v>
      </c>
      <c r="H6" s="62"/>
      <c r="I6" s="62"/>
      <c r="J6" s="68"/>
      <c r="K6" s="68"/>
      <c r="M6" s="68"/>
      <c r="N6" s="68"/>
      <c r="P6" s="68"/>
      <c r="Q6" s="68"/>
      <c r="R6" s="68"/>
      <c r="S6" s="68"/>
      <c r="T6" s="68"/>
      <c r="W6" s="69"/>
    </row>
    <row r="7" spans="1:32" s="72" customFormat="1" ht="51.75" thickBot="1">
      <c r="A7" s="70" t="s">
        <v>67</v>
      </c>
      <c r="B7" s="234"/>
      <c r="C7" s="93"/>
      <c r="D7" s="71" t="s">
        <v>3</v>
      </c>
      <c r="E7" s="71" t="s">
        <v>78</v>
      </c>
      <c r="F7" s="93"/>
      <c r="G7" s="234"/>
      <c r="L7" s="62"/>
    </row>
    <row r="8" spans="1:32" s="63" customFormat="1" ht="15" customHeight="1">
      <c r="A8" s="77" t="s">
        <v>6</v>
      </c>
      <c r="B8" s="73">
        <f ca="1">INDIRECT("'("&amp;$A$4&amp;"d)'!C4")</f>
        <v>530</v>
      </c>
      <c r="C8" s="73"/>
      <c r="D8" s="73">
        <f ca="1">INDIRECT("'("&amp;$A$4&amp;"d)'!d4")</f>
        <v>72</v>
      </c>
      <c r="E8" s="73">
        <f ca="1">INDIRECT("'("&amp;$A$4&amp;"d)'!e4")</f>
        <v>18</v>
      </c>
      <c r="F8" s="73"/>
      <c r="G8" s="73">
        <f ca="1">INDIRECT("'("&amp;$A$4&amp;"d)'!f4")</f>
        <v>0</v>
      </c>
      <c r="H8" s="62"/>
      <c r="J8" s="74"/>
      <c r="K8" s="74"/>
      <c r="M8" s="74"/>
      <c r="N8" s="74"/>
      <c r="P8" s="76"/>
      <c r="Q8" s="76"/>
      <c r="R8" s="76"/>
      <c r="S8" s="76"/>
      <c r="T8" s="76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</row>
    <row r="9" spans="1:32" s="63" customFormat="1" ht="15" customHeight="1">
      <c r="A9" s="89" t="s">
        <v>7</v>
      </c>
      <c r="B9" s="90">
        <f ca="1">INDIRECT("'("&amp;$A$4&amp;"d)'!C5")</f>
        <v>412</v>
      </c>
      <c r="C9" s="90"/>
      <c r="D9" s="90">
        <f ca="1">INDIRECT("'("&amp;$A$4&amp;"d)'!d5")</f>
        <v>57</v>
      </c>
      <c r="E9" s="90">
        <f ca="1">INDIRECT("'("&amp;$A$4&amp;"d)'!e5")</f>
        <v>13</v>
      </c>
      <c r="F9" s="90"/>
      <c r="G9" s="90">
        <f ca="1">INDIRECT("'("&amp;$A$4&amp;"d)'!f5")</f>
        <v>0</v>
      </c>
      <c r="H9" s="62"/>
      <c r="J9" s="74"/>
      <c r="K9" s="74"/>
      <c r="M9" s="74"/>
      <c r="N9" s="74"/>
      <c r="P9" s="76"/>
      <c r="Q9" s="76"/>
      <c r="R9" s="76"/>
      <c r="S9" s="76"/>
      <c r="T9" s="76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</row>
    <row r="10" spans="1:32" s="63" customFormat="1" ht="15" customHeight="1">
      <c r="A10" s="62" t="s">
        <v>8</v>
      </c>
      <c r="B10" s="78">
        <f ca="1">INDIRECT("'("&amp;$A$4&amp;"d)'!C6")</f>
        <v>19</v>
      </c>
      <c r="C10" s="78"/>
      <c r="D10" s="78">
        <f ca="1">INDIRECT("'("&amp;$A$4&amp;"d)'!d6")</f>
        <v>8</v>
      </c>
      <c r="E10" s="78">
        <f ca="1">INDIRECT("'("&amp;$A$4&amp;"d)'!e6")</f>
        <v>0</v>
      </c>
      <c r="F10" s="78"/>
      <c r="G10" s="78">
        <f ca="1">INDIRECT("'("&amp;$A$4&amp;"d)'!f6")</f>
        <v>0</v>
      </c>
      <c r="H10" s="62"/>
      <c r="J10" s="74"/>
      <c r="K10" s="74"/>
      <c r="M10" s="74"/>
      <c r="N10" s="74"/>
      <c r="P10" s="76"/>
      <c r="Q10" s="76"/>
      <c r="R10" s="76"/>
      <c r="S10" s="76"/>
      <c r="T10" s="76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</row>
    <row r="11" spans="1:32" s="63" customFormat="1" ht="15" customHeight="1">
      <c r="A11" s="62" t="s">
        <v>9</v>
      </c>
      <c r="B11" s="78">
        <f ca="1">INDIRECT("'("&amp;$A$4&amp;"d)'!C7")</f>
        <v>6</v>
      </c>
      <c r="C11" s="78"/>
      <c r="D11" s="78">
        <f ca="1">INDIRECT("'("&amp;$A$4&amp;"d)'!d7")</f>
        <v>0</v>
      </c>
      <c r="E11" s="78">
        <f ca="1">INDIRECT("'("&amp;$A$4&amp;"d)'!e7")</f>
        <v>0</v>
      </c>
      <c r="F11" s="78"/>
      <c r="G11" s="78">
        <f ca="1">INDIRECT("'("&amp;$A$4&amp;"d)'!f7")</f>
        <v>0</v>
      </c>
      <c r="H11" s="62"/>
      <c r="J11" s="74"/>
      <c r="K11" s="74"/>
      <c r="M11" s="74"/>
      <c r="N11" s="74"/>
      <c r="P11" s="76"/>
      <c r="Q11" s="76"/>
      <c r="R11" s="76"/>
      <c r="S11" s="76"/>
      <c r="T11" s="76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</row>
    <row r="12" spans="1:32" s="63" customFormat="1" ht="15" customHeight="1">
      <c r="A12" s="62" t="s">
        <v>10</v>
      </c>
      <c r="B12" s="78">
        <f ca="1">INDIRECT("'("&amp;$A$4&amp;"d)'!C8")</f>
        <v>9</v>
      </c>
      <c r="C12" s="78"/>
      <c r="D12" s="78">
        <f ca="1">INDIRECT("'("&amp;$A$4&amp;"d)'!d8")</f>
        <v>1</v>
      </c>
      <c r="E12" s="78">
        <f ca="1">INDIRECT("'("&amp;$A$4&amp;"d)'!e8")</f>
        <v>0</v>
      </c>
      <c r="F12" s="78"/>
      <c r="G12" s="78">
        <f ca="1">INDIRECT("'("&amp;$A$4&amp;"d)'!f8")</f>
        <v>0</v>
      </c>
      <c r="H12" s="62"/>
      <c r="J12" s="74"/>
      <c r="K12" s="74"/>
      <c r="M12" s="74"/>
      <c r="N12" s="74"/>
      <c r="P12" s="76"/>
      <c r="Q12" s="76"/>
      <c r="R12" s="76"/>
      <c r="S12" s="76"/>
      <c r="T12" s="76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</row>
    <row r="13" spans="1:32" s="63" customFormat="1" ht="15" customHeight="1">
      <c r="A13" s="62" t="s">
        <v>11</v>
      </c>
      <c r="B13" s="78">
        <f ca="1">INDIRECT("'("&amp;$A$4&amp;"d)'!C9")</f>
        <v>11</v>
      </c>
      <c r="C13" s="78"/>
      <c r="D13" s="78">
        <f ca="1">INDIRECT("'("&amp;$A$4&amp;"d)'!d9")</f>
        <v>3</v>
      </c>
      <c r="E13" s="78">
        <f ca="1">INDIRECT("'("&amp;$A$4&amp;"d)'!e9")</f>
        <v>0</v>
      </c>
      <c r="F13" s="78"/>
      <c r="G13" s="78">
        <f ca="1">INDIRECT("'("&amp;$A$4&amp;"d)'!f9")</f>
        <v>0</v>
      </c>
      <c r="H13" s="62"/>
      <c r="J13" s="74"/>
      <c r="K13" s="74"/>
      <c r="M13" s="74"/>
      <c r="N13" s="74"/>
      <c r="P13" s="76"/>
      <c r="Q13" s="76"/>
      <c r="R13" s="76"/>
      <c r="S13" s="76"/>
      <c r="T13" s="76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1:32" s="63" customFormat="1" ht="15" customHeight="1">
      <c r="A14" s="62" t="s">
        <v>12</v>
      </c>
      <c r="B14" s="78">
        <f ca="1">INDIRECT("'("&amp;$A$4&amp;"d)'!C10")</f>
        <v>21</v>
      </c>
      <c r="C14" s="78"/>
      <c r="D14" s="78">
        <f ca="1">INDIRECT("'("&amp;$A$4&amp;"d)'!d10")</f>
        <v>0</v>
      </c>
      <c r="E14" s="78">
        <f ca="1">INDIRECT("'("&amp;$A$4&amp;"d)'!e10")</f>
        <v>1</v>
      </c>
      <c r="F14" s="78"/>
      <c r="G14" s="78">
        <f ca="1">INDIRECT("'("&amp;$A$4&amp;"d)'!f10")</f>
        <v>0</v>
      </c>
      <c r="H14" s="62"/>
      <c r="J14" s="74"/>
      <c r="K14" s="74"/>
      <c r="M14" s="74"/>
      <c r="N14" s="74"/>
      <c r="P14" s="76"/>
      <c r="Q14" s="76"/>
      <c r="R14" s="76"/>
      <c r="S14" s="76"/>
      <c r="T14" s="76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1:32" s="63" customFormat="1" ht="15" customHeight="1">
      <c r="A15" s="62" t="s">
        <v>13</v>
      </c>
      <c r="B15" s="78">
        <f ca="1">INDIRECT("'("&amp;$A$4&amp;"d)'!C11")</f>
        <v>0</v>
      </c>
      <c r="C15" s="78"/>
      <c r="D15" s="78">
        <f ca="1">INDIRECT("'("&amp;$A$4&amp;"d)'!d11")</f>
        <v>0</v>
      </c>
      <c r="E15" s="78">
        <f ca="1">INDIRECT("'("&amp;$A$4&amp;"d)'!e11")</f>
        <v>0</v>
      </c>
      <c r="F15" s="78"/>
      <c r="G15" s="78">
        <f ca="1">INDIRECT("'("&amp;$A$4&amp;"d)'!f11")</f>
        <v>0</v>
      </c>
      <c r="H15" s="62"/>
      <c r="J15" s="74"/>
      <c r="K15" s="74"/>
      <c r="M15" s="74"/>
      <c r="N15" s="74"/>
      <c r="P15" s="76"/>
      <c r="Q15" s="76"/>
      <c r="R15" s="76"/>
      <c r="S15" s="76"/>
      <c r="T15" s="76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</row>
    <row r="16" spans="1:32" s="63" customFormat="1" ht="15" customHeight="1">
      <c r="A16" s="62" t="s">
        <v>14</v>
      </c>
      <c r="B16" s="78">
        <f ca="1">INDIRECT("'("&amp;$A$4&amp;"d)'!C12")</f>
        <v>2</v>
      </c>
      <c r="C16" s="78"/>
      <c r="D16" s="78">
        <f ca="1">INDIRECT("'("&amp;$A$4&amp;"d)'!d12")</f>
        <v>1</v>
      </c>
      <c r="E16" s="78">
        <f ca="1">INDIRECT("'("&amp;$A$4&amp;"d)'!e12")</f>
        <v>1</v>
      </c>
      <c r="F16" s="78"/>
      <c r="G16" s="78">
        <f ca="1">INDIRECT("'("&amp;$A$4&amp;"d)'!f12")</f>
        <v>0</v>
      </c>
      <c r="H16" s="62"/>
      <c r="J16" s="74"/>
      <c r="K16" s="74"/>
      <c r="M16" s="74"/>
      <c r="N16" s="74"/>
      <c r="P16" s="76"/>
      <c r="Q16" s="76"/>
      <c r="R16" s="76"/>
      <c r="S16" s="76"/>
      <c r="T16" s="76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</row>
    <row r="17" spans="1:32" s="63" customFormat="1" ht="15" customHeight="1">
      <c r="A17" s="62" t="s">
        <v>15</v>
      </c>
      <c r="B17" s="78">
        <f ca="1">INDIRECT("'("&amp;$A$4&amp;"d)'!C13")</f>
        <v>14</v>
      </c>
      <c r="C17" s="78"/>
      <c r="D17" s="78">
        <f ca="1">INDIRECT("'("&amp;$A$4&amp;"d)'!d13")</f>
        <v>2</v>
      </c>
      <c r="E17" s="78">
        <f ca="1">INDIRECT("'("&amp;$A$4&amp;"d)'!e13")</f>
        <v>2</v>
      </c>
      <c r="F17" s="78"/>
      <c r="G17" s="78">
        <f ca="1">INDIRECT("'("&amp;$A$4&amp;"d)'!f13")</f>
        <v>0</v>
      </c>
      <c r="H17" s="62"/>
      <c r="J17" s="74"/>
      <c r="K17" s="74"/>
      <c r="M17" s="74"/>
      <c r="N17" s="74"/>
      <c r="P17" s="76"/>
      <c r="Q17" s="76"/>
      <c r="R17" s="76"/>
      <c r="S17" s="76"/>
      <c r="T17" s="76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</row>
    <row r="18" spans="1:32" s="63" customFormat="1" ht="15" customHeight="1">
      <c r="A18" s="79" t="s">
        <v>16</v>
      </c>
      <c r="B18" s="78">
        <f ca="1">INDIRECT("'("&amp;$A$4&amp;"d)'!C14")</f>
        <v>5</v>
      </c>
      <c r="C18" s="78"/>
      <c r="D18" s="78">
        <f ca="1">INDIRECT("'("&amp;$A$4&amp;"d)'!d14")</f>
        <v>1</v>
      </c>
      <c r="E18" s="78">
        <f ca="1">INDIRECT("'("&amp;$A$4&amp;"d)'!e14")</f>
        <v>0</v>
      </c>
      <c r="F18" s="78"/>
      <c r="G18" s="78">
        <f ca="1">INDIRECT("'("&amp;$A$4&amp;"d)'!f14")</f>
        <v>0</v>
      </c>
      <c r="H18" s="62"/>
      <c r="J18" s="74"/>
      <c r="K18" s="74"/>
      <c r="M18" s="74"/>
      <c r="N18" s="74"/>
      <c r="P18" s="76"/>
      <c r="Q18" s="76"/>
      <c r="R18" s="76"/>
      <c r="S18" s="76"/>
      <c r="T18" s="76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</row>
    <row r="19" spans="1:32" s="63" customFormat="1" ht="15" customHeight="1">
      <c r="A19" s="79" t="s">
        <v>17</v>
      </c>
      <c r="B19" s="78">
        <f ca="1">INDIRECT("'("&amp;$A$4&amp;"d)'!C15")</f>
        <v>5</v>
      </c>
      <c r="C19" s="78"/>
      <c r="D19" s="78">
        <f ca="1">INDIRECT("'("&amp;$A$4&amp;"d)'!d15")</f>
        <v>0</v>
      </c>
      <c r="E19" s="78">
        <f ca="1">INDIRECT("'("&amp;$A$4&amp;"d)'!e15")</f>
        <v>0</v>
      </c>
      <c r="F19" s="78"/>
      <c r="G19" s="78">
        <f ca="1">INDIRECT("'("&amp;$A$4&amp;"d)'!f15")</f>
        <v>0</v>
      </c>
      <c r="H19" s="62"/>
      <c r="J19" s="74"/>
      <c r="K19" s="74"/>
      <c r="M19" s="74"/>
      <c r="N19" s="74"/>
      <c r="P19" s="76"/>
      <c r="Q19" s="76"/>
      <c r="R19" s="76"/>
      <c r="S19" s="76"/>
      <c r="T19" s="76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</row>
    <row r="20" spans="1:32" s="63" customFormat="1" ht="15" customHeight="1">
      <c r="A20" s="62" t="s">
        <v>18</v>
      </c>
      <c r="B20" s="78">
        <f ca="1">INDIRECT("'("&amp;$A$4&amp;"d)'!C16")</f>
        <v>6</v>
      </c>
      <c r="C20" s="78"/>
      <c r="D20" s="78">
        <f ca="1">INDIRECT("'("&amp;$A$4&amp;"d)'!d16")</f>
        <v>1</v>
      </c>
      <c r="E20" s="78">
        <f ca="1">INDIRECT("'("&amp;$A$4&amp;"d)'!e16")</f>
        <v>0</v>
      </c>
      <c r="F20" s="78"/>
      <c r="G20" s="78">
        <f ca="1">INDIRECT("'("&amp;$A$4&amp;"d)'!f16")</f>
        <v>0</v>
      </c>
      <c r="H20" s="62"/>
      <c r="J20" s="74"/>
      <c r="K20" s="74"/>
      <c r="M20" s="74"/>
      <c r="N20" s="74"/>
      <c r="P20" s="76"/>
      <c r="Q20" s="76"/>
      <c r="R20" s="76"/>
      <c r="S20" s="76"/>
      <c r="T20" s="76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</row>
    <row r="21" spans="1:32" s="63" customFormat="1" ht="15" customHeight="1">
      <c r="A21" s="62" t="s">
        <v>125</v>
      </c>
      <c r="B21" s="78">
        <f ca="1">INDIRECT("'("&amp;$A$4&amp;"d)'!C17")</f>
        <v>13</v>
      </c>
      <c r="C21" s="78"/>
      <c r="D21" s="78">
        <f ca="1">INDIRECT("'("&amp;$A$4&amp;"d)'!d17")</f>
        <v>0</v>
      </c>
      <c r="E21" s="78">
        <f ca="1">INDIRECT("'("&amp;$A$4&amp;"d)'!e17")</f>
        <v>0</v>
      </c>
      <c r="F21" s="78"/>
      <c r="G21" s="78">
        <f ca="1">INDIRECT("'("&amp;$A$4&amp;"d)'!f17")</f>
        <v>0</v>
      </c>
      <c r="H21" s="62"/>
      <c r="J21" s="74"/>
      <c r="K21" s="74"/>
      <c r="M21" s="74"/>
      <c r="N21" s="74"/>
      <c r="P21" s="76"/>
      <c r="Q21" s="76"/>
      <c r="R21" s="76"/>
      <c r="S21" s="76"/>
      <c r="T21" s="76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</row>
    <row r="22" spans="1:32" s="63" customFormat="1" ht="15" customHeight="1">
      <c r="A22" s="62" t="s">
        <v>19</v>
      </c>
      <c r="B22" s="78" t="str">
        <f ca="1">INDIRECT("'("&amp;$A$4&amp;"d)'!C18")</f>
        <v>..</v>
      </c>
      <c r="C22" s="78"/>
      <c r="D22" s="78" t="str">
        <f ca="1">INDIRECT("'("&amp;$A$4&amp;"d)'!d18")</f>
        <v>..</v>
      </c>
      <c r="E22" s="78" t="str">
        <f ca="1">INDIRECT("'("&amp;$A$4&amp;"d)'!e18")</f>
        <v>..</v>
      </c>
      <c r="F22" s="78"/>
      <c r="G22" s="78" t="str">
        <f ca="1">INDIRECT("'("&amp;$A$4&amp;"d)'!f18")</f>
        <v>..</v>
      </c>
      <c r="H22" s="62"/>
      <c r="J22" s="74"/>
      <c r="K22" s="74"/>
      <c r="M22" s="74"/>
      <c r="N22" s="74"/>
      <c r="P22" s="76"/>
      <c r="Q22" s="76"/>
      <c r="R22" s="76"/>
      <c r="S22" s="76"/>
      <c r="T22" s="76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</row>
    <row r="23" spans="1:32" s="63" customFormat="1" ht="15" customHeight="1">
      <c r="A23" s="62" t="s">
        <v>20</v>
      </c>
      <c r="B23" s="78">
        <f ca="1">INDIRECT("'("&amp;$A$4&amp;"d)'!C19")</f>
        <v>3</v>
      </c>
      <c r="C23" s="78"/>
      <c r="D23" s="78">
        <f ca="1">INDIRECT("'("&amp;$A$4&amp;"d)'!d19")</f>
        <v>0</v>
      </c>
      <c r="E23" s="78">
        <f ca="1">INDIRECT("'("&amp;$A$4&amp;"d)'!e19")</f>
        <v>0</v>
      </c>
      <c r="F23" s="78"/>
      <c r="G23" s="78">
        <f ca="1">INDIRECT("'("&amp;$A$4&amp;"d)'!f19")</f>
        <v>0</v>
      </c>
      <c r="H23" s="62"/>
      <c r="J23" s="74"/>
      <c r="K23" s="74"/>
      <c r="M23" s="74"/>
      <c r="N23" s="74"/>
      <c r="P23" s="76"/>
      <c r="Q23" s="76"/>
      <c r="R23" s="76"/>
      <c r="S23" s="76"/>
      <c r="T23" s="76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</row>
    <row r="24" spans="1:32" s="63" customFormat="1" ht="15" customHeight="1">
      <c r="A24" s="62" t="s">
        <v>21</v>
      </c>
      <c r="B24" s="78">
        <f ca="1">INDIRECT("'("&amp;$A$4&amp;"d)'!C20")</f>
        <v>20</v>
      </c>
      <c r="C24" s="78"/>
      <c r="D24" s="78">
        <f ca="1">INDIRECT("'("&amp;$A$4&amp;"d)'!d20")</f>
        <v>3</v>
      </c>
      <c r="E24" s="78">
        <f ca="1">INDIRECT("'("&amp;$A$4&amp;"d)'!e20")</f>
        <v>2</v>
      </c>
      <c r="F24" s="78"/>
      <c r="G24" s="78">
        <f ca="1">INDIRECT("'("&amp;$A$4&amp;"d)'!f20")</f>
        <v>0</v>
      </c>
      <c r="H24" s="62"/>
      <c r="J24" s="74"/>
      <c r="K24" s="74"/>
      <c r="M24" s="74"/>
      <c r="N24" s="74"/>
      <c r="P24" s="76"/>
      <c r="Q24" s="76"/>
      <c r="R24" s="76"/>
      <c r="S24" s="76"/>
      <c r="T24" s="76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</row>
    <row r="25" spans="1:32" s="63" customFormat="1" ht="15" customHeight="1">
      <c r="A25" s="62" t="s">
        <v>22</v>
      </c>
      <c r="B25" s="78">
        <f ca="1">INDIRECT("'("&amp;$A$4&amp;"d)'!C21")</f>
        <v>19</v>
      </c>
      <c r="C25" s="78"/>
      <c r="D25" s="78">
        <f ca="1">INDIRECT("'("&amp;$A$4&amp;"d)'!d21")</f>
        <v>1</v>
      </c>
      <c r="E25" s="78">
        <f ca="1">INDIRECT("'("&amp;$A$4&amp;"d)'!e21")</f>
        <v>0</v>
      </c>
      <c r="F25" s="78"/>
      <c r="G25" s="78">
        <f ca="1">INDIRECT("'("&amp;$A$4&amp;"d)'!f21")</f>
        <v>0</v>
      </c>
      <c r="H25" s="62"/>
      <c r="J25" s="74"/>
      <c r="K25" s="74"/>
      <c r="M25" s="74"/>
      <c r="N25" s="74"/>
      <c r="P25" s="76"/>
      <c r="Q25" s="76"/>
      <c r="R25" s="76"/>
      <c r="S25" s="76"/>
      <c r="T25" s="76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1:32" s="63" customFormat="1" ht="15" customHeight="1">
      <c r="A26" s="62" t="s">
        <v>23</v>
      </c>
      <c r="B26" s="78">
        <f ca="1">INDIRECT("'("&amp;$A$4&amp;"d)'!C22")</f>
        <v>10</v>
      </c>
      <c r="C26" s="78"/>
      <c r="D26" s="78">
        <f ca="1">INDIRECT("'("&amp;$A$4&amp;"d)'!d22")</f>
        <v>0</v>
      </c>
      <c r="E26" s="78">
        <f ca="1">INDIRECT("'("&amp;$A$4&amp;"d)'!e22")</f>
        <v>0</v>
      </c>
      <c r="F26" s="78"/>
      <c r="G26" s="78">
        <f ca="1">INDIRECT("'("&amp;$A$4&amp;"d)'!f22")</f>
        <v>0</v>
      </c>
      <c r="H26" s="62"/>
      <c r="J26" s="74"/>
      <c r="K26" s="74"/>
      <c r="M26" s="74"/>
      <c r="N26" s="74"/>
      <c r="P26" s="76"/>
      <c r="Q26" s="76"/>
      <c r="R26" s="76"/>
      <c r="S26" s="76"/>
      <c r="T26" s="76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1:32" s="63" customFormat="1" ht="15" customHeight="1">
      <c r="A27" s="62" t="s">
        <v>24</v>
      </c>
      <c r="B27" s="78">
        <f ca="1">INDIRECT("'("&amp;$A$4&amp;"d)'!C23")</f>
        <v>14</v>
      </c>
      <c r="C27" s="78"/>
      <c r="D27" s="78">
        <f ca="1">INDIRECT("'("&amp;$A$4&amp;"d)'!d23")</f>
        <v>0</v>
      </c>
      <c r="E27" s="78">
        <f ca="1">INDIRECT("'("&amp;$A$4&amp;"d)'!e23")</f>
        <v>0</v>
      </c>
      <c r="F27" s="78"/>
      <c r="G27" s="78">
        <f ca="1">INDIRECT("'("&amp;$A$4&amp;"d)'!f23")</f>
        <v>0</v>
      </c>
      <c r="H27" s="62"/>
      <c r="J27" s="74"/>
      <c r="K27" s="74"/>
      <c r="M27" s="74"/>
      <c r="N27" s="74"/>
      <c r="P27" s="76"/>
      <c r="Q27" s="76"/>
      <c r="R27" s="76"/>
      <c r="S27" s="76"/>
      <c r="T27" s="76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1:32" s="63" customFormat="1" ht="15" customHeight="1">
      <c r="A28" s="62" t="s">
        <v>25</v>
      </c>
      <c r="B28" s="78">
        <f ca="1">INDIRECT("'("&amp;$A$4&amp;"d)'!C24")</f>
        <v>7</v>
      </c>
      <c r="C28" s="78"/>
      <c r="D28" s="78">
        <f ca="1">INDIRECT("'("&amp;$A$4&amp;"d)'!d24")</f>
        <v>0</v>
      </c>
      <c r="E28" s="78">
        <f ca="1">INDIRECT("'("&amp;$A$4&amp;"d)'!e24")</f>
        <v>0</v>
      </c>
      <c r="F28" s="78"/>
      <c r="G28" s="78">
        <f ca="1">INDIRECT("'("&amp;$A$4&amp;"d)'!f24")</f>
        <v>0</v>
      </c>
      <c r="H28" s="62"/>
      <c r="J28" s="74"/>
      <c r="K28" s="74"/>
      <c r="M28" s="74"/>
      <c r="N28" s="74"/>
      <c r="P28" s="76"/>
      <c r="Q28" s="76"/>
      <c r="R28" s="76"/>
      <c r="S28" s="76"/>
      <c r="T28" s="76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</row>
    <row r="29" spans="1:32" s="63" customFormat="1" ht="15" customHeight="1">
      <c r="A29" s="62" t="s">
        <v>26</v>
      </c>
      <c r="B29" s="78">
        <f ca="1">INDIRECT("'("&amp;$A$4&amp;"d)'!C25")</f>
        <v>19</v>
      </c>
      <c r="C29" s="78"/>
      <c r="D29" s="78">
        <f ca="1">INDIRECT("'("&amp;$A$4&amp;"d)'!d25")</f>
        <v>3</v>
      </c>
      <c r="E29" s="78">
        <f ca="1">INDIRECT("'("&amp;$A$4&amp;"d)'!e25")</f>
        <v>0</v>
      </c>
      <c r="F29" s="78"/>
      <c r="G29" s="78">
        <f ca="1">INDIRECT("'("&amp;$A$4&amp;"d)'!f25")</f>
        <v>0</v>
      </c>
      <c r="H29" s="62"/>
      <c r="J29" s="74"/>
      <c r="K29" s="74"/>
      <c r="M29" s="74"/>
      <c r="N29" s="74"/>
      <c r="P29" s="76"/>
      <c r="Q29" s="76"/>
      <c r="R29" s="76"/>
      <c r="S29" s="76"/>
      <c r="T29" s="76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</row>
    <row r="30" spans="1:32" s="63" customFormat="1" ht="15" customHeight="1">
      <c r="A30" s="62" t="s">
        <v>27</v>
      </c>
      <c r="B30" s="78">
        <f ca="1">INDIRECT("'("&amp;$A$4&amp;"d)'!C26")</f>
        <v>15</v>
      </c>
      <c r="C30" s="78"/>
      <c r="D30" s="78">
        <f ca="1">INDIRECT("'("&amp;$A$4&amp;"d)'!d26")</f>
        <v>2</v>
      </c>
      <c r="E30" s="78">
        <f ca="1">INDIRECT("'("&amp;$A$4&amp;"d)'!e26")</f>
        <v>0</v>
      </c>
      <c r="F30" s="78"/>
      <c r="G30" s="78">
        <f ca="1">INDIRECT("'("&amp;$A$4&amp;"d)'!f26")</f>
        <v>0</v>
      </c>
      <c r="H30" s="62"/>
      <c r="J30" s="74"/>
      <c r="K30" s="74"/>
      <c r="M30" s="74"/>
      <c r="N30" s="74"/>
      <c r="P30" s="76"/>
      <c r="Q30" s="76"/>
      <c r="R30" s="76"/>
      <c r="S30" s="76"/>
      <c r="T30" s="76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</row>
    <row r="31" spans="1:32" s="63" customFormat="1" ht="15" customHeight="1">
      <c r="A31" s="63" t="s">
        <v>28</v>
      </c>
      <c r="B31" s="78">
        <f ca="1">INDIRECT("'("&amp;$A$4&amp;"d)'!C27")</f>
        <v>2</v>
      </c>
      <c r="C31" s="78"/>
      <c r="D31" s="78">
        <f ca="1">INDIRECT("'("&amp;$A$4&amp;"d)'!d27")</f>
        <v>1</v>
      </c>
      <c r="E31" s="78">
        <f ca="1">INDIRECT("'("&amp;$A$4&amp;"d)'!e27")</f>
        <v>0</v>
      </c>
      <c r="F31" s="78"/>
      <c r="G31" s="78">
        <f ca="1">INDIRECT("'("&amp;$A$4&amp;"d)'!f27")</f>
        <v>0</v>
      </c>
      <c r="H31" s="62"/>
      <c r="J31" s="74"/>
      <c r="K31" s="74"/>
      <c r="M31" s="74"/>
      <c r="N31" s="74"/>
      <c r="P31" s="76"/>
      <c r="Q31" s="76"/>
      <c r="R31" s="76"/>
      <c r="S31" s="76"/>
      <c r="T31" s="76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</row>
    <row r="32" spans="1:32" s="63" customFormat="1" ht="15" customHeight="1">
      <c r="A32" s="63" t="s">
        <v>29</v>
      </c>
      <c r="B32" s="78">
        <f ca="1">INDIRECT("'("&amp;$A$4&amp;"d)'!C28")</f>
        <v>11</v>
      </c>
      <c r="C32" s="78"/>
      <c r="D32" s="78">
        <f ca="1">INDIRECT("'("&amp;$A$4&amp;"d)'!d28")</f>
        <v>2</v>
      </c>
      <c r="E32" s="78">
        <f ca="1">INDIRECT("'("&amp;$A$4&amp;"d)'!e28")</f>
        <v>1</v>
      </c>
      <c r="F32" s="78"/>
      <c r="G32" s="78">
        <f ca="1">INDIRECT("'("&amp;$A$4&amp;"d)'!f28")</f>
        <v>0</v>
      </c>
      <c r="H32" s="62"/>
      <c r="J32" s="74"/>
      <c r="K32" s="74"/>
      <c r="M32" s="74"/>
      <c r="N32" s="74"/>
      <c r="P32" s="76"/>
      <c r="Q32" s="76"/>
      <c r="R32" s="76"/>
      <c r="S32" s="76"/>
      <c r="T32" s="76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</row>
    <row r="33" spans="1:32" s="63" customFormat="1" ht="15" customHeight="1">
      <c r="A33" s="62" t="s">
        <v>30</v>
      </c>
      <c r="B33" s="78">
        <f ca="1">INDIRECT("'("&amp;$A$4&amp;"d)'!C29")</f>
        <v>17</v>
      </c>
      <c r="C33" s="78"/>
      <c r="D33" s="78">
        <f ca="1">INDIRECT("'("&amp;$A$4&amp;"d)'!d29")</f>
        <v>6</v>
      </c>
      <c r="E33" s="78">
        <f ca="1">INDIRECT("'("&amp;$A$4&amp;"d)'!e29")</f>
        <v>1</v>
      </c>
      <c r="F33" s="78"/>
      <c r="G33" s="78">
        <f ca="1">INDIRECT("'("&amp;$A$4&amp;"d)'!f29")</f>
        <v>0</v>
      </c>
      <c r="H33" s="62"/>
      <c r="J33" s="74"/>
      <c r="K33" s="74"/>
      <c r="M33" s="74"/>
      <c r="N33" s="74"/>
      <c r="P33" s="76"/>
      <c r="Q33" s="76"/>
      <c r="R33" s="76"/>
      <c r="S33" s="76"/>
      <c r="T33" s="76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</row>
    <row r="34" spans="1:32" s="63" customFormat="1" ht="15" customHeight="1">
      <c r="A34" s="63" t="s">
        <v>31</v>
      </c>
      <c r="B34" s="78">
        <f ca="1">INDIRECT("'("&amp;$A$4&amp;"d)'!C30")</f>
        <v>16</v>
      </c>
      <c r="C34" s="78"/>
      <c r="D34" s="78">
        <f ca="1">INDIRECT("'("&amp;$A$4&amp;"d)'!d30")</f>
        <v>4</v>
      </c>
      <c r="E34" s="78">
        <f ca="1">INDIRECT("'("&amp;$A$4&amp;"d)'!e30")</f>
        <v>2</v>
      </c>
      <c r="F34" s="78"/>
      <c r="G34" s="78">
        <f ca="1">INDIRECT("'("&amp;$A$4&amp;"d)'!f30")</f>
        <v>0</v>
      </c>
      <c r="H34" s="62"/>
      <c r="J34" s="74"/>
      <c r="K34" s="74"/>
      <c r="M34" s="74"/>
      <c r="N34" s="74"/>
      <c r="P34" s="76"/>
      <c r="Q34" s="76"/>
      <c r="R34" s="76"/>
      <c r="S34" s="76"/>
      <c r="T34" s="76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</row>
    <row r="35" spans="1:32" s="63" customFormat="1" ht="15" customHeight="1">
      <c r="A35" s="63" t="s">
        <v>32</v>
      </c>
      <c r="B35" s="78">
        <f ca="1">INDIRECT("'("&amp;$A$4&amp;"d)'!C31")</f>
        <v>10</v>
      </c>
      <c r="C35" s="78"/>
      <c r="D35" s="78">
        <f ca="1">INDIRECT("'("&amp;$A$4&amp;"d)'!d31")</f>
        <v>2</v>
      </c>
      <c r="E35" s="78">
        <f ca="1">INDIRECT("'("&amp;$A$4&amp;"d)'!e31")</f>
        <v>0</v>
      </c>
      <c r="F35" s="78"/>
      <c r="G35" s="78">
        <f ca="1">INDIRECT("'("&amp;$A$4&amp;"d)'!f31")</f>
        <v>0</v>
      </c>
      <c r="H35" s="62"/>
      <c r="J35" s="74"/>
      <c r="K35" s="74"/>
      <c r="M35" s="74"/>
      <c r="N35" s="74"/>
      <c r="P35" s="76"/>
      <c r="Q35" s="76"/>
      <c r="R35" s="76"/>
      <c r="S35" s="76"/>
      <c r="T35" s="76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</row>
    <row r="36" spans="1:32" s="63" customFormat="1" ht="15" customHeight="1">
      <c r="A36" s="62" t="s">
        <v>33</v>
      </c>
      <c r="B36" s="78">
        <f ca="1">INDIRECT("'("&amp;$A$4&amp;"d)'!C32")</f>
        <v>16</v>
      </c>
      <c r="C36" s="78"/>
      <c r="D36" s="78">
        <f ca="1">INDIRECT("'("&amp;$A$4&amp;"d)'!d32")</f>
        <v>1</v>
      </c>
      <c r="E36" s="78">
        <f ca="1">INDIRECT("'("&amp;$A$4&amp;"d)'!e32")</f>
        <v>0</v>
      </c>
      <c r="F36" s="78"/>
      <c r="G36" s="78">
        <f ca="1">INDIRECT("'("&amp;$A$4&amp;"d)'!f32")</f>
        <v>0</v>
      </c>
      <c r="H36" s="62"/>
      <c r="J36" s="74"/>
      <c r="K36" s="74"/>
      <c r="M36" s="74"/>
      <c r="N36" s="74"/>
      <c r="P36" s="76"/>
      <c r="Q36" s="76"/>
      <c r="R36" s="76"/>
      <c r="S36" s="76"/>
      <c r="T36" s="76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</row>
    <row r="37" spans="1:32" s="63" customFormat="1" ht="15" customHeight="1">
      <c r="A37" s="63" t="s">
        <v>34</v>
      </c>
      <c r="B37" s="78">
        <f ca="1">INDIRECT("'("&amp;$A$4&amp;"d)'!C33")</f>
        <v>22</v>
      </c>
      <c r="C37" s="78"/>
      <c r="D37" s="78">
        <f ca="1">INDIRECT("'("&amp;$A$4&amp;"d)'!d33")</f>
        <v>4</v>
      </c>
      <c r="E37" s="78">
        <f ca="1">INDIRECT("'("&amp;$A$4&amp;"d)'!e33")</f>
        <v>2</v>
      </c>
      <c r="F37" s="78"/>
      <c r="G37" s="78">
        <f ca="1">INDIRECT("'("&amp;$A$4&amp;"d)'!f33")</f>
        <v>0</v>
      </c>
      <c r="H37" s="62"/>
      <c r="J37" s="74"/>
      <c r="K37" s="74"/>
      <c r="M37" s="74"/>
      <c r="N37" s="74"/>
      <c r="P37" s="76"/>
      <c r="Q37" s="76"/>
      <c r="R37" s="76"/>
      <c r="S37" s="76"/>
      <c r="T37" s="76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</row>
    <row r="38" spans="1:32" s="63" customFormat="1" ht="15" customHeight="1">
      <c r="A38" s="63" t="s">
        <v>35</v>
      </c>
      <c r="B38" s="78">
        <f ca="1">INDIRECT("'("&amp;$A$4&amp;"d)'!C34")</f>
        <v>13</v>
      </c>
      <c r="C38" s="78"/>
      <c r="D38" s="78">
        <f ca="1">INDIRECT("'("&amp;$A$4&amp;"d)'!d34")</f>
        <v>3</v>
      </c>
      <c r="E38" s="78">
        <f ca="1">INDIRECT("'("&amp;$A$4&amp;"d)'!e34")</f>
        <v>0</v>
      </c>
      <c r="F38" s="78"/>
      <c r="G38" s="78">
        <f ca="1">INDIRECT("'("&amp;$A$4&amp;"d)'!f34")</f>
        <v>0</v>
      </c>
      <c r="H38" s="62"/>
      <c r="J38" s="74"/>
      <c r="K38" s="74"/>
      <c r="M38" s="74"/>
      <c r="N38" s="74"/>
      <c r="P38" s="76"/>
      <c r="Q38" s="76"/>
      <c r="R38" s="76"/>
      <c r="S38" s="76"/>
      <c r="T38" s="76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</row>
    <row r="39" spans="1:32" s="63" customFormat="1" ht="15" customHeight="1">
      <c r="A39" s="63" t="s">
        <v>36</v>
      </c>
      <c r="B39" s="78">
        <f ca="1">INDIRECT("'("&amp;$A$4&amp;"d)'!C35")</f>
        <v>8</v>
      </c>
      <c r="C39" s="78"/>
      <c r="D39" s="78">
        <f ca="1">INDIRECT("'("&amp;$A$4&amp;"d)'!d35")</f>
        <v>0</v>
      </c>
      <c r="E39" s="78">
        <f ca="1">INDIRECT("'("&amp;$A$4&amp;"d)'!e35")</f>
        <v>0</v>
      </c>
      <c r="F39" s="78"/>
      <c r="G39" s="78">
        <f ca="1">INDIRECT("'("&amp;$A$4&amp;"d)'!f35")</f>
        <v>0</v>
      </c>
      <c r="H39" s="62"/>
      <c r="J39" s="74"/>
      <c r="K39" s="74"/>
      <c r="M39" s="74"/>
      <c r="N39" s="74"/>
      <c r="P39" s="76"/>
      <c r="Q39" s="76"/>
      <c r="R39" s="76"/>
      <c r="S39" s="76"/>
      <c r="T39" s="76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</row>
    <row r="40" spans="1:32" s="63" customFormat="1" ht="15" customHeight="1">
      <c r="A40" s="62" t="s">
        <v>37</v>
      </c>
      <c r="B40" s="78">
        <f ca="1">INDIRECT("'("&amp;$A$4&amp;"d)'!C36")</f>
        <v>9</v>
      </c>
      <c r="C40" s="78"/>
      <c r="D40" s="78">
        <f ca="1">INDIRECT("'("&amp;$A$4&amp;"d)'!d36")</f>
        <v>0</v>
      </c>
      <c r="E40" s="78">
        <f ca="1">INDIRECT("'("&amp;$A$4&amp;"d)'!e36")</f>
        <v>0</v>
      </c>
      <c r="F40" s="78"/>
      <c r="G40" s="78">
        <f ca="1">INDIRECT("'("&amp;$A$4&amp;"d)'!f36")</f>
        <v>0</v>
      </c>
      <c r="H40" s="62"/>
      <c r="J40" s="74"/>
      <c r="K40" s="74"/>
      <c r="M40" s="74"/>
      <c r="N40" s="74"/>
      <c r="P40" s="76"/>
      <c r="Q40" s="76"/>
      <c r="R40" s="76"/>
      <c r="S40" s="76"/>
      <c r="T40" s="76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</row>
    <row r="41" spans="1:32" s="63" customFormat="1" ht="15" customHeight="1">
      <c r="A41" s="62" t="s">
        <v>38</v>
      </c>
      <c r="B41" s="78">
        <f ca="1">INDIRECT("'("&amp;$A$4&amp;"d)'!C37")</f>
        <v>6</v>
      </c>
      <c r="C41" s="78"/>
      <c r="D41" s="78">
        <f ca="1">INDIRECT("'("&amp;$A$4&amp;"d)'!d37")</f>
        <v>1</v>
      </c>
      <c r="E41" s="78">
        <f ca="1">INDIRECT("'("&amp;$A$4&amp;"d)'!e37")</f>
        <v>0</v>
      </c>
      <c r="F41" s="78"/>
      <c r="G41" s="78">
        <f ca="1">INDIRECT("'("&amp;$A$4&amp;"d)'!f37")</f>
        <v>0</v>
      </c>
      <c r="H41" s="62"/>
      <c r="J41" s="74"/>
      <c r="K41" s="74"/>
      <c r="M41" s="74"/>
      <c r="N41" s="74"/>
      <c r="P41" s="76"/>
      <c r="Q41" s="76"/>
      <c r="R41" s="76"/>
      <c r="S41" s="76"/>
      <c r="T41" s="76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</row>
    <row r="42" spans="1:32" s="63" customFormat="1" ht="15" customHeight="1">
      <c r="A42" s="62" t="s">
        <v>39</v>
      </c>
      <c r="B42" s="78">
        <f ca="1">INDIRECT("'("&amp;$A$4&amp;"d)'!C38")</f>
        <v>6</v>
      </c>
      <c r="C42" s="78"/>
      <c r="D42" s="78">
        <f ca="1">INDIRECT("'("&amp;$A$4&amp;"d)'!d38")</f>
        <v>0</v>
      </c>
      <c r="E42" s="78">
        <f ca="1">INDIRECT("'("&amp;$A$4&amp;"d)'!e38")</f>
        <v>1</v>
      </c>
      <c r="F42" s="78"/>
      <c r="G42" s="78">
        <f ca="1">INDIRECT("'("&amp;$A$4&amp;"d)'!f38")</f>
        <v>0</v>
      </c>
      <c r="H42" s="62"/>
      <c r="J42" s="74"/>
      <c r="K42" s="74"/>
      <c r="M42" s="74"/>
      <c r="N42" s="74"/>
      <c r="P42" s="76"/>
      <c r="Q42" s="76"/>
      <c r="R42" s="76"/>
      <c r="S42" s="76"/>
      <c r="T42" s="76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</row>
    <row r="43" spans="1:32" s="63" customFormat="1" ht="15" customHeight="1">
      <c r="A43" s="62" t="s">
        <v>40</v>
      </c>
      <c r="B43" s="78">
        <f ca="1">INDIRECT("'("&amp;$A$4&amp;"d)'!C39")</f>
        <v>13</v>
      </c>
      <c r="C43" s="78"/>
      <c r="D43" s="78">
        <f ca="1">INDIRECT("'("&amp;$A$4&amp;"d)'!d39")</f>
        <v>1</v>
      </c>
      <c r="E43" s="78">
        <f ca="1">INDIRECT("'("&amp;$A$4&amp;"d)'!e39")</f>
        <v>0</v>
      </c>
      <c r="F43" s="78"/>
      <c r="G43" s="78">
        <f ca="1">INDIRECT("'("&amp;$A$4&amp;"d)'!f39")</f>
        <v>0</v>
      </c>
      <c r="H43" s="62"/>
      <c r="J43" s="74"/>
      <c r="K43" s="74"/>
      <c r="M43" s="74"/>
      <c r="N43" s="74"/>
      <c r="P43" s="76"/>
      <c r="Q43" s="76"/>
      <c r="R43" s="76"/>
      <c r="S43" s="76"/>
      <c r="T43" s="76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</row>
    <row r="44" spans="1:32" s="63" customFormat="1" ht="15" customHeight="1">
      <c r="A44" s="62" t="s">
        <v>41</v>
      </c>
      <c r="B44" s="78">
        <f ca="1">INDIRECT("'("&amp;$A$4&amp;"d)'!C40")</f>
        <v>11</v>
      </c>
      <c r="C44" s="78"/>
      <c r="D44" s="78">
        <f ca="1">INDIRECT("'("&amp;$A$4&amp;"d)'!d40")</f>
        <v>2</v>
      </c>
      <c r="E44" s="78">
        <f ca="1">INDIRECT("'("&amp;$A$4&amp;"d)'!e40")</f>
        <v>0</v>
      </c>
      <c r="F44" s="78"/>
      <c r="G44" s="78">
        <f ca="1">INDIRECT("'("&amp;$A$4&amp;"d)'!f40")</f>
        <v>0</v>
      </c>
      <c r="H44" s="62"/>
      <c r="J44" s="74"/>
      <c r="K44" s="74"/>
      <c r="M44" s="74"/>
      <c r="N44" s="74"/>
      <c r="P44" s="76"/>
      <c r="Q44" s="76"/>
      <c r="R44" s="76"/>
      <c r="S44" s="76"/>
      <c r="T44" s="76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</row>
    <row r="45" spans="1:32" s="63" customFormat="1" ht="15" customHeight="1">
      <c r="A45" s="62" t="s">
        <v>42</v>
      </c>
      <c r="B45" s="78">
        <f ca="1">INDIRECT("'("&amp;$A$4&amp;"d)'!C41")</f>
        <v>11</v>
      </c>
      <c r="C45" s="78"/>
      <c r="D45" s="78">
        <f ca="1">INDIRECT("'("&amp;$A$4&amp;"d)'!d41")</f>
        <v>3</v>
      </c>
      <c r="E45" s="78">
        <f ca="1">INDIRECT("'("&amp;$A$4&amp;"d)'!e41")</f>
        <v>0</v>
      </c>
      <c r="F45" s="78"/>
      <c r="G45" s="78">
        <f ca="1">INDIRECT("'("&amp;$A$4&amp;"d)'!f41")</f>
        <v>0</v>
      </c>
      <c r="H45" s="62"/>
      <c r="J45" s="74"/>
      <c r="K45" s="74"/>
      <c r="M45" s="74"/>
      <c r="N45" s="74"/>
      <c r="P45" s="76"/>
      <c r="Q45" s="76"/>
      <c r="R45" s="76"/>
      <c r="S45" s="76"/>
      <c r="T45" s="76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</row>
    <row r="46" spans="1:32" s="63" customFormat="1" ht="15" customHeight="1">
      <c r="A46" s="62" t="s">
        <v>43</v>
      </c>
      <c r="B46" s="78">
        <f ca="1">INDIRECT("'("&amp;$A$4&amp;"d)'!C42")</f>
        <v>16</v>
      </c>
      <c r="C46" s="78"/>
      <c r="D46" s="78">
        <f ca="1">INDIRECT("'("&amp;$A$4&amp;"d)'!d42")</f>
        <v>1</v>
      </c>
      <c r="E46" s="78">
        <f ca="1">INDIRECT("'("&amp;$A$4&amp;"d)'!e42")</f>
        <v>0</v>
      </c>
      <c r="F46" s="78"/>
      <c r="G46" s="78">
        <f ca="1">INDIRECT("'("&amp;$A$4&amp;"d)'!f42")</f>
        <v>0</v>
      </c>
      <c r="H46" s="62"/>
      <c r="J46" s="74"/>
      <c r="K46" s="74"/>
      <c r="M46" s="74"/>
      <c r="N46" s="74"/>
      <c r="P46" s="76"/>
      <c r="Q46" s="76"/>
      <c r="R46" s="76"/>
      <c r="S46" s="76"/>
      <c r="T46" s="76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</row>
    <row r="47" spans="1:32" s="63" customFormat="1" ht="15" customHeight="1">
      <c r="A47" s="62" t="s">
        <v>44</v>
      </c>
      <c r="B47" s="78">
        <f ca="1">INDIRECT("'("&amp;$A$4&amp;"d)'!C43")</f>
        <v>7</v>
      </c>
      <c r="C47" s="78"/>
      <c r="D47" s="78">
        <f ca="1">INDIRECT("'("&amp;$A$4&amp;"d)'!d43")</f>
        <v>0</v>
      </c>
      <c r="E47" s="78">
        <f ca="1">INDIRECT("'("&amp;$A$4&amp;"d)'!e43")</f>
        <v>0</v>
      </c>
      <c r="F47" s="78"/>
      <c r="G47" s="78">
        <f ca="1">INDIRECT("'("&amp;$A$4&amp;"d)'!f43")</f>
        <v>0</v>
      </c>
      <c r="H47" s="62"/>
      <c r="J47" s="74"/>
      <c r="K47" s="74"/>
      <c r="M47" s="74"/>
      <c r="N47" s="74"/>
      <c r="P47" s="76"/>
      <c r="Q47" s="76"/>
      <c r="R47" s="76"/>
      <c r="S47" s="76"/>
      <c r="T47" s="76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</row>
    <row r="48" spans="1:32" s="63" customFormat="1" ht="15" customHeight="1">
      <c r="A48" s="62" t="s">
        <v>45</v>
      </c>
      <c r="B48" s="78" t="str">
        <f ca="1">INDIRECT("'("&amp;$A$4&amp;"d)'!C44")</f>
        <v>..</v>
      </c>
      <c r="C48" s="78"/>
      <c r="D48" s="78" t="str">
        <f ca="1">INDIRECT("'("&amp;$A$4&amp;"d)'!d44")</f>
        <v>..</v>
      </c>
      <c r="E48" s="78" t="str">
        <f ca="1">INDIRECT("'("&amp;$A$4&amp;"d)'!e44")</f>
        <v>..</v>
      </c>
      <c r="F48" s="78"/>
      <c r="G48" s="78" t="str">
        <f ca="1">INDIRECT("'("&amp;$A$4&amp;"d)'!f44")</f>
        <v>..</v>
      </c>
      <c r="H48" s="62"/>
      <c r="J48" s="74"/>
      <c r="K48" s="74"/>
      <c r="M48" s="74"/>
      <c r="N48" s="74"/>
      <c r="P48" s="76"/>
      <c r="Q48" s="76"/>
      <c r="R48" s="76"/>
      <c r="S48" s="76"/>
      <c r="T48" s="76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</row>
    <row r="49" spans="1:32" s="63" customFormat="1" ht="15" customHeight="1">
      <c r="A49" s="62" t="s">
        <v>46</v>
      </c>
      <c r="B49" s="189">
        <f ca="1">INDIRECT("'("&amp;$A$4&amp;"d)'!C45")</f>
        <v>0</v>
      </c>
      <c r="C49" s="189"/>
      <c r="D49" s="189">
        <f ca="1">INDIRECT("'("&amp;$A$4&amp;"d)'!d45")</f>
        <v>0</v>
      </c>
      <c r="E49" s="189">
        <f ca="1">INDIRECT("'("&amp;$A$4&amp;"d)'!e45")</f>
        <v>0</v>
      </c>
      <c r="F49" s="189"/>
      <c r="G49" s="189">
        <f ca="1">INDIRECT("'("&amp;$A$4&amp;"d)'!f45")</f>
        <v>0</v>
      </c>
      <c r="H49" s="62"/>
      <c r="J49" s="74"/>
      <c r="K49" s="74"/>
      <c r="M49" s="74"/>
      <c r="N49" s="74"/>
      <c r="P49" s="76"/>
      <c r="Q49" s="76"/>
      <c r="R49" s="76"/>
      <c r="S49" s="76"/>
      <c r="T49" s="76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spans="1:32" s="63" customFormat="1" ht="15" customHeight="1">
      <c r="A50" s="80" t="s">
        <v>47</v>
      </c>
      <c r="B50" s="90">
        <f ca="1">INDIRECT("'("&amp;$A$4&amp;"d)'!C46")</f>
        <v>118</v>
      </c>
      <c r="C50" s="90"/>
      <c r="D50" s="90">
        <f ca="1">INDIRECT("'("&amp;$A$4&amp;"d)'!d46")</f>
        <v>15</v>
      </c>
      <c r="E50" s="90">
        <f ca="1">INDIRECT("'("&amp;$A$4&amp;"d)'!e46")</f>
        <v>5</v>
      </c>
      <c r="F50" s="90"/>
      <c r="G50" s="90">
        <f ca="1">INDIRECT("'("&amp;$A$4&amp;"d)'!f46")</f>
        <v>0</v>
      </c>
      <c r="H50" s="62"/>
      <c r="J50" s="74"/>
      <c r="K50" s="74"/>
      <c r="M50" s="74"/>
      <c r="N50" s="74"/>
      <c r="P50" s="76"/>
      <c r="Q50" s="76"/>
      <c r="R50" s="76"/>
      <c r="S50" s="76"/>
      <c r="T50" s="76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</row>
    <row r="51" spans="1:32" s="63" customFormat="1" ht="15" customHeight="1">
      <c r="A51" s="62" t="s">
        <v>48</v>
      </c>
      <c r="B51" s="78">
        <f ca="1">INDIRECT("'("&amp;$A$4&amp;"d)'!C47")</f>
        <v>17</v>
      </c>
      <c r="C51" s="78"/>
      <c r="D51" s="78">
        <f ca="1">INDIRECT("'("&amp;$A$4&amp;"d)'!d47")</f>
        <v>3</v>
      </c>
      <c r="E51" s="78">
        <f ca="1">INDIRECT("'("&amp;$A$4&amp;"d)'!e47")</f>
        <v>2</v>
      </c>
      <c r="F51" s="78"/>
      <c r="G51" s="78">
        <f ca="1">INDIRECT("'("&amp;$A$4&amp;"d)'!f47")</f>
        <v>0</v>
      </c>
      <c r="H51" s="62"/>
      <c r="J51" s="74"/>
      <c r="K51" s="74"/>
      <c r="M51" s="74"/>
      <c r="N51" s="74"/>
      <c r="P51" s="76"/>
      <c r="Q51" s="76"/>
      <c r="R51" s="76"/>
      <c r="S51" s="76"/>
      <c r="T51" s="76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</row>
    <row r="52" spans="1:32" s="63" customFormat="1" ht="15" customHeight="1">
      <c r="A52" s="62" t="s">
        <v>49</v>
      </c>
      <c r="B52" s="78">
        <f ca="1">INDIRECT("'("&amp;$A$4&amp;"d)'!C48")</f>
        <v>21</v>
      </c>
      <c r="C52" s="78"/>
      <c r="D52" s="78">
        <f ca="1">INDIRECT("'("&amp;$A$4&amp;"d)'!d48")</f>
        <v>5</v>
      </c>
      <c r="E52" s="78">
        <f ca="1">INDIRECT("'("&amp;$A$4&amp;"d)'!e48")</f>
        <v>1</v>
      </c>
      <c r="F52" s="78"/>
      <c r="G52" s="78">
        <f ca="1">INDIRECT("'("&amp;$A$4&amp;"d)'!f48")</f>
        <v>0</v>
      </c>
      <c r="H52" s="62"/>
      <c r="J52" s="74"/>
      <c r="K52" s="74"/>
      <c r="M52" s="74"/>
      <c r="N52" s="74"/>
      <c r="P52" s="76"/>
      <c r="Q52" s="76"/>
      <c r="R52" s="76"/>
      <c r="S52" s="76"/>
      <c r="T52" s="76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</row>
    <row r="53" spans="1:32" s="63" customFormat="1" ht="15" customHeight="1">
      <c r="A53" s="62" t="s">
        <v>50</v>
      </c>
      <c r="B53" s="78">
        <f ca="1">INDIRECT("'("&amp;$A$4&amp;"d)'!C49")</f>
        <v>4</v>
      </c>
      <c r="C53" s="78"/>
      <c r="D53" s="78">
        <f ca="1">INDIRECT("'("&amp;$A$4&amp;"d)'!d49")</f>
        <v>1</v>
      </c>
      <c r="E53" s="78">
        <f ca="1">INDIRECT("'("&amp;$A$4&amp;"d)'!e49")</f>
        <v>2</v>
      </c>
      <c r="F53" s="78"/>
      <c r="G53" s="78">
        <f ca="1">INDIRECT("'("&amp;$A$4&amp;"d)'!f49")</f>
        <v>0</v>
      </c>
      <c r="H53" s="62"/>
      <c r="J53" s="74"/>
      <c r="K53" s="74"/>
      <c r="M53" s="74"/>
      <c r="N53" s="74"/>
      <c r="P53" s="76"/>
      <c r="Q53" s="76"/>
      <c r="R53" s="76"/>
      <c r="S53" s="76"/>
      <c r="T53" s="76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</row>
    <row r="54" spans="1:32" s="63" customFormat="1" ht="15" customHeight="1">
      <c r="A54" s="62" t="s">
        <v>51</v>
      </c>
      <c r="B54" s="78">
        <f ca="1">INDIRECT("'("&amp;$A$4&amp;"d)'!C50")</f>
        <v>8</v>
      </c>
      <c r="C54" s="78"/>
      <c r="D54" s="78">
        <f ca="1">INDIRECT("'("&amp;$A$4&amp;"d)'!d50")</f>
        <v>2</v>
      </c>
      <c r="E54" s="78">
        <f ca="1">INDIRECT("'("&amp;$A$4&amp;"d)'!e50")</f>
        <v>0</v>
      </c>
      <c r="F54" s="78"/>
      <c r="G54" s="78">
        <f ca="1">INDIRECT("'("&amp;$A$4&amp;"d)'!f50")</f>
        <v>0</v>
      </c>
      <c r="H54" s="62"/>
      <c r="J54" s="74"/>
      <c r="K54" s="74"/>
      <c r="M54" s="74"/>
      <c r="N54" s="74"/>
      <c r="P54" s="76"/>
      <c r="Q54" s="76"/>
      <c r="R54" s="76"/>
      <c r="S54" s="76"/>
      <c r="T54" s="76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</row>
    <row r="55" spans="1:32" s="63" customFormat="1" ht="15" customHeight="1">
      <c r="A55" s="62" t="s">
        <v>52</v>
      </c>
      <c r="B55" s="78">
        <f ca="1">INDIRECT("'("&amp;$A$4&amp;"d)'!C51")</f>
        <v>36</v>
      </c>
      <c r="C55" s="78"/>
      <c r="D55" s="78">
        <f ca="1">INDIRECT("'("&amp;$A$4&amp;"d)'!d51")</f>
        <v>2</v>
      </c>
      <c r="E55" s="78">
        <f ca="1">INDIRECT("'("&amp;$A$4&amp;"d)'!e51")</f>
        <v>0</v>
      </c>
      <c r="F55" s="78"/>
      <c r="G55" s="78">
        <f ca="1">INDIRECT("'("&amp;$A$4&amp;"d)'!f51")</f>
        <v>0</v>
      </c>
      <c r="H55" s="62"/>
      <c r="J55" s="74"/>
      <c r="K55" s="74"/>
      <c r="L55" s="62"/>
      <c r="M55" s="74"/>
      <c r="N55" s="74"/>
      <c r="P55" s="76"/>
      <c r="Q55" s="76"/>
      <c r="R55" s="76"/>
      <c r="S55" s="76"/>
      <c r="T55" s="76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</row>
    <row r="56" spans="1:32" s="63" customFormat="1" ht="15" customHeight="1">
      <c r="A56" s="62" t="s">
        <v>53</v>
      </c>
      <c r="B56" s="78">
        <f ca="1">INDIRECT("'("&amp;$A$4&amp;"d)'!C52")</f>
        <v>18</v>
      </c>
      <c r="C56" s="78"/>
      <c r="D56" s="78">
        <f ca="1">INDIRECT("'("&amp;$A$4&amp;"d)'!d52")</f>
        <v>1</v>
      </c>
      <c r="E56" s="78">
        <f ca="1">INDIRECT("'("&amp;$A$4&amp;"d)'!e52")</f>
        <v>0</v>
      </c>
      <c r="F56" s="78"/>
      <c r="G56" s="78">
        <f ca="1">INDIRECT("'("&amp;$A$4&amp;"d)'!f52")</f>
        <v>0</v>
      </c>
      <c r="H56" s="62"/>
      <c r="J56" s="74"/>
      <c r="K56" s="74"/>
      <c r="L56" s="62"/>
      <c r="M56" s="74"/>
      <c r="N56" s="74"/>
      <c r="P56" s="76"/>
      <c r="Q56" s="76"/>
      <c r="R56" s="76"/>
      <c r="S56" s="76"/>
      <c r="T56" s="76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</row>
    <row r="57" spans="1:32" s="63" customFormat="1" ht="15" customHeight="1" thickBot="1">
      <c r="A57" s="81" t="s">
        <v>54</v>
      </c>
      <c r="B57" s="82">
        <f ca="1">INDIRECT("'("&amp;$A$4&amp;"d)'!C53")</f>
        <v>14</v>
      </c>
      <c r="C57" s="82"/>
      <c r="D57" s="82">
        <f ca="1">INDIRECT("'("&amp;$A$4&amp;"d)'!d53")</f>
        <v>1</v>
      </c>
      <c r="E57" s="82">
        <f ca="1">INDIRECT("'("&amp;$A$4&amp;"d)'!e53")</f>
        <v>0</v>
      </c>
      <c r="F57" s="82"/>
      <c r="G57" s="82">
        <f ca="1">INDIRECT("'("&amp;$A$4&amp;"d)'!f53")</f>
        <v>0</v>
      </c>
      <c r="H57" s="62"/>
      <c r="J57" s="74"/>
      <c r="K57" s="74"/>
      <c r="L57" s="62"/>
      <c r="M57" s="74"/>
      <c r="N57" s="74"/>
      <c r="P57" s="76"/>
      <c r="Q57" s="76"/>
      <c r="R57" s="76"/>
      <c r="S57" s="76"/>
      <c r="T57" s="76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</row>
    <row r="58" spans="1:32">
      <c r="J58" s="74"/>
      <c r="K58" s="74"/>
      <c r="M58" s="74"/>
      <c r="N58" s="74"/>
      <c r="O58" s="74"/>
      <c r="P58" s="74"/>
      <c r="Q58" s="74"/>
      <c r="R58" s="74"/>
      <c r="S58" s="74"/>
      <c r="T58" s="74"/>
    </row>
    <row r="59" spans="1:32" s="63" customFormat="1" ht="15" customHeight="1">
      <c r="A59" s="231"/>
      <c r="B59" s="231"/>
      <c r="C59" s="231"/>
      <c r="D59" s="231"/>
      <c r="E59" s="231"/>
      <c r="F59" s="231"/>
      <c r="G59" s="231"/>
      <c r="H59" s="62"/>
      <c r="I59" s="62"/>
      <c r="J59" s="74"/>
      <c r="K59" s="74"/>
      <c r="L59" s="62"/>
      <c r="M59" s="74"/>
      <c r="N59" s="74"/>
      <c r="O59" s="74"/>
      <c r="P59" s="74"/>
      <c r="Q59" s="74"/>
      <c r="R59" s="74"/>
      <c r="S59" s="74"/>
      <c r="T59" s="74"/>
    </row>
    <row r="60" spans="1:32" s="63" customFormat="1" ht="15" customHeight="1">
      <c r="A60" s="237"/>
      <c r="B60" s="237"/>
      <c r="C60" s="237"/>
      <c r="D60" s="237"/>
      <c r="E60" s="237"/>
      <c r="F60" s="237"/>
      <c r="G60" s="237"/>
      <c r="H60" s="62"/>
      <c r="I60" s="62"/>
      <c r="J60" s="74"/>
      <c r="K60" s="74"/>
      <c r="L60" s="62"/>
      <c r="M60" s="74"/>
      <c r="N60" s="74"/>
      <c r="O60" s="74"/>
      <c r="P60" s="74"/>
      <c r="Q60" s="74"/>
      <c r="R60" s="74"/>
      <c r="S60" s="74"/>
      <c r="T60" s="74"/>
    </row>
    <row r="61" spans="1:32" s="63" customFormat="1" ht="15" customHeight="1">
      <c r="A61" s="84"/>
      <c r="B61" s="62"/>
      <c r="C61" s="62"/>
      <c r="D61" s="62"/>
      <c r="E61" s="62"/>
      <c r="F61" s="62"/>
      <c r="G61" s="62"/>
      <c r="H61" s="62"/>
      <c r="I61" s="62"/>
      <c r="J61" s="74"/>
      <c r="K61" s="74"/>
      <c r="L61" s="62"/>
      <c r="M61" s="74"/>
      <c r="N61" s="74"/>
      <c r="O61" s="74"/>
      <c r="P61" s="74"/>
      <c r="Q61" s="74"/>
      <c r="R61" s="74"/>
      <c r="S61" s="74"/>
      <c r="T61" s="74"/>
    </row>
    <row r="62" spans="1:32" s="63" customFormat="1">
      <c r="A62" s="231"/>
      <c r="B62" s="231"/>
      <c r="C62" s="231"/>
      <c r="D62" s="231"/>
      <c r="E62" s="231"/>
      <c r="F62" s="231"/>
      <c r="G62" s="231"/>
      <c r="H62" s="62"/>
      <c r="I62" s="62"/>
      <c r="J62" s="74"/>
      <c r="K62" s="74"/>
      <c r="L62" s="62"/>
      <c r="M62" s="74"/>
      <c r="N62" s="74"/>
      <c r="O62" s="74"/>
      <c r="P62" s="74"/>
      <c r="Q62" s="74"/>
      <c r="R62" s="74"/>
      <c r="S62" s="74"/>
      <c r="T62" s="74"/>
    </row>
    <row r="63" spans="1:32" s="63" customFormat="1" ht="15" customHeight="1">
      <c r="A63" s="85"/>
      <c r="B63" s="85"/>
      <c r="C63" s="85"/>
      <c r="D63" s="85"/>
      <c r="E63" s="85"/>
      <c r="F63" s="85"/>
      <c r="G63" s="85"/>
      <c r="H63" s="62"/>
      <c r="I63" s="62"/>
      <c r="J63" s="74"/>
      <c r="K63" s="74"/>
      <c r="L63" s="62"/>
      <c r="M63" s="74"/>
      <c r="N63" s="74"/>
      <c r="O63" s="74"/>
      <c r="P63" s="74"/>
      <c r="Q63" s="74"/>
      <c r="R63" s="74"/>
      <c r="S63" s="74"/>
      <c r="T63" s="74"/>
    </row>
    <row r="64" spans="1:32" s="63" customFormat="1" ht="15" customHeight="1">
      <c r="A64" s="62"/>
      <c r="B64" s="60"/>
      <c r="C64" s="60"/>
      <c r="D64" s="60"/>
      <c r="E64" s="60"/>
      <c r="F64" s="60"/>
      <c r="G64" s="60"/>
      <c r="L64" s="62"/>
    </row>
    <row r="65" spans="1:12" s="63" customFormat="1" ht="15" customHeight="1">
      <c r="A65" s="86"/>
      <c r="B65" s="60"/>
      <c r="C65" s="60"/>
      <c r="D65" s="60"/>
      <c r="E65" s="60"/>
      <c r="F65" s="60"/>
      <c r="G65" s="60"/>
      <c r="L65" s="62"/>
    </row>
    <row r="66" spans="1:12" s="63" customFormat="1" ht="15" customHeight="1">
      <c r="A66" s="86"/>
      <c r="B66" s="60"/>
      <c r="C66" s="60"/>
      <c r="D66" s="60"/>
      <c r="E66" s="60"/>
      <c r="F66" s="60"/>
      <c r="G66" s="60"/>
      <c r="L66" s="62"/>
    </row>
    <row r="67" spans="1:12" s="63" customFormat="1">
      <c r="A67" s="231"/>
      <c r="B67" s="231"/>
      <c r="C67" s="231"/>
      <c r="D67" s="231"/>
      <c r="E67" s="231"/>
      <c r="F67" s="231"/>
      <c r="G67" s="231"/>
      <c r="L67" s="62"/>
    </row>
    <row r="69" spans="1:12" s="63" customFormat="1">
      <c r="A69" s="62"/>
      <c r="B69" s="62"/>
      <c r="C69" s="62"/>
      <c r="D69" s="62"/>
      <c r="E69" s="62"/>
      <c r="F69" s="62"/>
      <c r="G69" s="62"/>
      <c r="L69" s="62"/>
    </row>
    <row r="70" spans="1:12" s="63" customFormat="1" ht="15">
      <c r="A70" s="86"/>
      <c r="B70" s="62"/>
      <c r="C70" s="62"/>
      <c r="D70" s="62"/>
      <c r="E70" s="62"/>
      <c r="F70" s="62"/>
      <c r="G70" s="62"/>
      <c r="L70" s="62"/>
    </row>
    <row r="77" spans="1:12">
      <c r="J77" s="62" t="s">
        <v>70</v>
      </c>
      <c r="K77" s="63"/>
    </row>
    <row r="78" spans="1:12">
      <c r="J78" s="62" t="s">
        <v>71</v>
      </c>
    </row>
    <row r="79" spans="1:12">
      <c r="J79" s="62" t="s">
        <v>72</v>
      </c>
    </row>
    <row r="80" spans="1:12">
      <c r="J80" s="62" t="s">
        <v>73</v>
      </c>
    </row>
    <row r="81" spans="10:10">
      <c r="J81" s="62" t="s">
        <v>74</v>
      </c>
    </row>
    <row r="82" spans="10:10">
      <c r="J82" s="62" t="s">
        <v>75</v>
      </c>
    </row>
    <row r="83" spans="10:10">
      <c r="J83" s="62" t="s">
        <v>76</v>
      </c>
    </row>
  </sheetData>
  <mergeCells count="9">
    <mergeCell ref="A60:G60"/>
    <mergeCell ref="A62:G62"/>
    <mergeCell ref="A67:G67"/>
    <mergeCell ref="A1:G1"/>
    <mergeCell ref="A4:G4"/>
    <mergeCell ref="B6:B7"/>
    <mergeCell ref="D6:E6"/>
    <mergeCell ref="G6:G7"/>
    <mergeCell ref="A59:G59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F0"/>
  </sheetPr>
  <dimension ref="A1:AF84"/>
  <sheetViews>
    <sheetView tabSelected="1" workbookViewId="0">
      <pane ySplit="8" topLeftCell="A9" activePane="bottomLeft" state="frozen"/>
      <selection pane="bottomLeft" activeCell="A4" sqref="A4:G4"/>
    </sheetView>
  </sheetViews>
  <sheetFormatPr defaultRowHeight="12.75"/>
  <cols>
    <col min="1" max="1" width="41.5703125" style="62" customWidth="1"/>
    <col min="2" max="2" width="17.7109375" style="62" customWidth="1"/>
    <col min="3" max="3" width="5.7109375" style="62" customWidth="1"/>
    <col min="4" max="5" width="17.7109375" style="62" customWidth="1"/>
    <col min="6" max="6" width="5.7109375" style="62" customWidth="1"/>
    <col min="7" max="7" width="17.7109375" style="62" customWidth="1"/>
    <col min="8" max="8" width="9.140625" style="62" customWidth="1"/>
    <col min="9" max="11" width="9.140625" style="62" hidden="1" customWidth="1"/>
    <col min="12" max="12" width="10" style="62" bestFit="1" customWidth="1"/>
    <col min="13" max="13" width="11.85546875" style="62" customWidth="1"/>
    <col min="14" max="18" width="9.140625" style="62"/>
    <col min="19" max="19" width="11" style="62" customWidth="1"/>
    <col min="20" max="16384" width="9.140625" style="62"/>
  </cols>
  <sheetData>
    <row r="1" spans="1:32" s="61" customFormat="1" ht="45" customHeight="1">
      <c r="A1" s="235" t="s">
        <v>124</v>
      </c>
      <c r="B1" s="235"/>
      <c r="C1" s="235"/>
      <c r="D1" s="235"/>
      <c r="E1" s="235"/>
      <c r="F1" s="235"/>
      <c r="G1" s="235"/>
      <c r="H1" s="59"/>
      <c r="I1" s="59"/>
      <c r="J1" s="60"/>
      <c r="K1" s="60"/>
    </row>
    <row r="2" spans="1:32" s="63" customFormat="1" ht="1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32" s="63" customFormat="1" ht="15" customHeight="1">
      <c r="A3" s="64" t="s">
        <v>66</v>
      </c>
      <c r="B3" s="65"/>
      <c r="C3" s="65"/>
      <c r="D3" s="65"/>
      <c r="E3" s="65"/>
      <c r="F3" s="65"/>
      <c r="G3" s="65"/>
      <c r="H3" s="62"/>
      <c r="I3" s="62"/>
      <c r="J3" s="62"/>
      <c r="K3" s="62"/>
    </row>
    <row r="4" spans="1:32" s="63" customFormat="1" ht="15" customHeight="1">
      <c r="A4" s="236" t="s">
        <v>127</v>
      </c>
      <c r="B4" s="236"/>
      <c r="C4" s="236"/>
      <c r="D4" s="236"/>
      <c r="E4" s="236"/>
      <c r="F4" s="236"/>
      <c r="G4" s="236"/>
      <c r="H4" s="62"/>
      <c r="I4" s="62"/>
      <c r="J4" s="62"/>
      <c r="K4" s="62"/>
      <c r="L4" s="62"/>
    </row>
    <row r="5" spans="1:32" s="63" customFormat="1" ht="13.5" thickBot="1">
      <c r="A5" s="62"/>
      <c r="B5" s="92"/>
      <c r="C5" s="92"/>
      <c r="D5" s="92"/>
      <c r="E5" s="92"/>
      <c r="F5" s="92"/>
      <c r="G5" s="92"/>
      <c r="H5" s="62"/>
      <c r="I5" s="62"/>
      <c r="J5" s="68"/>
      <c r="K5" s="68"/>
      <c r="M5" s="68"/>
      <c r="N5" s="68"/>
      <c r="P5" s="68"/>
      <c r="Q5" s="68"/>
      <c r="R5" s="68"/>
      <c r="S5" s="68"/>
      <c r="T5" s="68"/>
      <c r="W5" s="69"/>
    </row>
    <row r="6" spans="1:32" s="63" customFormat="1" ht="30" customHeight="1" thickBot="1">
      <c r="A6" s="96"/>
      <c r="B6" s="241" t="s">
        <v>1</v>
      </c>
      <c r="C6" s="97"/>
      <c r="D6" s="240" t="s">
        <v>79</v>
      </c>
      <c r="E6" s="240"/>
      <c r="F6" s="98"/>
      <c r="G6" s="241" t="s">
        <v>120</v>
      </c>
      <c r="H6" s="62"/>
      <c r="I6" s="62"/>
      <c r="J6" s="68"/>
      <c r="K6" s="68"/>
      <c r="M6" s="68"/>
      <c r="N6" s="68"/>
      <c r="P6" s="68"/>
      <c r="Q6" s="68"/>
      <c r="R6" s="68"/>
      <c r="S6" s="68"/>
      <c r="T6" s="68"/>
      <c r="W6" s="69"/>
    </row>
    <row r="7" spans="1:32" s="72" customFormat="1" ht="45" customHeight="1" thickBot="1">
      <c r="A7" s="99" t="s">
        <v>67</v>
      </c>
      <c r="B7" s="242"/>
      <c r="C7" s="100"/>
      <c r="D7" s="101" t="s">
        <v>3</v>
      </c>
      <c r="E7" s="101" t="s">
        <v>80</v>
      </c>
      <c r="F7" s="100"/>
      <c r="G7" s="242"/>
      <c r="L7" s="62"/>
    </row>
    <row r="8" spans="1:32" s="63" customFormat="1" ht="15" customHeight="1">
      <c r="A8" s="77" t="s">
        <v>6</v>
      </c>
      <c r="B8" s="73">
        <f ca="1">IF((ISNUMBER('FIRE0508a raw'!B8)),ROUND('FIRE0508a raw'!B8,0),"..")</f>
        <v>2523</v>
      </c>
      <c r="C8" s="73"/>
      <c r="D8" s="73">
        <f ca="1">IF((ISNUMBER('FIRE0508a raw'!D8)),ROUND('FIRE0508a raw'!D8,0),"..")</f>
        <v>463</v>
      </c>
      <c r="E8" s="73">
        <f ca="1">IF((ISNUMBER('FIRE0508a raw'!E8)),ROUND('FIRE0508a raw'!E8,0),"..")</f>
        <v>130</v>
      </c>
      <c r="F8" s="73"/>
      <c r="G8" s="73">
        <f ca="1">IF((ISNUMBER('FIRE0508a raw'!G8)),ROUND('FIRE0508a raw'!G8,0),"..")</f>
        <v>0</v>
      </c>
      <c r="H8" s="62"/>
      <c r="J8" s="74"/>
      <c r="K8" s="74"/>
      <c r="M8" s="74"/>
      <c r="N8" s="74"/>
      <c r="P8" s="76"/>
      <c r="Q8" s="76"/>
      <c r="R8" s="76"/>
      <c r="S8" s="76"/>
      <c r="T8" s="76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</row>
    <row r="9" spans="1:32" s="63" customFormat="1" ht="15" customHeight="1">
      <c r="A9" s="102" t="s">
        <v>68</v>
      </c>
      <c r="B9" s="73">
        <f ca="1">IF((ISNUMBER('FIRE0508a raw'!B9)),ROUND('FIRE0508a raw'!B9,0),"..")</f>
        <v>1874</v>
      </c>
      <c r="C9" s="73"/>
      <c r="D9" s="73">
        <f ca="1">IF((ISNUMBER('FIRE0508a raw'!D9)),ROUND('FIRE0508a raw'!D9,0),"..")</f>
        <v>310</v>
      </c>
      <c r="E9" s="73">
        <f ca="1">IF((ISNUMBER('FIRE0508a raw'!E9)),ROUND('FIRE0508a raw'!E9,0),"..")</f>
        <v>61</v>
      </c>
      <c r="F9" s="73"/>
      <c r="G9" s="73">
        <f ca="1">IF((ISNUMBER('FIRE0508a raw'!G9)),ROUND('FIRE0508a raw'!G9,0),"..")</f>
        <v>0</v>
      </c>
      <c r="H9" s="62"/>
      <c r="J9" s="74"/>
      <c r="K9" s="74"/>
      <c r="M9" s="74"/>
      <c r="N9" s="74"/>
      <c r="P9" s="76"/>
      <c r="Q9" s="76"/>
      <c r="R9" s="76"/>
      <c r="S9" s="76"/>
      <c r="T9" s="76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</row>
    <row r="10" spans="1:32" s="63" customFormat="1" ht="15" customHeight="1">
      <c r="A10" s="96" t="s">
        <v>8</v>
      </c>
      <c r="B10" s="189">
        <f ca="1">IF((ISNUMBER('FIRE0508a raw'!B10)),ROUND('FIRE0508a raw'!B10,0),"..")</f>
        <v>64</v>
      </c>
      <c r="C10" s="91"/>
      <c r="D10" s="189">
        <f ca="1">IF((ISNUMBER('FIRE0508a raw'!D10)),ROUND('FIRE0508a raw'!D10,0),"..")</f>
        <v>19</v>
      </c>
      <c r="E10" s="189">
        <f ca="1">IF((ISNUMBER('FIRE0508a raw'!E10)),ROUND('FIRE0508a raw'!E10,0),"..")</f>
        <v>2</v>
      </c>
      <c r="F10" s="91"/>
      <c r="G10" s="189">
        <f ca="1">IF((ISNUMBER('FIRE0508a raw'!G10)),ROUND('FIRE0508a raw'!G10,0),"..")</f>
        <v>0</v>
      </c>
      <c r="H10" s="62"/>
      <c r="J10" s="74"/>
      <c r="K10" s="74"/>
      <c r="M10" s="74"/>
      <c r="N10" s="74"/>
      <c r="P10" s="76"/>
      <c r="Q10" s="76"/>
      <c r="R10" s="76"/>
      <c r="S10" s="76"/>
      <c r="T10" s="76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</row>
    <row r="11" spans="1:32" s="63" customFormat="1" ht="15" customHeight="1">
      <c r="A11" s="96" t="s">
        <v>9</v>
      </c>
      <c r="B11" s="189">
        <f ca="1">IF((ISNUMBER('FIRE0508a raw'!B11)),ROUND('FIRE0508a raw'!B11,0),"..")</f>
        <v>32</v>
      </c>
      <c r="C11" s="91"/>
      <c r="D11" s="189">
        <f ca="1">IF((ISNUMBER('FIRE0508a raw'!D11)),ROUND('FIRE0508a raw'!D11,0),"..")</f>
        <v>3</v>
      </c>
      <c r="E11" s="189">
        <f ca="1">IF((ISNUMBER('FIRE0508a raw'!E11)),ROUND('FIRE0508a raw'!E11,0),"..")</f>
        <v>0</v>
      </c>
      <c r="F11" s="91"/>
      <c r="G11" s="189">
        <f ca="1">IF((ISNUMBER('FIRE0508a raw'!G11)),ROUND('FIRE0508a raw'!G11,0),"..")</f>
        <v>0</v>
      </c>
      <c r="H11" s="62"/>
      <c r="J11" s="74"/>
      <c r="K11" s="74"/>
      <c r="M11" s="74"/>
      <c r="N11" s="74"/>
      <c r="P11" s="76"/>
      <c r="Q11" s="76"/>
      <c r="R11" s="76"/>
      <c r="S11" s="76"/>
      <c r="T11" s="76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</row>
    <row r="12" spans="1:32" s="63" customFormat="1" ht="15" customHeight="1">
      <c r="A12" s="96" t="s">
        <v>10</v>
      </c>
      <c r="B12" s="189">
        <f ca="1">IF((ISNUMBER('FIRE0508a raw'!B12)),ROUND('FIRE0508a raw'!B12,0),"..")</f>
        <v>42</v>
      </c>
      <c r="C12" s="91"/>
      <c r="D12" s="189">
        <f ca="1">IF((ISNUMBER('FIRE0508a raw'!D12)),ROUND('FIRE0508a raw'!D12,0),"..")</f>
        <v>5</v>
      </c>
      <c r="E12" s="189">
        <f ca="1">IF((ISNUMBER('FIRE0508a raw'!E12)),ROUND('FIRE0508a raw'!E12,0),"..")</f>
        <v>0</v>
      </c>
      <c r="F12" s="91"/>
      <c r="G12" s="189">
        <f ca="1">IF((ISNUMBER('FIRE0508a raw'!G12)),ROUND('FIRE0508a raw'!G12,0),"..")</f>
        <v>0</v>
      </c>
      <c r="H12" s="62"/>
      <c r="J12" s="74"/>
      <c r="K12" s="74"/>
      <c r="M12" s="74"/>
      <c r="N12" s="74"/>
      <c r="P12" s="76"/>
      <c r="Q12" s="76"/>
      <c r="R12" s="76"/>
      <c r="S12" s="76"/>
      <c r="T12" s="76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</row>
    <row r="13" spans="1:32" s="63" customFormat="1" ht="15" customHeight="1">
      <c r="A13" s="96" t="s">
        <v>11</v>
      </c>
      <c r="B13" s="189">
        <f ca="1">IF((ISNUMBER('FIRE0508a raw'!B13)),ROUND('FIRE0508a raw'!B13,0),"..")</f>
        <v>37</v>
      </c>
      <c r="C13" s="91"/>
      <c r="D13" s="189">
        <f ca="1">IF((ISNUMBER('FIRE0508a raw'!D13)),ROUND('FIRE0508a raw'!D13,0),"..")</f>
        <v>7</v>
      </c>
      <c r="E13" s="189">
        <f ca="1">IF((ISNUMBER('FIRE0508a raw'!E13)),ROUND('FIRE0508a raw'!E13,0),"..")</f>
        <v>0</v>
      </c>
      <c r="F13" s="91"/>
      <c r="G13" s="189">
        <f ca="1">IF((ISNUMBER('FIRE0508a raw'!G13)),ROUND('FIRE0508a raw'!G13,0),"..")</f>
        <v>0</v>
      </c>
      <c r="H13" s="62"/>
      <c r="J13" s="74"/>
      <c r="K13" s="74"/>
      <c r="M13" s="74"/>
      <c r="N13" s="74"/>
      <c r="P13" s="76"/>
      <c r="Q13" s="76"/>
      <c r="R13" s="76"/>
      <c r="S13" s="76"/>
      <c r="T13" s="76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1:32" s="63" customFormat="1" ht="15" customHeight="1">
      <c r="A14" s="96" t="s">
        <v>12</v>
      </c>
      <c r="B14" s="189">
        <f ca="1">IF((ISNUMBER('FIRE0508a raw'!B14)),ROUND('FIRE0508a raw'!B14,0),"..")</f>
        <v>115</v>
      </c>
      <c r="C14" s="91"/>
      <c r="D14" s="189">
        <f ca="1">IF((ISNUMBER('FIRE0508a raw'!D14)),ROUND('FIRE0508a raw'!D14,0),"..")</f>
        <v>5</v>
      </c>
      <c r="E14" s="189">
        <f ca="1">IF((ISNUMBER('FIRE0508a raw'!E14)),ROUND('FIRE0508a raw'!E14,0),"..")</f>
        <v>7</v>
      </c>
      <c r="F14" s="91"/>
      <c r="G14" s="189">
        <f ca="1">IF((ISNUMBER('FIRE0508a raw'!G14)),ROUND('FIRE0508a raw'!G14,0),"..")</f>
        <v>0</v>
      </c>
      <c r="H14" s="62"/>
      <c r="J14" s="74"/>
      <c r="K14" s="74"/>
      <c r="M14" s="74"/>
      <c r="N14" s="74"/>
      <c r="P14" s="76"/>
      <c r="Q14" s="76"/>
      <c r="R14" s="76"/>
      <c r="S14" s="76"/>
      <c r="T14" s="76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1:32" s="63" customFormat="1" ht="15" customHeight="1">
      <c r="A15" s="96" t="s">
        <v>13</v>
      </c>
      <c r="B15" s="189">
        <f ca="1">IF((ISNUMBER('FIRE0508a raw'!B15)),ROUND('FIRE0508a raw'!B15,0),"..")</f>
        <v>13</v>
      </c>
      <c r="C15" s="91"/>
      <c r="D15" s="189">
        <f ca="1">IF((ISNUMBER('FIRE0508a raw'!D15)),ROUND('FIRE0508a raw'!D15,0),"..")</f>
        <v>1</v>
      </c>
      <c r="E15" s="189">
        <f ca="1">IF((ISNUMBER('FIRE0508a raw'!E15)),ROUND('FIRE0508a raw'!E15,0),"..")</f>
        <v>0</v>
      </c>
      <c r="F15" s="91"/>
      <c r="G15" s="189">
        <f ca="1">IF((ISNUMBER('FIRE0508a raw'!G15)),ROUND('FIRE0508a raw'!G15,0),"..")</f>
        <v>0</v>
      </c>
      <c r="H15" s="62"/>
      <c r="J15" s="74"/>
      <c r="K15" s="74"/>
      <c r="M15" s="74"/>
      <c r="N15" s="74"/>
      <c r="P15" s="76"/>
      <c r="Q15" s="76"/>
      <c r="R15" s="76"/>
      <c r="S15" s="76"/>
      <c r="T15" s="76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</row>
    <row r="16" spans="1:32" s="63" customFormat="1" ht="15" customHeight="1">
      <c r="A16" s="96" t="s">
        <v>14</v>
      </c>
      <c r="B16" s="189">
        <f ca="1">IF((ISNUMBER('FIRE0508a raw'!B16)),ROUND('FIRE0508a raw'!B16,0),"..")</f>
        <v>8</v>
      </c>
      <c r="C16" s="91"/>
      <c r="D16" s="189">
        <f ca="1">IF((ISNUMBER('FIRE0508a raw'!D16)),ROUND('FIRE0508a raw'!D16,0),"..")</f>
        <v>1</v>
      </c>
      <c r="E16" s="189">
        <f ca="1">IF((ISNUMBER('FIRE0508a raw'!E16)),ROUND('FIRE0508a raw'!E16,0),"..")</f>
        <v>1</v>
      </c>
      <c r="F16" s="91"/>
      <c r="G16" s="189">
        <f ca="1">IF((ISNUMBER('FIRE0508a raw'!G16)),ROUND('FIRE0508a raw'!G16,0),"..")</f>
        <v>0</v>
      </c>
      <c r="H16" s="62"/>
      <c r="J16" s="74"/>
      <c r="K16" s="74"/>
      <c r="M16" s="74"/>
      <c r="N16" s="74"/>
      <c r="P16" s="76"/>
      <c r="Q16" s="76"/>
      <c r="R16" s="76"/>
      <c r="S16" s="76"/>
      <c r="T16" s="76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</row>
    <row r="17" spans="1:32" s="63" customFormat="1" ht="15" customHeight="1">
      <c r="A17" s="96" t="s">
        <v>15</v>
      </c>
      <c r="B17" s="189">
        <f ca="1">IF((ISNUMBER('FIRE0508a raw'!B17)),ROUND('FIRE0508a raw'!B17,0),"..")</f>
        <v>29</v>
      </c>
      <c r="C17" s="91"/>
      <c r="D17" s="189">
        <f ca="1">IF((ISNUMBER('FIRE0508a raw'!D17)),ROUND('FIRE0508a raw'!D17,0),"..")</f>
        <v>6</v>
      </c>
      <c r="E17" s="189">
        <f ca="1">IF((ISNUMBER('FIRE0508a raw'!E17)),ROUND('FIRE0508a raw'!E17,0),"..")</f>
        <v>5</v>
      </c>
      <c r="F17" s="91"/>
      <c r="G17" s="189">
        <f ca="1">IF((ISNUMBER('FIRE0508a raw'!G17)),ROUND('FIRE0508a raw'!G17,0),"..")</f>
        <v>0</v>
      </c>
      <c r="H17" s="62"/>
      <c r="J17" s="74"/>
      <c r="K17" s="74"/>
      <c r="M17" s="74"/>
      <c r="N17" s="74"/>
      <c r="P17" s="76"/>
      <c r="Q17" s="76"/>
      <c r="R17" s="76"/>
      <c r="S17" s="76"/>
      <c r="T17" s="76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</row>
    <row r="18" spans="1:32" s="63" customFormat="1" ht="15" customHeight="1">
      <c r="A18" s="105" t="s">
        <v>16</v>
      </c>
      <c r="B18" s="189">
        <f ca="1">IF((ISNUMBER('FIRE0508a raw'!B18)),ROUND('FIRE0508a raw'!B18,0),"..")</f>
        <v>23</v>
      </c>
      <c r="C18" s="91"/>
      <c r="D18" s="189">
        <f ca="1">IF((ISNUMBER('FIRE0508a raw'!D18)),ROUND('FIRE0508a raw'!D18,0),"..")</f>
        <v>6</v>
      </c>
      <c r="E18" s="189">
        <f ca="1">IF((ISNUMBER('FIRE0508a raw'!E18)),ROUND('FIRE0508a raw'!E18,0),"..")</f>
        <v>0</v>
      </c>
      <c r="F18" s="91"/>
      <c r="G18" s="189">
        <f ca="1">IF((ISNUMBER('FIRE0508a raw'!G18)),ROUND('FIRE0508a raw'!G18,0),"..")</f>
        <v>0</v>
      </c>
      <c r="H18" s="62"/>
      <c r="J18" s="74"/>
      <c r="K18" s="74"/>
      <c r="M18" s="74"/>
      <c r="N18" s="74"/>
      <c r="P18" s="76"/>
      <c r="Q18" s="76"/>
      <c r="R18" s="76"/>
      <c r="S18" s="76"/>
      <c r="T18" s="76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</row>
    <row r="19" spans="1:32" s="63" customFormat="1" ht="15" customHeight="1">
      <c r="A19" s="105" t="s">
        <v>17</v>
      </c>
      <c r="B19" s="189">
        <f ca="1">IF((ISNUMBER('FIRE0508a raw'!B19)),ROUND('FIRE0508a raw'!B19,0),"..")</f>
        <v>28</v>
      </c>
      <c r="C19" s="91"/>
      <c r="D19" s="189">
        <f ca="1">IF((ISNUMBER('FIRE0508a raw'!D19)),ROUND('FIRE0508a raw'!D19,0),"..")</f>
        <v>8</v>
      </c>
      <c r="E19" s="189">
        <f ca="1">IF((ISNUMBER('FIRE0508a raw'!E19)),ROUND('FIRE0508a raw'!E19,0),"..")</f>
        <v>2</v>
      </c>
      <c r="F19" s="91"/>
      <c r="G19" s="189">
        <f ca="1">IF((ISNUMBER('FIRE0508a raw'!G19)),ROUND('FIRE0508a raw'!G19,0),"..")</f>
        <v>0</v>
      </c>
      <c r="H19" s="62"/>
      <c r="J19" s="74"/>
      <c r="K19" s="74"/>
      <c r="M19" s="74"/>
      <c r="N19" s="74"/>
      <c r="P19" s="76"/>
      <c r="Q19" s="76"/>
      <c r="R19" s="76"/>
      <c r="S19" s="76"/>
      <c r="T19" s="76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</row>
    <row r="20" spans="1:32" s="63" customFormat="1" ht="15" customHeight="1">
      <c r="A20" s="96" t="s">
        <v>18</v>
      </c>
      <c r="B20" s="189">
        <f ca="1">IF((ISNUMBER('FIRE0508a raw'!B20)),ROUND('FIRE0508a raw'!B20,0),"..")</f>
        <v>59</v>
      </c>
      <c r="C20" s="91"/>
      <c r="D20" s="189">
        <f ca="1">IF((ISNUMBER('FIRE0508a raw'!D20)),ROUND('FIRE0508a raw'!D20,0),"..")</f>
        <v>22</v>
      </c>
      <c r="E20" s="189">
        <f ca="1">IF((ISNUMBER('FIRE0508a raw'!E20)),ROUND('FIRE0508a raw'!E20,0),"..")</f>
        <v>1</v>
      </c>
      <c r="F20" s="91"/>
      <c r="G20" s="189">
        <f ca="1">IF((ISNUMBER('FIRE0508a raw'!G20)),ROUND('FIRE0508a raw'!G20,0),"..")</f>
        <v>0</v>
      </c>
      <c r="H20" s="62"/>
      <c r="J20" s="74"/>
      <c r="K20" s="74"/>
      <c r="M20" s="74"/>
      <c r="N20" s="74"/>
      <c r="P20" s="76"/>
      <c r="Q20" s="76"/>
      <c r="R20" s="76"/>
      <c r="S20" s="76"/>
      <c r="T20" s="76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</row>
    <row r="21" spans="1:32" s="63" customFormat="1" ht="15" customHeight="1">
      <c r="A21" s="96" t="s">
        <v>125</v>
      </c>
      <c r="B21" s="189">
        <f ca="1">IF((ISNUMBER('FIRE0508a raw'!B21)),ROUND('FIRE0508a raw'!B21,0),"..")</f>
        <v>91</v>
      </c>
      <c r="C21" s="91"/>
      <c r="D21" s="189">
        <f ca="1">IF((ISNUMBER('FIRE0508a raw'!D21)),ROUND('FIRE0508a raw'!D21,0),"..")</f>
        <v>10</v>
      </c>
      <c r="E21" s="189">
        <f ca="1">IF((ISNUMBER('FIRE0508a raw'!E21)),ROUND('FIRE0508a raw'!E21,0),"..")</f>
        <v>1</v>
      </c>
      <c r="F21" s="91"/>
      <c r="G21" s="189">
        <f ca="1">IF((ISNUMBER('FIRE0508a raw'!G21)),ROUND('FIRE0508a raw'!G21,0),"..")</f>
        <v>0</v>
      </c>
      <c r="H21" s="62"/>
      <c r="J21" s="74"/>
      <c r="K21" s="74"/>
      <c r="M21" s="74"/>
      <c r="N21" s="74"/>
      <c r="P21" s="76"/>
      <c r="Q21" s="76"/>
      <c r="R21" s="76"/>
      <c r="S21" s="76"/>
      <c r="T21" s="76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</row>
    <row r="22" spans="1:32" s="63" customFormat="1" ht="15" customHeight="1">
      <c r="A22" s="96" t="s">
        <v>19</v>
      </c>
      <c r="B22" s="189" t="str">
        <f ca="1">IF((ISNUMBER('FIRE0508a raw'!B22)),ROUND('FIRE0508a raw'!B22,0),"..")</f>
        <v>..</v>
      </c>
      <c r="C22" s="91"/>
      <c r="D22" s="189" t="str">
        <f ca="1">IF((ISNUMBER('FIRE0508a raw'!D22)),ROUND('FIRE0508a raw'!D22,0),"..")</f>
        <v>..</v>
      </c>
      <c r="E22" s="189" t="str">
        <f ca="1">IF((ISNUMBER('FIRE0508a raw'!E22)),ROUND('FIRE0508a raw'!E22,0),"..")</f>
        <v>..</v>
      </c>
      <c r="F22" s="91"/>
      <c r="G22" s="189" t="str">
        <f ca="1">IF((ISNUMBER('FIRE0508a raw'!G22)),ROUND('FIRE0508a raw'!G22,0),"..")</f>
        <v>..</v>
      </c>
      <c r="H22" s="62"/>
      <c r="J22" s="74"/>
      <c r="K22" s="74"/>
      <c r="M22" s="74"/>
      <c r="N22" s="74"/>
      <c r="P22" s="76"/>
      <c r="Q22" s="76"/>
      <c r="R22" s="76"/>
      <c r="S22" s="76"/>
      <c r="T22" s="76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</row>
    <row r="23" spans="1:32" s="63" customFormat="1" ht="15" customHeight="1">
      <c r="A23" s="96" t="s">
        <v>20</v>
      </c>
      <c r="B23" s="189">
        <f ca="1">IF((ISNUMBER('FIRE0508a raw'!B23)),ROUND('FIRE0508a raw'!B23,0),"..")</f>
        <v>9</v>
      </c>
      <c r="C23" s="91"/>
      <c r="D23" s="189">
        <f ca="1">IF((ISNUMBER('FIRE0508a raw'!D23)),ROUND('FIRE0508a raw'!D23,0),"..")</f>
        <v>4</v>
      </c>
      <c r="E23" s="189">
        <f ca="1">IF((ISNUMBER('FIRE0508a raw'!E23)),ROUND('FIRE0508a raw'!E23,0),"..")</f>
        <v>0</v>
      </c>
      <c r="F23" s="91"/>
      <c r="G23" s="189">
        <f ca="1">IF((ISNUMBER('FIRE0508a raw'!G23)),ROUND('FIRE0508a raw'!G23,0),"..")</f>
        <v>0</v>
      </c>
      <c r="H23" s="62"/>
      <c r="J23" s="74"/>
      <c r="K23" s="74"/>
      <c r="M23" s="74"/>
      <c r="N23" s="74"/>
      <c r="P23" s="76"/>
      <c r="Q23" s="76"/>
      <c r="R23" s="76"/>
      <c r="S23" s="76"/>
      <c r="T23" s="76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</row>
    <row r="24" spans="1:32" s="63" customFormat="1" ht="15" customHeight="1">
      <c r="A24" s="96" t="s">
        <v>21</v>
      </c>
      <c r="B24" s="189">
        <f ca="1">IF((ISNUMBER('FIRE0508a raw'!B24)),ROUND('FIRE0508a raw'!B24,0),"..")</f>
        <v>63</v>
      </c>
      <c r="C24" s="91"/>
      <c r="D24" s="189">
        <f ca="1">IF((ISNUMBER('FIRE0508a raw'!D24)),ROUND('FIRE0508a raw'!D24,0),"..")</f>
        <v>9</v>
      </c>
      <c r="E24" s="189">
        <f ca="1">IF((ISNUMBER('FIRE0508a raw'!E24)),ROUND('FIRE0508a raw'!E24,0),"..")</f>
        <v>7</v>
      </c>
      <c r="F24" s="91"/>
      <c r="G24" s="189">
        <f ca="1">IF((ISNUMBER('FIRE0508a raw'!G24)),ROUND('FIRE0508a raw'!G24,0),"..")</f>
        <v>0</v>
      </c>
      <c r="H24" s="62"/>
      <c r="J24" s="74"/>
      <c r="K24" s="74"/>
      <c r="M24" s="74"/>
      <c r="N24" s="74"/>
      <c r="P24" s="76"/>
      <c r="Q24" s="76"/>
      <c r="R24" s="76"/>
      <c r="S24" s="76"/>
      <c r="T24" s="76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</row>
    <row r="25" spans="1:32" s="63" customFormat="1" ht="15" customHeight="1">
      <c r="A25" s="96" t="s">
        <v>22</v>
      </c>
      <c r="B25" s="189">
        <f ca="1">IF((ISNUMBER('FIRE0508a raw'!B25)),ROUND('FIRE0508a raw'!B25,0),"..")</f>
        <v>164</v>
      </c>
      <c r="C25" s="91"/>
      <c r="D25" s="189">
        <f ca="1">IF((ISNUMBER('FIRE0508a raw'!D25)),ROUND('FIRE0508a raw'!D25,0),"..")</f>
        <v>17</v>
      </c>
      <c r="E25" s="189">
        <f ca="1">IF((ISNUMBER('FIRE0508a raw'!E25)),ROUND('FIRE0508a raw'!E25,0),"..")</f>
        <v>0</v>
      </c>
      <c r="F25" s="91"/>
      <c r="G25" s="189">
        <f ca="1">IF((ISNUMBER('FIRE0508a raw'!G25)),ROUND('FIRE0508a raw'!G25,0),"..")</f>
        <v>0</v>
      </c>
      <c r="H25" s="62"/>
      <c r="J25" s="74"/>
      <c r="K25" s="74"/>
      <c r="M25" s="74"/>
      <c r="N25" s="74"/>
      <c r="P25" s="76"/>
      <c r="Q25" s="76"/>
      <c r="R25" s="76"/>
      <c r="S25" s="76"/>
      <c r="T25" s="76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1:32" s="63" customFormat="1" ht="15" customHeight="1">
      <c r="A26" s="96" t="s">
        <v>23</v>
      </c>
      <c r="B26" s="189">
        <f ca="1">IF((ISNUMBER('FIRE0508a raw'!B26)),ROUND('FIRE0508a raw'!B26,0),"..")</f>
        <v>56</v>
      </c>
      <c r="C26" s="91"/>
      <c r="D26" s="189">
        <f ca="1">IF((ISNUMBER('FIRE0508a raw'!D26)),ROUND('FIRE0508a raw'!D26,0),"..")</f>
        <v>0</v>
      </c>
      <c r="E26" s="189">
        <f ca="1">IF((ISNUMBER('FIRE0508a raw'!E26)),ROUND('FIRE0508a raw'!E26,0),"..")</f>
        <v>0</v>
      </c>
      <c r="F26" s="91"/>
      <c r="G26" s="189">
        <f ca="1">IF((ISNUMBER('FIRE0508a raw'!G26)),ROUND('FIRE0508a raw'!G26,0),"..")</f>
        <v>0</v>
      </c>
      <c r="H26" s="62"/>
      <c r="J26" s="74"/>
      <c r="K26" s="74"/>
      <c r="M26" s="74"/>
      <c r="N26" s="74"/>
      <c r="P26" s="76"/>
      <c r="Q26" s="76"/>
      <c r="R26" s="76"/>
      <c r="S26" s="76"/>
      <c r="T26" s="76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1:32" s="63" customFormat="1" ht="15" customHeight="1">
      <c r="A27" s="96" t="s">
        <v>24</v>
      </c>
      <c r="B27" s="189">
        <f ca="1">IF((ISNUMBER('FIRE0508a raw'!B27)),ROUND('FIRE0508a raw'!B27,0),"..")</f>
        <v>80</v>
      </c>
      <c r="C27" s="91"/>
      <c r="D27" s="189">
        <f ca="1">IF((ISNUMBER('FIRE0508a raw'!D27)),ROUND('FIRE0508a raw'!D27,0),"..")</f>
        <v>12</v>
      </c>
      <c r="E27" s="189">
        <f ca="1">IF((ISNUMBER('FIRE0508a raw'!E27)),ROUND('FIRE0508a raw'!E27,0),"..")</f>
        <v>2</v>
      </c>
      <c r="F27" s="91"/>
      <c r="G27" s="189">
        <f ca="1">IF((ISNUMBER('FIRE0508a raw'!G27)),ROUND('FIRE0508a raw'!G27,0),"..")</f>
        <v>0</v>
      </c>
      <c r="H27" s="62"/>
      <c r="J27" s="74"/>
      <c r="K27" s="74"/>
      <c r="M27" s="74"/>
      <c r="N27" s="74"/>
      <c r="P27" s="76"/>
      <c r="Q27" s="76"/>
      <c r="R27" s="76"/>
      <c r="S27" s="76"/>
      <c r="T27" s="76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1:32" s="63" customFormat="1" ht="15" customHeight="1">
      <c r="A28" s="96" t="s">
        <v>25</v>
      </c>
      <c r="B28" s="189">
        <f ca="1">IF((ISNUMBER('FIRE0508a raw'!B28)),ROUND('FIRE0508a raw'!B28,0),"..")</f>
        <v>56</v>
      </c>
      <c r="C28" s="91"/>
      <c r="D28" s="189">
        <f ca="1">IF((ISNUMBER('FIRE0508a raw'!D28)),ROUND('FIRE0508a raw'!D28,0),"..")</f>
        <v>7</v>
      </c>
      <c r="E28" s="189">
        <f ca="1">IF((ISNUMBER('FIRE0508a raw'!E28)),ROUND('FIRE0508a raw'!E28,0),"..")</f>
        <v>0</v>
      </c>
      <c r="F28" s="91"/>
      <c r="G28" s="189">
        <f ca="1">IF((ISNUMBER('FIRE0508a raw'!G28)),ROUND('FIRE0508a raw'!G28,0),"..")</f>
        <v>0</v>
      </c>
      <c r="H28" s="62"/>
      <c r="J28" s="74"/>
      <c r="K28" s="74"/>
      <c r="M28" s="74"/>
      <c r="N28" s="74"/>
      <c r="P28" s="76"/>
      <c r="Q28" s="76"/>
      <c r="R28" s="76"/>
      <c r="S28" s="76"/>
      <c r="T28" s="76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</row>
    <row r="29" spans="1:32" s="63" customFormat="1" ht="15" customHeight="1">
      <c r="A29" s="96" t="s">
        <v>26</v>
      </c>
      <c r="B29" s="189">
        <f ca="1">IF((ISNUMBER('FIRE0508a raw'!B29)),ROUND('FIRE0508a raw'!B29,0),"..")</f>
        <v>58</v>
      </c>
      <c r="C29" s="91"/>
      <c r="D29" s="189">
        <f ca="1">IF((ISNUMBER('FIRE0508a raw'!D29)),ROUND('FIRE0508a raw'!D29,0),"..")</f>
        <v>19</v>
      </c>
      <c r="E29" s="189">
        <f ca="1">IF((ISNUMBER('FIRE0508a raw'!E29)),ROUND('FIRE0508a raw'!E29,0),"..")</f>
        <v>0</v>
      </c>
      <c r="F29" s="91"/>
      <c r="G29" s="189">
        <f ca="1">IF((ISNUMBER('FIRE0508a raw'!G29)),ROUND('FIRE0508a raw'!G29,0),"..")</f>
        <v>0</v>
      </c>
      <c r="H29" s="62"/>
      <c r="J29" s="74"/>
      <c r="K29" s="74"/>
      <c r="M29" s="74"/>
      <c r="N29" s="74"/>
      <c r="P29" s="76"/>
      <c r="Q29" s="76"/>
      <c r="R29" s="76"/>
      <c r="S29" s="76"/>
      <c r="T29" s="76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</row>
    <row r="30" spans="1:32" s="63" customFormat="1" ht="15" customHeight="1">
      <c r="A30" s="96" t="s">
        <v>27</v>
      </c>
      <c r="B30" s="189">
        <f ca="1">IF((ISNUMBER('FIRE0508a raw'!B30)),ROUND('FIRE0508a raw'!B30,0),"..")</f>
        <v>85</v>
      </c>
      <c r="C30" s="91"/>
      <c r="D30" s="189">
        <f ca="1">IF((ISNUMBER('FIRE0508a raw'!D30)),ROUND('FIRE0508a raw'!D30,0),"..")</f>
        <v>15</v>
      </c>
      <c r="E30" s="189">
        <f ca="1">IF((ISNUMBER('FIRE0508a raw'!E30)),ROUND('FIRE0508a raw'!E30,0),"..")</f>
        <v>4</v>
      </c>
      <c r="F30" s="91"/>
      <c r="G30" s="189">
        <f ca="1">IF((ISNUMBER('FIRE0508a raw'!G30)),ROUND('FIRE0508a raw'!G30,0),"..")</f>
        <v>0</v>
      </c>
      <c r="H30" s="62"/>
      <c r="J30" s="74"/>
      <c r="K30" s="74"/>
      <c r="M30" s="74"/>
      <c r="N30" s="74"/>
      <c r="P30" s="76"/>
      <c r="Q30" s="76"/>
      <c r="R30" s="76"/>
      <c r="S30" s="76"/>
      <c r="T30" s="76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</row>
    <row r="31" spans="1:32" s="63" customFormat="1" ht="15" customHeight="1">
      <c r="A31" s="106" t="s">
        <v>28</v>
      </c>
      <c r="B31" s="189">
        <f ca="1">IF((ISNUMBER('FIRE0508a raw'!B31)),ROUND('FIRE0508a raw'!B31,0),"..")</f>
        <v>8</v>
      </c>
      <c r="C31" s="91"/>
      <c r="D31" s="189">
        <f ca="1">IF((ISNUMBER('FIRE0508a raw'!D31)),ROUND('FIRE0508a raw'!D31,0),"..")</f>
        <v>1</v>
      </c>
      <c r="E31" s="189">
        <f ca="1">IF((ISNUMBER('FIRE0508a raw'!E31)),ROUND('FIRE0508a raw'!E31,0),"..")</f>
        <v>0</v>
      </c>
      <c r="F31" s="91"/>
      <c r="G31" s="189">
        <f ca="1">IF((ISNUMBER('FIRE0508a raw'!G31)),ROUND('FIRE0508a raw'!G31,0),"..")</f>
        <v>0</v>
      </c>
      <c r="H31" s="62"/>
      <c r="J31" s="74"/>
      <c r="K31" s="74"/>
      <c r="M31" s="74"/>
      <c r="N31" s="74"/>
      <c r="P31" s="76"/>
      <c r="Q31" s="76"/>
      <c r="R31" s="76"/>
      <c r="S31" s="76"/>
      <c r="T31" s="76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</row>
    <row r="32" spans="1:32" s="63" customFormat="1" ht="15" customHeight="1">
      <c r="A32" s="106" t="s">
        <v>29</v>
      </c>
      <c r="B32" s="189">
        <f ca="1">IF((ISNUMBER('FIRE0508a raw'!B32)),ROUND('FIRE0508a raw'!B32,0),"..")</f>
        <v>59</v>
      </c>
      <c r="C32" s="91"/>
      <c r="D32" s="189">
        <f ca="1">IF((ISNUMBER('FIRE0508a raw'!D32)),ROUND('FIRE0508a raw'!D32,0),"..")</f>
        <v>15</v>
      </c>
      <c r="E32" s="189">
        <f ca="1">IF((ISNUMBER('FIRE0508a raw'!E32)),ROUND('FIRE0508a raw'!E32,0),"..")</f>
        <v>2</v>
      </c>
      <c r="F32" s="91"/>
      <c r="G32" s="189">
        <f ca="1">IF((ISNUMBER('FIRE0508a raw'!G32)),ROUND('FIRE0508a raw'!G32,0),"..")</f>
        <v>0</v>
      </c>
      <c r="H32" s="62"/>
      <c r="J32" s="74"/>
      <c r="K32" s="74"/>
      <c r="M32" s="74"/>
      <c r="N32" s="74"/>
      <c r="P32" s="76"/>
      <c r="Q32" s="76"/>
      <c r="R32" s="76"/>
      <c r="S32" s="76"/>
      <c r="T32" s="76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</row>
    <row r="33" spans="1:32" s="63" customFormat="1" ht="15" customHeight="1">
      <c r="A33" s="96" t="s">
        <v>30</v>
      </c>
      <c r="B33" s="189">
        <f ca="1">IF((ISNUMBER('FIRE0508a raw'!B33)),ROUND('FIRE0508a raw'!B33,0),"..")</f>
        <v>53</v>
      </c>
      <c r="C33" s="91"/>
      <c r="D33" s="189">
        <f ca="1">IF((ISNUMBER('FIRE0508a raw'!D33)),ROUND('FIRE0508a raw'!D33,0),"..")</f>
        <v>19</v>
      </c>
      <c r="E33" s="189">
        <f ca="1">IF((ISNUMBER('FIRE0508a raw'!E33)),ROUND('FIRE0508a raw'!E33,0),"..")</f>
        <v>1</v>
      </c>
      <c r="F33" s="91"/>
      <c r="G33" s="189">
        <f ca="1">IF((ISNUMBER('FIRE0508a raw'!G33)),ROUND('FIRE0508a raw'!G33,0),"..")</f>
        <v>0</v>
      </c>
      <c r="H33" s="62"/>
      <c r="J33" s="74"/>
      <c r="K33" s="74"/>
      <c r="M33" s="74"/>
      <c r="N33" s="74"/>
      <c r="P33" s="76"/>
      <c r="Q33" s="76"/>
      <c r="R33" s="76"/>
      <c r="S33" s="76"/>
      <c r="T33" s="76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</row>
    <row r="34" spans="1:32" s="63" customFormat="1" ht="15" customHeight="1">
      <c r="A34" s="106" t="s">
        <v>31</v>
      </c>
      <c r="B34" s="189">
        <f ca="1">IF((ISNUMBER('FIRE0508a raw'!B34)),ROUND('FIRE0508a raw'!B34,0),"..")</f>
        <v>62</v>
      </c>
      <c r="C34" s="91"/>
      <c r="D34" s="189">
        <f ca="1">IF((ISNUMBER('FIRE0508a raw'!D34)),ROUND('FIRE0508a raw'!D34,0),"..")</f>
        <v>24</v>
      </c>
      <c r="E34" s="189">
        <f ca="1">IF((ISNUMBER('FIRE0508a raw'!E34)),ROUND('FIRE0508a raw'!E34,0),"..")</f>
        <v>15</v>
      </c>
      <c r="F34" s="91"/>
      <c r="G34" s="189">
        <f ca="1">IF((ISNUMBER('FIRE0508a raw'!G34)),ROUND('FIRE0508a raw'!G34,0),"..")</f>
        <v>0</v>
      </c>
      <c r="H34" s="62"/>
      <c r="J34" s="74"/>
      <c r="K34" s="74"/>
      <c r="M34" s="74"/>
      <c r="N34" s="74"/>
      <c r="P34" s="76"/>
      <c r="Q34" s="76"/>
      <c r="R34" s="76"/>
      <c r="S34" s="76"/>
      <c r="T34" s="76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</row>
    <row r="35" spans="1:32" s="63" customFormat="1" ht="15" customHeight="1">
      <c r="A35" s="106" t="s">
        <v>32</v>
      </c>
      <c r="B35" s="189">
        <f ca="1">IF((ISNUMBER('FIRE0508a raw'!B35)),ROUND('FIRE0508a raw'!B35,0),"..")</f>
        <v>51</v>
      </c>
      <c r="C35" s="91"/>
      <c r="D35" s="189">
        <f ca="1">IF((ISNUMBER('FIRE0508a raw'!D35)),ROUND('FIRE0508a raw'!D35,0),"..")</f>
        <v>12</v>
      </c>
      <c r="E35" s="189">
        <f ca="1">IF((ISNUMBER('FIRE0508a raw'!E35)),ROUND('FIRE0508a raw'!E35,0),"..")</f>
        <v>0</v>
      </c>
      <c r="F35" s="91"/>
      <c r="G35" s="189">
        <f ca="1">IF((ISNUMBER('FIRE0508a raw'!G35)),ROUND('FIRE0508a raw'!G35,0),"..")</f>
        <v>0</v>
      </c>
      <c r="H35" s="62"/>
      <c r="J35" s="74"/>
      <c r="K35" s="74"/>
      <c r="M35" s="74"/>
      <c r="N35" s="74"/>
      <c r="P35" s="76"/>
      <c r="Q35" s="76"/>
      <c r="R35" s="76"/>
      <c r="S35" s="76"/>
      <c r="T35" s="76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</row>
    <row r="36" spans="1:32" s="63" customFormat="1" ht="15" customHeight="1">
      <c r="A36" s="96" t="s">
        <v>33</v>
      </c>
      <c r="B36" s="189">
        <f ca="1">IF((ISNUMBER('FIRE0508a raw'!B36)),ROUND('FIRE0508a raw'!B36,0),"..")</f>
        <v>83</v>
      </c>
      <c r="C36" s="91"/>
      <c r="D36" s="189">
        <f ca="1">IF((ISNUMBER('FIRE0508a raw'!D36)),ROUND('FIRE0508a raw'!D36,0),"..")</f>
        <v>4</v>
      </c>
      <c r="E36" s="189">
        <f ca="1">IF((ISNUMBER('FIRE0508a raw'!E36)),ROUND('FIRE0508a raw'!E36,0),"..")</f>
        <v>1</v>
      </c>
      <c r="F36" s="91"/>
      <c r="G36" s="189">
        <f ca="1">IF((ISNUMBER('FIRE0508a raw'!G36)),ROUND('FIRE0508a raw'!G36,0),"..")</f>
        <v>0</v>
      </c>
      <c r="H36" s="62"/>
      <c r="J36" s="74"/>
      <c r="K36" s="74"/>
      <c r="M36" s="74"/>
      <c r="N36" s="74"/>
      <c r="P36" s="76"/>
      <c r="Q36" s="76"/>
      <c r="R36" s="76"/>
      <c r="S36" s="76"/>
      <c r="T36" s="76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</row>
    <row r="37" spans="1:32" s="63" customFormat="1" ht="15" customHeight="1">
      <c r="A37" s="106" t="s">
        <v>34</v>
      </c>
      <c r="B37" s="189">
        <f ca="1">IF((ISNUMBER('FIRE0508a raw'!B37)),ROUND('FIRE0508a raw'!B37,0),"..")</f>
        <v>61</v>
      </c>
      <c r="C37" s="91"/>
      <c r="D37" s="189">
        <f ca="1">IF((ISNUMBER('FIRE0508a raw'!D37)),ROUND('FIRE0508a raw'!D37,0),"..")</f>
        <v>10</v>
      </c>
      <c r="E37" s="189">
        <f ca="1">IF((ISNUMBER('FIRE0508a raw'!E37)),ROUND('FIRE0508a raw'!E37,0),"..")</f>
        <v>6</v>
      </c>
      <c r="F37" s="91"/>
      <c r="G37" s="189">
        <f ca="1">IF((ISNUMBER('FIRE0508a raw'!G37)),ROUND('FIRE0508a raw'!G37,0),"..")</f>
        <v>0</v>
      </c>
      <c r="H37" s="62"/>
      <c r="J37" s="74"/>
      <c r="K37" s="74"/>
      <c r="M37" s="74"/>
      <c r="N37" s="74"/>
      <c r="P37" s="76"/>
      <c r="Q37" s="76"/>
      <c r="R37" s="76"/>
      <c r="S37" s="76"/>
      <c r="T37" s="76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</row>
    <row r="38" spans="1:32" s="63" customFormat="1" ht="15" customHeight="1">
      <c r="A38" s="106" t="s">
        <v>35</v>
      </c>
      <c r="B38" s="189">
        <f ca="1">IF((ISNUMBER('FIRE0508a raw'!B38)),ROUND('FIRE0508a raw'!B38,0),"..")</f>
        <v>47</v>
      </c>
      <c r="C38" s="91"/>
      <c r="D38" s="189">
        <f ca="1">IF((ISNUMBER('FIRE0508a raw'!D38)),ROUND('FIRE0508a raw'!D38,0),"..")</f>
        <v>9</v>
      </c>
      <c r="E38" s="189">
        <f ca="1">IF((ISNUMBER('FIRE0508a raw'!E38)),ROUND('FIRE0508a raw'!E38,0),"..")</f>
        <v>0</v>
      </c>
      <c r="F38" s="91"/>
      <c r="G38" s="189">
        <f ca="1">IF((ISNUMBER('FIRE0508a raw'!G38)),ROUND('FIRE0508a raw'!G38,0),"..")</f>
        <v>0</v>
      </c>
      <c r="H38" s="62"/>
      <c r="J38" s="74"/>
      <c r="K38" s="74"/>
      <c r="M38" s="74"/>
      <c r="N38" s="74"/>
      <c r="P38" s="76"/>
      <c r="Q38" s="76"/>
      <c r="R38" s="76"/>
      <c r="S38" s="76"/>
      <c r="T38" s="76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</row>
    <row r="39" spans="1:32" s="63" customFormat="1" ht="15" customHeight="1">
      <c r="A39" s="106" t="s">
        <v>36</v>
      </c>
      <c r="B39" s="189">
        <f ca="1">IF((ISNUMBER('FIRE0508a raw'!B39)),ROUND('FIRE0508a raw'!B39,0),"..")</f>
        <v>21</v>
      </c>
      <c r="C39" s="91"/>
      <c r="D39" s="189">
        <f ca="1">IF((ISNUMBER('FIRE0508a raw'!D39)),ROUND('FIRE0508a raw'!D39,0),"..")</f>
        <v>0</v>
      </c>
      <c r="E39" s="189">
        <f ca="1">IF((ISNUMBER('FIRE0508a raw'!E39)),ROUND('FIRE0508a raw'!E39,0),"..")</f>
        <v>1</v>
      </c>
      <c r="F39" s="91"/>
      <c r="G39" s="189">
        <f ca="1">IF((ISNUMBER('FIRE0508a raw'!G39)),ROUND('FIRE0508a raw'!G39,0),"..")</f>
        <v>0</v>
      </c>
      <c r="H39" s="62"/>
      <c r="J39" s="74"/>
      <c r="K39" s="74"/>
      <c r="M39" s="74"/>
      <c r="N39" s="74"/>
      <c r="P39" s="76"/>
      <c r="Q39" s="76"/>
      <c r="R39" s="76"/>
      <c r="S39" s="76"/>
      <c r="T39" s="76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</row>
    <row r="40" spans="1:32" s="63" customFormat="1" ht="15" customHeight="1">
      <c r="A40" s="96" t="s">
        <v>37</v>
      </c>
      <c r="B40" s="189">
        <f ca="1">IF((ISNUMBER('FIRE0508a raw'!B40)),ROUND('FIRE0508a raw'!B40,0),"..")</f>
        <v>23</v>
      </c>
      <c r="C40" s="91"/>
      <c r="D40" s="189">
        <f ca="1">IF((ISNUMBER('FIRE0508a raw'!D40)),ROUND('FIRE0508a raw'!D40,0),"..")</f>
        <v>3</v>
      </c>
      <c r="E40" s="189">
        <f ca="1">IF((ISNUMBER('FIRE0508a raw'!E40)),ROUND('FIRE0508a raw'!E40,0),"..")</f>
        <v>0</v>
      </c>
      <c r="F40" s="91"/>
      <c r="G40" s="189">
        <f ca="1">IF((ISNUMBER('FIRE0508a raw'!G40)),ROUND('FIRE0508a raw'!G40,0),"..")</f>
        <v>0</v>
      </c>
      <c r="H40" s="62"/>
      <c r="J40" s="74"/>
      <c r="K40" s="74"/>
      <c r="M40" s="74"/>
      <c r="N40" s="74"/>
      <c r="P40" s="76"/>
      <c r="Q40" s="76"/>
      <c r="R40" s="76"/>
      <c r="S40" s="76"/>
      <c r="T40" s="76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</row>
    <row r="41" spans="1:32" s="63" customFormat="1" ht="15" customHeight="1">
      <c r="A41" s="96" t="s">
        <v>38</v>
      </c>
      <c r="B41" s="189">
        <f ca="1">IF((ISNUMBER('FIRE0508a raw'!B41)),ROUND('FIRE0508a raw'!B41,0),"..")</f>
        <v>42</v>
      </c>
      <c r="C41" s="91"/>
      <c r="D41" s="189">
        <f ca="1">IF((ISNUMBER('FIRE0508a raw'!D41)),ROUND('FIRE0508a raw'!D41,0),"..")</f>
        <v>6</v>
      </c>
      <c r="E41" s="189">
        <f ca="1">IF((ISNUMBER('FIRE0508a raw'!E41)),ROUND('FIRE0508a raw'!E41,0),"..")</f>
        <v>0</v>
      </c>
      <c r="F41" s="91"/>
      <c r="G41" s="189">
        <f ca="1">IF((ISNUMBER('FIRE0508a raw'!G41)),ROUND('FIRE0508a raw'!G41,0),"..")</f>
        <v>0</v>
      </c>
      <c r="H41" s="62"/>
      <c r="J41" s="74"/>
      <c r="K41" s="74"/>
      <c r="M41" s="74"/>
      <c r="N41" s="74"/>
      <c r="P41" s="76"/>
      <c r="Q41" s="76"/>
      <c r="R41" s="76"/>
      <c r="S41" s="76"/>
      <c r="T41" s="76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</row>
    <row r="42" spans="1:32" s="63" customFormat="1" ht="15" customHeight="1">
      <c r="A42" s="96" t="s">
        <v>39</v>
      </c>
      <c r="B42" s="189">
        <f ca="1">IF((ISNUMBER('FIRE0508a raw'!B42)),ROUND('FIRE0508a raw'!B42,0),"..")</f>
        <v>32</v>
      </c>
      <c r="C42" s="91"/>
      <c r="D42" s="189">
        <f ca="1">IF((ISNUMBER('FIRE0508a raw'!D42)),ROUND('FIRE0508a raw'!D42,0),"..")</f>
        <v>4</v>
      </c>
      <c r="E42" s="189">
        <f ca="1">IF((ISNUMBER('FIRE0508a raw'!E42)),ROUND('FIRE0508a raw'!E42,0),"..")</f>
        <v>2</v>
      </c>
      <c r="F42" s="91"/>
      <c r="G42" s="189">
        <f ca="1">IF((ISNUMBER('FIRE0508a raw'!G42)),ROUND('FIRE0508a raw'!G42,0),"..")</f>
        <v>0</v>
      </c>
      <c r="H42" s="62"/>
      <c r="J42" s="74"/>
      <c r="K42" s="74"/>
      <c r="M42" s="74"/>
      <c r="N42" s="74"/>
      <c r="P42" s="76"/>
      <c r="Q42" s="76"/>
      <c r="R42" s="76"/>
      <c r="S42" s="76"/>
      <c r="T42" s="76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</row>
    <row r="43" spans="1:32" s="63" customFormat="1" ht="15" customHeight="1">
      <c r="A43" s="96" t="s">
        <v>40</v>
      </c>
      <c r="B43" s="189">
        <f ca="1">IF((ISNUMBER('FIRE0508a raw'!B43)),ROUND('FIRE0508a raw'!B43,0),"..")</f>
        <v>49</v>
      </c>
      <c r="C43" s="91"/>
      <c r="D43" s="189">
        <f ca="1">IF((ISNUMBER('FIRE0508a raw'!D43)),ROUND('FIRE0508a raw'!D43,0),"..")</f>
        <v>6</v>
      </c>
      <c r="E43" s="189">
        <f ca="1">IF((ISNUMBER('FIRE0508a raw'!E43)),ROUND('FIRE0508a raw'!E43,0),"..")</f>
        <v>1</v>
      </c>
      <c r="F43" s="91"/>
      <c r="G43" s="189">
        <f ca="1">IF((ISNUMBER('FIRE0508a raw'!G43)),ROUND('FIRE0508a raw'!G43,0),"..")</f>
        <v>0</v>
      </c>
      <c r="H43" s="62"/>
      <c r="J43" s="74"/>
      <c r="K43" s="74"/>
      <c r="M43" s="74"/>
      <c r="N43" s="74"/>
      <c r="P43" s="76"/>
      <c r="Q43" s="76"/>
      <c r="R43" s="76"/>
      <c r="S43" s="76"/>
      <c r="T43" s="76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</row>
    <row r="44" spans="1:32" s="63" customFormat="1" ht="15" customHeight="1">
      <c r="A44" s="96" t="s">
        <v>41</v>
      </c>
      <c r="B44" s="189">
        <f ca="1">IF((ISNUMBER('FIRE0508a raw'!B44)),ROUND('FIRE0508a raw'!B44,0),"..")</f>
        <v>55</v>
      </c>
      <c r="C44" s="91"/>
      <c r="D44" s="189">
        <f ca="1">IF((ISNUMBER('FIRE0508a raw'!D44)),ROUND('FIRE0508a raw'!D44,0),"..")</f>
        <v>9</v>
      </c>
      <c r="E44" s="189">
        <f ca="1">IF((ISNUMBER('FIRE0508a raw'!E44)),ROUND('FIRE0508a raw'!E44,0),"..")</f>
        <v>0</v>
      </c>
      <c r="F44" s="91"/>
      <c r="G44" s="189">
        <f ca="1">IF((ISNUMBER('FIRE0508a raw'!G44)),ROUND('FIRE0508a raw'!G44,0),"..")</f>
        <v>0</v>
      </c>
      <c r="H44" s="62"/>
      <c r="J44" s="74"/>
      <c r="K44" s="74"/>
      <c r="M44" s="74"/>
      <c r="N44" s="74"/>
      <c r="P44" s="76"/>
      <c r="Q44" s="76"/>
      <c r="R44" s="76"/>
      <c r="S44" s="76"/>
      <c r="T44" s="76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</row>
    <row r="45" spans="1:32" s="63" customFormat="1" ht="15" customHeight="1">
      <c r="A45" s="96" t="s">
        <v>42</v>
      </c>
      <c r="B45" s="189">
        <f ca="1">IF((ISNUMBER('FIRE0508a raw'!B45)),ROUND('FIRE0508a raw'!B45,0),"..")</f>
        <v>49</v>
      </c>
      <c r="C45" s="91"/>
      <c r="D45" s="189">
        <f ca="1">IF((ISNUMBER('FIRE0508a raw'!D45)),ROUND('FIRE0508a raw'!D45,0),"..")</f>
        <v>8</v>
      </c>
      <c r="E45" s="189">
        <f ca="1">IF((ISNUMBER('FIRE0508a raw'!E45)),ROUND('FIRE0508a raw'!E45,0),"..")</f>
        <v>0</v>
      </c>
      <c r="F45" s="91"/>
      <c r="G45" s="189">
        <f ca="1">IF((ISNUMBER('FIRE0508a raw'!G45)),ROUND('FIRE0508a raw'!G45,0),"..")</f>
        <v>0</v>
      </c>
      <c r="H45" s="62"/>
      <c r="J45" s="74"/>
      <c r="K45" s="74"/>
      <c r="M45" s="74"/>
      <c r="N45" s="74"/>
      <c r="P45" s="76"/>
      <c r="Q45" s="76"/>
      <c r="R45" s="76"/>
      <c r="S45" s="76"/>
      <c r="T45" s="76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</row>
    <row r="46" spans="1:32" s="63" customFormat="1" ht="15" customHeight="1">
      <c r="A46" s="96" t="s">
        <v>43</v>
      </c>
      <c r="B46" s="189">
        <f ca="1">IF((ISNUMBER('FIRE0508a raw'!B46)),ROUND('FIRE0508a raw'!B46,0),"..")</f>
        <v>34</v>
      </c>
      <c r="C46" s="91"/>
      <c r="D46" s="189">
        <f ca="1">IF((ISNUMBER('FIRE0508a raw'!D46)),ROUND('FIRE0508a raw'!D46,0),"..")</f>
        <v>3</v>
      </c>
      <c r="E46" s="189">
        <f ca="1">IF((ISNUMBER('FIRE0508a raw'!E46)),ROUND('FIRE0508a raw'!E46,0),"..")</f>
        <v>0</v>
      </c>
      <c r="F46" s="91"/>
      <c r="G46" s="189">
        <f ca="1">IF((ISNUMBER('FIRE0508a raw'!G46)),ROUND('FIRE0508a raw'!G46,0),"..")</f>
        <v>0</v>
      </c>
      <c r="H46" s="62"/>
      <c r="J46" s="74"/>
      <c r="K46" s="74"/>
      <c r="M46" s="74"/>
      <c r="N46" s="74"/>
      <c r="P46" s="76"/>
      <c r="Q46" s="76"/>
      <c r="R46" s="76"/>
      <c r="S46" s="76"/>
      <c r="T46" s="76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</row>
    <row r="47" spans="1:32" s="63" customFormat="1" ht="15" customHeight="1">
      <c r="A47" s="96" t="s">
        <v>44</v>
      </c>
      <c r="B47" s="189">
        <f ca="1">IF((ISNUMBER('FIRE0508a raw'!B47)),ROUND('FIRE0508a raw'!B47,0),"..")</f>
        <v>33</v>
      </c>
      <c r="C47" s="91"/>
      <c r="D47" s="189">
        <f ca="1">IF((ISNUMBER('FIRE0508a raw'!D47)),ROUND('FIRE0508a raw'!D47,0),"..")</f>
        <v>1</v>
      </c>
      <c r="E47" s="189">
        <f ca="1">IF((ISNUMBER('FIRE0508a raw'!E47)),ROUND('FIRE0508a raw'!E47,0),"..")</f>
        <v>0</v>
      </c>
      <c r="F47" s="91"/>
      <c r="G47" s="189">
        <f ca="1">IF((ISNUMBER('FIRE0508a raw'!G47)),ROUND('FIRE0508a raw'!G47,0),"..")</f>
        <v>0</v>
      </c>
      <c r="H47" s="62"/>
      <c r="J47" s="74"/>
      <c r="K47" s="74"/>
      <c r="M47" s="74"/>
      <c r="N47" s="74"/>
      <c r="P47" s="76"/>
      <c r="Q47" s="76"/>
      <c r="R47" s="76"/>
      <c r="S47" s="76"/>
      <c r="T47" s="76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</row>
    <row r="48" spans="1:32" s="63" customFormat="1" ht="15" customHeight="1">
      <c r="A48" s="96" t="s">
        <v>45</v>
      </c>
      <c r="B48" s="189" t="str">
        <f ca="1">IF((ISNUMBER('FIRE0508a raw'!B48)),ROUND('FIRE0508a raw'!B48,0),"..")</f>
        <v>..</v>
      </c>
      <c r="C48" s="91"/>
      <c r="D48" s="189" t="str">
        <f ca="1">IF((ISNUMBER('FIRE0508a raw'!D48)),ROUND('FIRE0508a raw'!D48,0),"..")</f>
        <v>..</v>
      </c>
      <c r="E48" s="189" t="str">
        <f ca="1">IF((ISNUMBER('FIRE0508a raw'!E48)),ROUND('FIRE0508a raw'!E48,0),"..")</f>
        <v>..</v>
      </c>
      <c r="F48" s="91"/>
      <c r="G48" s="189" t="str">
        <f ca="1">IF((ISNUMBER('FIRE0508a raw'!G48)),ROUND('FIRE0508a raw'!G48,0),"..")</f>
        <v>..</v>
      </c>
      <c r="H48" s="62"/>
      <c r="J48" s="74"/>
      <c r="K48" s="74"/>
      <c r="M48" s="74"/>
      <c r="N48" s="74"/>
      <c r="P48" s="76"/>
      <c r="Q48" s="76"/>
      <c r="R48" s="76"/>
      <c r="S48" s="76"/>
      <c r="T48" s="76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</row>
    <row r="49" spans="1:32" s="63" customFormat="1" ht="15" customHeight="1">
      <c r="A49" s="96" t="s">
        <v>46</v>
      </c>
      <c r="B49" s="189">
        <f ca="1">IF((ISNUMBER('FIRE0508a raw'!B49)),ROUND('FIRE0508a raw'!B49,0),"..")</f>
        <v>0</v>
      </c>
      <c r="C49" s="91"/>
      <c r="D49" s="189">
        <f ca="1">IF((ISNUMBER('FIRE0508a raw'!D49)),ROUND('FIRE0508a raw'!D49,0),"..")</f>
        <v>0</v>
      </c>
      <c r="E49" s="189">
        <f ca="1">IF((ISNUMBER('FIRE0508a raw'!E49)),ROUND('FIRE0508a raw'!E49,0),"..")</f>
        <v>0</v>
      </c>
      <c r="F49" s="91"/>
      <c r="G49" s="189">
        <f ca="1">IF((ISNUMBER('FIRE0508a raw'!G49)),ROUND('FIRE0508a raw'!G49,0),"..")</f>
        <v>0</v>
      </c>
      <c r="H49" s="62"/>
      <c r="J49" s="74"/>
      <c r="K49" s="74"/>
      <c r="M49" s="74"/>
      <c r="N49" s="74"/>
      <c r="P49" s="76"/>
      <c r="Q49" s="76"/>
      <c r="R49" s="76"/>
      <c r="S49" s="76"/>
      <c r="T49" s="76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spans="1:32" s="63" customFormat="1" ht="15" customHeight="1">
      <c r="A50" s="102" t="s">
        <v>69</v>
      </c>
      <c r="B50" s="73">
        <f ca="1">IF((ISNUMBER('FIRE0508a raw'!B50)),ROUND('FIRE0508a raw'!B50,0),"..")</f>
        <v>649</v>
      </c>
      <c r="C50" s="73"/>
      <c r="D50" s="73">
        <f ca="1">IF((ISNUMBER('FIRE0508a raw'!D50)),ROUND('FIRE0508a raw'!D50,0),"..")</f>
        <v>153</v>
      </c>
      <c r="E50" s="73">
        <f ca="1">IF((ISNUMBER('FIRE0508a raw'!E50)),ROUND('FIRE0508a raw'!E50,0),"..")</f>
        <v>69</v>
      </c>
      <c r="F50" s="73"/>
      <c r="G50" s="73">
        <f ca="1">IF((ISNUMBER('FIRE0508a raw'!G50)),ROUND('FIRE0508a raw'!G50,0),"..")</f>
        <v>0</v>
      </c>
      <c r="H50" s="62"/>
      <c r="J50" s="74"/>
      <c r="K50" s="74"/>
      <c r="M50" s="74"/>
      <c r="N50" s="74"/>
      <c r="P50" s="76"/>
      <c r="Q50" s="76"/>
      <c r="R50" s="76"/>
      <c r="S50" s="76"/>
      <c r="T50" s="76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</row>
    <row r="51" spans="1:32" s="63" customFormat="1" ht="15" customHeight="1">
      <c r="A51" s="96" t="s">
        <v>48</v>
      </c>
      <c r="B51" s="189">
        <f ca="1">IF((ISNUMBER('FIRE0508a raw'!B51)),ROUND('FIRE0508a raw'!B51,0),"..")</f>
        <v>66</v>
      </c>
      <c r="C51" s="91"/>
      <c r="D51" s="189">
        <f ca="1">IF((ISNUMBER('FIRE0508a raw'!D51)),ROUND('FIRE0508a raw'!D51,0),"..")</f>
        <v>8</v>
      </c>
      <c r="E51" s="189">
        <f ca="1">IF((ISNUMBER('FIRE0508a raw'!E51)),ROUND('FIRE0508a raw'!E51,0),"..")</f>
        <v>4</v>
      </c>
      <c r="F51" s="91"/>
      <c r="G51" s="189">
        <f ca="1">IF((ISNUMBER('FIRE0508a raw'!G51)),ROUND('FIRE0508a raw'!G51,0),"..")</f>
        <v>0</v>
      </c>
      <c r="H51" s="62"/>
      <c r="J51" s="74"/>
      <c r="K51" s="74"/>
      <c r="M51" s="74"/>
      <c r="N51" s="74"/>
      <c r="P51" s="76"/>
      <c r="Q51" s="76"/>
      <c r="R51" s="76"/>
      <c r="S51" s="76"/>
      <c r="T51" s="76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</row>
    <row r="52" spans="1:32" s="63" customFormat="1" ht="15" customHeight="1">
      <c r="A52" s="96" t="s">
        <v>49</v>
      </c>
      <c r="B52" s="189">
        <f ca="1">IF((ISNUMBER('FIRE0508a raw'!B52)),ROUND('FIRE0508a raw'!B52,0),"..")</f>
        <v>43</v>
      </c>
      <c r="C52" s="91"/>
      <c r="D52" s="189">
        <f ca="1">IF((ISNUMBER('FIRE0508a raw'!D52)),ROUND('FIRE0508a raw'!D52,0),"..")</f>
        <v>9</v>
      </c>
      <c r="E52" s="189">
        <f ca="1">IF((ISNUMBER('FIRE0508a raw'!E52)),ROUND('FIRE0508a raw'!E52,0),"..")</f>
        <v>1</v>
      </c>
      <c r="F52" s="91"/>
      <c r="G52" s="189">
        <f ca="1">IF((ISNUMBER('FIRE0508a raw'!G52)),ROUND('FIRE0508a raw'!G52,0),"..")</f>
        <v>0</v>
      </c>
      <c r="H52" s="62"/>
      <c r="J52" s="74"/>
      <c r="K52" s="74"/>
      <c r="M52" s="74"/>
      <c r="N52" s="74"/>
      <c r="P52" s="76"/>
      <c r="Q52" s="76"/>
      <c r="R52" s="76"/>
      <c r="S52" s="76"/>
      <c r="T52" s="76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</row>
    <row r="53" spans="1:32" s="63" customFormat="1" ht="15" customHeight="1">
      <c r="A53" s="96" t="s">
        <v>50</v>
      </c>
      <c r="B53" s="189">
        <f ca="1">IF((ISNUMBER('FIRE0508a raw'!B53)),ROUND('FIRE0508a raw'!B53,0),"..")</f>
        <v>53</v>
      </c>
      <c r="C53" s="91"/>
      <c r="D53" s="189">
        <f ca="1">IF((ISNUMBER('FIRE0508a raw'!D53)),ROUND('FIRE0508a raw'!D53,0),"..")</f>
        <v>6</v>
      </c>
      <c r="E53" s="189">
        <f ca="1">IF((ISNUMBER('FIRE0508a raw'!E53)),ROUND('FIRE0508a raw'!E53,0),"..")</f>
        <v>10</v>
      </c>
      <c r="F53" s="91"/>
      <c r="G53" s="189">
        <f ca="1">IF((ISNUMBER('FIRE0508a raw'!G53)),ROUND('FIRE0508a raw'!G53,0),"..")</f>
        <v>0</v>
      </c>
      <c r="H53" s="62"/>
      <c r="J53" s="74"/>
      <c r="K53" s="74"/>
      <c r="M53" s="74"/>
      <c r="N53" s="74"/>
      <c r="P53" s="76"/>
      <c r="Q53" s="76"/>
      <c r="R53" s="76"/>
      <c r="S53" s="76"/>
      <c r="T53" s="76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</row>
    <row r="54" spans="1:32" s="63" customFormat="1" ht="15" customHeight="1">
      <c r="A54" s="114" t="s">
        <v>51</v>
      </c>
      <c r="B54" s="189">
        <f ca="1">IF((ISNUMBER('FIRE0508a raw'!B54)),ROUND('FIRE0508a raw'!B54,0),"..")</f>
        <v>27</v>
      </c>
      <c r="C54" s="91"/>
      <c r="D54" s="189">
        <f ca="1">IF((ISNUMBER('FIRE0508a raw'!D54)),ROUND('FIRE0508a raw'!D54,0),"..")</f>
        <v>6</v>
      </c>
      <c r="E54" s="189">
        <f ca="1">IF((ISNUMBER('FIRE0508a raw'!E54)),ROUND('FIRE0508a raw'!E54,0),"..")</f>
        <v>0</v>
      </c>
      <c r="F54" s="91"/>
      <c r="G54" s="189">
        <f ca="1">IF((ISNUMBER('FIRE0508a raw'!G54)),ROUND('FIRE0508a raw'!G54,0),"..")</f>
        <v>0</v>
      </c>
      <c r="H54" s="62"/>
      <c r="J54" s="74"/>
      <c r="K54" s="74"/>
      <c r="M54" s="74"/>
      <c r="N54" s="74"/>
      <c r="P54" s="76"/>
      <c r="Q54" s="76"/>
      <c r="R54" s="76"/>
      <c r="S54" s="76"/>
      <c r="T54" s="76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</row>
    <row r="55" spans="1:32" s="63" customFormat="1" ht="15" customHeight="1">
      <c r="A55" s="114" t="s">
        <v>52</v>
      </c>
      <c r="B55" s="189">
        <f ca="1">IF((ISNUMBER('FIRE0508a raw'!B55)),ROUND('FIRE0508a raw'!B55,0),"..")</f>
        <v>99</v>
      </c>
      <c r="C55" s="91"/>
      <c r="D55" s="189">
        <f ca="1">IF((ISNUMBER('FIRE0508a raw'!D55)),ROUND('FIRE0508a raw'!D55,0),"..")</f>
        <v>11</v>
      </c>
      <c r="E55" s="189">
        <f ca="1">IF((ISNUMBER('FIRE0508a raw'!E55)),ROUND('FIRE0508a raw'!E55,0),"..")</f>
        <v>0</v>
      </c>
      <c r="F55" s="91"/>
      <c r="G55" s="189">
        <f ca="1">IF((ISNUMBER('FIRE0508a raw'!G55)),ROUND('FIRE0508a raw'!G55,0),"..")</f>
        <v>0</v>
      </c>
      <c r="H55" s="62"/>
      <c r="J55" s="74"/>
      <c r="K55" s="74"/>
      <c r="L55" s="62"/>
      <c r="M55" s="74"/>
      <c r="N55" s="74"/>
      <c r="P55" s="76"/>
      <c r="Q55" s="76"/>
      <c r="R55" s="76"/>
      <c r="S55" s="76"/>
      <c r="T55" s="76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</row>
    <row r="56" spans="1:32" s="63" customFormat="1" ht="15" customHeight="1">
      <c r="A56" s="114" t="s">
        <v>53</v>
      </c>
      <c r="B56" s="189">
        <f ca="1">IF((ISNUMBER('FIRE0508a raw'!B56)),ROUND('FIRE0508a raw'!B56,0),"..")</f>
        <v>136</v>
      </c>
      <c r="C56" s="91"/>
      <c r="D56" s="189">
        <f ca="1">IF((ISNUMBER('FIRE0508a raw'!D56)),ROUND('FIRE0508a raw'!D56,0),"..")</f>
        <v>21</v>
      </c>
      <c r="E56" s="189">
        <f ca="1">IF((ISNUMBER('FIRE0508a raw'!E56)),ROUND('FIRE0508a raw'!E56,0),"..")</f>
        <v>6</v>
      </c>
      <c r="F56" s="91"/>
      <c r="G56" s="189">
        <f ca="1">IF((ISNUMBER('FIRE0508a raw'!G56)),ROUND('FIRE0508a raw'!G56,0),"..")</f>
        <v>0</v>
      </c>
      <c r="H56" s="62"/>
      <c r="J56" s="74"/>
      <c r="K56" s="74"/>
      <c r="L56" s="62"/>
      <c r="M56" s="74"/>
      <c r="N56" s="74"/>
      <c r="P56" s="76"/>
      <c r="Q56" s="76"/>
      <c r="R56" s="76"/>
      <c r="S56" s="76"/>
      <c r="T56" s="76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</row>
    <row r="57" spans="1:32" s="63" customFormat="1" ht="15" customHeight="1" thickBot="1">
      <c r="A57" s="107" t="s">
        <v>54</v>
      </c>
      <c r="B57" s="191">
        <f ca="1">IF((ISNUMBER('FIRE0508a raw'!B57)),ROUND('FIRE0508a raw'!B57,0),"..")</f>
        <v>225</v>
      </c>
      <c r="C57" s="115"/>
      <c r="D57" s="191">
        <f ca="1">IF((ISNUMBER('FIRE0508a raw'!D57)),ROUND('FIRE0508a raw'!D57,0),"..")</f>
        <v>92</v>
      </c>
      <c r="E57" s="191">
        <f ca="1">IF((ISNUMBER('FIRE0508a raw'!E57)),ROUND('FIRE0508a raw'!E57,0),"..")</f>
        <v>48</v>
      </c>
      <c r="F57" s="115"/>
      <c r="G57" s="191">
        <f ca="1">IF((ISNUMBER('FIRE0508a raw'!G57)),ROUND('FIRE0508a raw'!G57,0),"..")</f>
        <v>0</v>
      </c>
      <c r="H57" s="62"/>
      <c r="J57" s="74"/>
      <c r="K57" s="74"/>
      <c r="L57" s="62"/>
      <c r="M57" s="74"/>
      <c r="N57" s="74"/>
      <c r="P57" s="76"/>
      <c r="Q57" s="76"/>
      <c r="R57" s="76"/>
      <c r="S57" s="76"/>
      <c r="T57" s="76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</row>
    <row r="58" spans="1:32" s="96" customFormat="1" ht="15">
      <c r="J58" s="111"/>
      <c r="K58" s="111"/>
      <c r="M58" s="111"/>
      <c r="N58" s="111"/>
      <c r="O58" s="111"/>
      <c r="P58" s="111"/>
      <c r="Q58" s="111"/>
      <c r="R58" s="111"/>
      <c r="S58" s="111"/>
      <c r="T58" s="111"/>
    </row>
    <row r="59" spans="1:32" s="106" customFormat="1" ht="15" customHeight="1">
      <c r="A59" s="243" t="s">
        <v>81</v>
      </c>
      <c r="B59" s="243"/>
      <c r="C59" s="243"/>
      <c r="D59" s="243"/>
      <c r="E59" s="243"/>
      <c r="F59" s="243"/>
      <c r="G59" s="243"/>
      <c r="H59" s="96"/>
      <c r="I59" s="96"/>
      <c r="J59" s="111"/>
      <c r="K59" s="111"/>
      <c r="L59" s="96"/>
      <c r="M59" s="111"/>
      <c r="N59" s="111"/>
      <c r="O59" s="111"/>
      <c r="P59" s="111"/>
      <c r="Q59" s="111"/>
      <c r="R59" s="111"/>
      <c r="S59" s="111"/>
      <c r="T59" s="111"/>
    </row>
    <row r="60" spans="1:32" s="106" customFormat="1" ht="120" customHeight="1">
      <c r="A60" s="243" t="s">
        <v>82</v>
      </c>
      <c r="B60" s="243"/>
      <c r="C60" s="243"/>
      <c r="D60" s="243"/>
      <c r="E60" s="243"/>
      <c r="F60" s="243"/>
      <c r="G60" s="243"/>
      <c r="H60" s="96"/>
      <c r="I60" s="96"/>
      <c r="J60" s="111"/>
      <c r="K60" s="111"/>
      <c r="L60" s="96"/>
      <c r="M60" s="111"/>
      <c r="N60" s="111"/>
      <c r="O60" s="111"/>
      <c r="P60" s="111"/>
      <c r="Q60" s="111"/>
      <c r="R60" s="111"/>
      <c r="S60" s="111"/>
      <c r="T60" s="111"/>
    </row>
    <row r="61" spans="1:32" s="106" customFormat="1" ht="15" customHeight="1">
      <c r="A61" s="109"/>
      <c r="B61" s="96"/>
      <c r="C61" s="96"/>
      <c r="D61" s="96"/>
      <c r="E61" s="96"/>
      <c r="F61" s="96"/>
      <c r="G61" s="96"/>
      <c r="H61" s="96"/>
      <c r="I61" s="96"/>
      <c r="J61" s="111"/>
      <c r="K61" s="111"/>
      <c r="L61" s="96"/>
      <c r="M61" s="111"/>
      <c r="N61" s="111"/>
      <c r="O61" s="111"/>
      <c r="P61" s="111"/>
      <c r="Q61" s="111"/>
      <c r="R61" s="111"/>
      <c r="S61" s="111"/>
      <c r="T61" s="111"/>
    </row>
    <row r="62" spans="1:32" s="106" customFormat="1" ht="15">
      <c r="A62" s="96" t="s">
        <v>83</v>
      </c>
      <c r="B62" s="113"/>
      <c r="C62" s="113"/>
      <c r="D62" s="113"/>
      <c r="E62" s="113"/>
      <c r="F62" s="113"/>
      <c r="G62" s="113"/>
      <c r="H62" s="96"/>
      <c r="I62" s="96"/>
      <c r="J62" s="111"/>
      <c r="K62" s="111"/>
      <c r="L62" s="96"/>
      <c r="M62" s="111"/>
      <c r="N62" s="111"/>
      <c r="O62" s="111"/>
      <c r="P62" s="111"/>
      <c r="Q62" s="111"/>
      <c r="R62" s="111"/>
      <c r="S62" s="111"/>
      <c r="T62" s="111"/>
    </row>
    <row r="63" spans="1:32" s="106" customFormat="1" ht="15" customHeight="1">
      <c r="A63" s="110" t="s">
        <v>84</v>
      </c>
      <c r="B63" s="112"/>
      <c r="C63" s="112"/>
      <c r="D63" s="112"/>
      <c r="E63" s="112"/>
      <c r="F63" s="112"/>
      <c r="G63" s="112"/>
      <c r="H63" s="96"/>
      <c r="I63" s="96"/>
      <c r="J63" s="111"/>
      <c r="K63" s="111"/>
      <c r="L63" s="96"/>
      <c r="M63" s="111"/>
      <c r="N63" s="111"/>
      <c r="O63" s="111"/>
      <c r="P63" s="111"/>
      <c r="Q63" s="111"/>
      <c r="R63" s="111"/>
      <c r="S63" s="111"/>
      <c r="T63" s="111"/>
    </row>
    <row r="64" spans="1:32" s="106" customFormat="1" ht="15" customHeight="1">
      <c r="A64" s="110"/>
      <c r="B64" s="113"/>
      <c r="C64" s="113"/>
      <c r="D64" s="113"/>
      <c r="E64" s="113"/>
      <c r="F64" s="113"/>
      <c r="G64" s="113"/>
      <c r="L64" s="96"/>
    </row>
    <row r="65" spans="1:12" s="106" customFormat="1" ht="15" customHeight="1">
      <c r="A65" s="183" t="s">
        <v>85</v>
      </c>
      <c r="B65" s="113"/>
      <c r="C65" s="113"/>
      <c r="D65" s="113"/>
      <c r="E65" s="113"/>
      <c r="F65" s="113"/>
      <c r="G65" s="113"/>
      <c r="L65" s="96"/>
    </row>
    <row r="66" spans="1:12" s="106" customFormat="1" ht="15" customHeight="1">
      <c r="A66" s="96"/>
      <c r="B66" s="113"/>
      <c r="C66" s="113"/>
      <c r="D66" s="113"/>
      <c r="E66" s="113"/>
      <c r="F66" s="113"/>
      <c r="L66" s="96"/>
    </row>
    <row r="67" spans="1:12" s="106" customFormat="1" ht="15">
      <c r="A67" s="96" t="s">
        <v>86</v>
      </c>
      <c r="B67" s="113"/>
      <c r="C67" s="113"/>
      <c r="D67" s="113"/>
      <c r="E67" s="113"/>
      <c r="F67" s="113"/>
      <c r="G67" s="113"/>
      <c r="L67" s="96"/>
    </row>
    <row r="68" spans="1:12" s="96" customFormat="1" ht="15">
      <c r="A68" s="110" t="s">
        <v>87</v>
      </c>
      <c r="G68" s="194" t="s">
        <v>131</v>
      </c>
    </row>
    <row r="69" spans="1:12" s="106" customFormat="1" ht="15">
      <c r="A69" s="96"/>
      <c r="B69" s="96"/>
      <c r="C69" s="96"/>
      <c r="D69" s="96"/>
      <c r="E69" s="96"/>
      <c r="F69" s="96"/>
      <c r="G69" s="195" t="s">
        <v>128</v>
      </c>
      <c r="L69" s="96"/>
    </row>
    <row r="70" spans="1:12" s="106" customFormat="1" ht="15">
      <c r="A70" s="110"/>
      <c r="B70" s="96"/>
      <c r="C70" s="96"/>
      <c r="D70" s="96"/>
      <c r="E70" s="96"/>
      <c r="F70" s="96"/>
      <c r="G70" s="96"/>
      <c r="L70" s="96"/>
    </row>
    <row r="71" spans="1:12" s="96" customFormat="1" ht="15"/>
    <row r="72" spans="1:12" s="96" customFormat="1" ht="15"/>
    <row r="73" spans="1:12" s="96" customFormat="1" ht="15"/>
    <row r="74" spans="1:12" s="96" customFormat="1" ht="15"/>
    <row r="75" spans="1:12" s="96" customFormat="1" ht="15"/>
    <row r="76" spans="1:12" s="96" customFormat="1" ht="15"/>
    <row r="77" spans="1:12">
      <c r="J77" s="62" t="s">
        <v>70</v>
      </c>
      <c r="K77" s="63"/>
    </row>
    <row r="78" spans="1:12">
      <c r="J78" s="62" t="s">
        <v>71</v>
      </c>
    </row>
    <row r="79" spans="1:12">
      <c r="J79" s="62" t="s">
        <v>72</v>
      </c>
    </row>
    <row r="80" spans="1:12">
      <c r="J80" s="62" t="s">
        <v>73</v>
      </c>
    </row>
    <row r="81" spans="10:10">
      <c r="J81" s="62" t="s">
        <v>74</v>
      </c>
    </row>
    <row r="82" spans="10:10">
      <c r="J82" s="62" t="s">
        <v>75</v>
      </c>
    </row>
    <row r="83" spans="10:10">
      <c r="J83" s="62" t="s">
        <v>76</v>
      </c>
    </row>
    <row r="84" spans="10:10">
      <c r="J84" s="62" t="s">
        <v>127</v>
      </c>
    </row>
  </sheetData>
  <mergeCells count="7">
    <mergeCell ref="A60:G60"/>
    <mergeCell ref="A1:G1"/>
    <mergeCell ref="A4:G4"/>
    <mergeCell ref="B6:B7"/>
    <mergeCell ref="D6:E6"/>
    <mergeCell ref="G6:G7"/>
    <mergeCell ref="A59:G59"/>
  </mergeCells>
  <dataValidations count="1">
    <dataValidation type="list" allowBlank="1" showInputMessage="1" showErrorMessage="1" sqref="A4:G4">
      <formula1>$J$77:$J$84</formula1>
    </dataValidation>
  </dataValidations>
  <hyperlinks>
    <hyperlink ref="A63" r:id="rId1"/>
    <hyperlink ref="A68" r:id="rId2"/>
    <hyperlink ref="G68" r:id="rId3"/>
  </hyperlinks>
  <pageMargins left="0.7" right="0.7" top="0.75" bottom="0.75" header="0.3" footer="0.3"/>
  <pageSetup paperSize="9" orientation="portrait" r:id="rId4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F0"/>
  </sheetPr>
  <dimension ref="A1:AK85"/>
  <sheetViews>
    <sheetView workbookViewId="0">
      <pane ySplit="9" topLeftCell="A10" activePane="bottomLeft" state="frozen"/>
      <selection pane="bottomLeft" activeCell="A4" sqref="A4:I4"/>
    </sheetView>
  </sheetViews>
  <sheetFormatPr defaultRowHeight="12.75"/>
  <cols>
    <col min="1" max="1" width="42.7109375" style="62" customWidth="1"/>
    <col min="2" max="3" width="12.7109375" style="62" customWidth="1"/>
    <col min="4" max="4" width="3.7109375" style="62" customWidth="1"/>
    <col min="5" max="6" width="12.7109375" style="62" customWidth="1"/>
    <col min="7" max="7" width="3.7109375" style="62" customWidth="1"/>
    <col min="8" max="9" width="12.7109375" style="62" customWidth="1"/>
    <col min="10" max="10" width="3.7109375" style="62" customWidth="1"/>
    <col min="11" max="12" width="12.7109375" style="62" customWidth="1"/>
    <col min="13" max="13" width="9.140625" style="62" customWidth="1"/>
    <col min="14" max="16" width="9.140625" style="62" hidden="1" customWidth="1"/>
    <col min="17" max="17" width="10" style="62" bestFit="1" customWidth="1"/>
    <col min="18" max="18" width="11.85546875" style="62" customWidth="1"/>
    <col min="19" max="23" width="9.140625" style="62"/>
    <col min="24" max="24" width="11" style="62" customWidth="1"/>
    <col min="25" max="16384" width="9.140625" style="62"/>
  </cols>
  <sheetData>
    <row r="1" spans="1:37" s="61" customFormat="1" ht="37.5" customHeight="1">
      <c r="A1" s="235" t="s">
        <v>123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59"/>
      <c r="N1" s="59"/>
      <c r="O1" s="60"/>
      <c r="P1" s="60"/>
    </row>
    <row r="2" spans="1:37" s="63" customFormat="1" ht="1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37" s="63" customFormat="1" ht="15" customHeight="1">
      <c r="A3" s="64" t="s">
        <v>66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2"/>
      <c r="M3" s="62"/>
      <c r="N3" s="62"/>
      <c r="O3" s="62"/>
      <c r="P3" s="62"/>
    </row>
    <row r="4" spans="1:37" s="63" customFormat="1" ht="15" customHeight="1">
      <c r="A4" s="236" t="s">
        <v>127</v>
      </c>
      <c r="B4" s="236"/>
      <c r="C4" s="236"/>
      <c r="D4" s="236"/>
      <c r="E4" s="236"/>
      <c r="F4" s="236"/>
      <c r="G4" s="236"/>
      <c r="H4" s="236"/>
      <c r="I4" s="236"/>
      <c r="J4" s="88"/>
      <c r="K4" s="88"/>
      <c r="L4" s="62"/>
      <c r="M4" s="62"/>
      <c r="N4" s="62"/>
      <c r="O4" s="62"/>
      <c r="P4" s="62"/>
      <c r="Q4" s="62"/>
    </row>
    <row r="5" spans="1:37" s="63" customFormat="1" ht="13.5" thickBot="1">
      <c r="A5" s="62"/>
      <c r="B5" s="238"/>
      <c r="C5" s="238"/>
      <c r="D5" s="238"/>
      <c r="E5" s="238"/>
      <c r="F5" s="238"/>
      <c r="G5" s="238"/>
      <c r="H5" s="238"/>
      <c r="I5" s="238"/>
      <c r="J5" s="67"/>
      <c r="K5" s="67"/>
      <c r="L5" s="67"/>
      <c r="M5" s="62"/>
      <c r="N5" s="62"/>
      <c r="O5" s="68"/>
      <c r="P5" s="68"/>
      <c r="R5" s="68"/>
      <c r="S5" s="68"/>
      <c r="U5" s="68"/>
      <c r="V5" s="68"/>
      <c r="W5" s="68"/>
      <c r="X5" s="68"/>
      <c r="Y5" s="68"/>
      <c r="AB5" s="69"/>
    </row>
    <row r="6" spans="1:37" s="63" customFormat="1" ht="30" customHeight="1" thickBot="1">
      <c r="A6" s="96"/>
      <c r="B6" s="241" t="s">
        <v>1</v>
      </c>
      <c r="C6" s="241"/>
      <c r="D6" s="117"/>
      <c r="E6" s="240" t="s">
        <v>79</v>
      </c>
      <c r="F6" s="240"/>
      <c r="G6" s="240"/>
      <c r="H6" s="240"/>
      <c r="I6" s="240"/>
      <c r="J6" s="117"/>
      <c r="K6" s="241" t="s">
        <v>120</v>
      </c>
      <c r="L6" s="241"/>
      <c r="M6" s="62"/>
      <c r="N6" s="62"/>
      <c r="O6" s="68"/>
      <c r="P6" s="68"/>
      <c r="R6" s="68"/>
      <c r="S6" s="68"/>
      <c r="U6" s="68"/>
      <c r="V6" s="68"/>
      <c r="W6" s="68"/>
      <c r="X6" s="68"/>
      <c r="Y6" s="68"/>
      <c r="AB6" s="69"/>
    </row>
    <row r="7" spans="1:37" s="61" customFormat="1" ht="30" customHeight="1" thickBot="1">
      <c r="A7" s="113"/>
      <c r="B7" s="242"/>
      <c r="C7" s="242"/>
      <c r="D7" s="118"/>
      <c r="E7" s="239" t="s">
        <v>3</v>
      </c>
      <c r="F7" s="239"/>
      <c r="G7" s="119"/>
      <c r="H7" s="239" t="s">
        <v>80</v>
      </c>
      <c r="I7" s="239"/>
      <c r="J7" s="118"/>
      <c r="K7" s="242"/>
      <c r="L7" s="242"/>
      <c r="M7" s="60"/>
      <c r="N7" s="60"/>
      <c r="O7" s="116"/>
      <c r="P7" s="116"/>
      <c r="R7" s="116"/>
      <c r="S7" s="116"/>
      <c r="U7" s="116"/>
      <c r="V7" s="116"/>
      <c r="W7" s="116"/>
      <c r="X7" s="116"/>
      <c r="Y7" s="116"/>
    </row>
    <row r="8" spans="1:37" s="72" customFormat="1" ht="48" thickBot="1">
      <c r="A8" s="99" t="s">
        <v>67</v>
      </c>
      <c r="B8" s="101" t="s">
        <v>59</v>
      </c>
      <c r="C8" s="101" t="s">
        <v>89</v>
      </c>
      <c r="D8" s="100"/>
      <c r="E8" s="101" t="s">
        <v>59</v>
      </c>
      <c r="F8" s="101" t="s">
        <v>89</v>
      </c>
      <c r="G8" s="100"/>
      <c r="H8" s="101" t="s">
        <v>59</v>
      </c>
      <c r="I8" s="101" t="s">
        <v>89</v>
      </c>
      <c r="J8" s="100"/>
      <c r="K8" s="101" t="s">
        <v>59</v>
      </c>
      <c r="L8" s="101" t="s">
        <v>89</v>
      </c>
      <c r="Q8" s="62"/>
    </row>
    <row r="9" spans="1:37" s="63" customFormat="1" ht="15" customHeight="1">
      <c r="A9" s="77" t="s">
        <v>6</v>
      </c>
      <c r="B9" s="103">
        <f ca="1">IF((ISNUMBER('FIRE0508b raw'!B9)),ROUND('FIRE0508b raw'!B9,0),"..")</f>
        <v>717</v>
      </c>
      <c r="C9" s="103">
        <f ca="1">IF((ISNUMBER('FIRE0508b raw'!C9)),ROUND('FIRE0508b raw'!C9,0),"..")</f>
        <v>354</v>
      </c>
      <c r="D9" s="103"/>
      <c r="E9" s="103">
        <f ca="1">IF((ISNUMBER('FIRE0508b raw'!E9)),ROUND('FIRE0508b raw'!E9,0),"..")</f>
        <v>142</v>
      </c>
      <c r="F9" s="103">
        <f ca="1">IF((ISNUMBER('FIRE0508b raw'!F9)),ROUND('FIRE0508b raw'!F9,0),"..")</f>
        <v>68</v>
      </c>
      <c r="G9" s="103"/>
      <c r="H9" s="103">
        <f ca="1">IF((ISNUMBER('FIRE0508b raw'!H9)),ROUND('FIRE0508b raw'!H9,0),"..")</f>
        <v>51</v>
      </c>
      <c r="I9" s="103">
        <f ca="1">IF((ISNUMBER('FIRE0508b raw'!I9)),ROUND('FIRE0508b raw'!I9,0),"..")</f>
        <v>24</v>
      </c>
      <c r="J9" s="103"/>
      <c r="K9" s="103">
        <f ca="1">IF((ISNUMBER('FIRE0508b raw'!K9)),ROUND('FIRE0508b raw'!K9,0),"..")</f>
        <v>0</v>
      </c>
      <c r="L9" s="103">
        <f ca="1">IF((ISNUMBER('FIRE0508b raw'!L9)),ROUND('FIRE0508b raw'!L9,0),"..")</f>
        <v>0</v>
      </c>
      <c r="M9" s="62"/>
      <c r="O9" s="74"/>
      <c r="P9" s="74"/>
      <c r="R9" s="74"/>
      <c r="S9" s="74"/>
      <c r="U9" s="76"/>
      <c r="V9" s="76"/>
      <c r="W9" s="76"/>
      <c r="X9" s="76"/>
      <c r="Y9" s="76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</row>
    <row r="10" spans="1:37" s="63" customFormat="1" ht="15" customHeight="1">
      <c r="A10" s="102" t="s">
        <v>68</v>
      </c>
      <c r="B10" s="103">
        <f ca="1">IF((ISNUMBER('FIRE0508b raw'!B10)),ROUND('FIRE0508b raw'!B10,0),"..")</f>
        <v>477</v>
      </c>
      <c r="C10" s="103">
        <f ca="1">IF((ISNUMBER('FIRE0508b raw'!C10)),ROUND('FIRE0508b raw'!C10,0),"..")</f>
        <v>231</v>
      </c>
      <c r="D10" s="103"/>
      <c r="E10" s="103">
        <f ca="1">IF((ISNUMBER('FIRE0508b raw'!E10)),ROUND('FIRE0508b raw'!E10,0),"..")</f>
        <v>89</v>
      </c>
      <c r="F10" s="103">
        <f ca="1">IF((ISNUMBER('FIRE0508b raw'!F10)),ROUND('FIRE0508b raw'!F10,0),"..")</f>
        <v>27</v>
      </c>
      <c r="G10" s="103"/>
      <c r="H10" s="103">
        <f ca="1">IF((ISNUMBER('FIRE0508b raw'!H10)),ROUND('FIRE0508b raw'!H10,0),"..")</f>
        <v>13</v>
      </c>
      <c r="I10" s="103">
        <f ca="1">IF((ISNUMBER('FIRE0508b raw'!I10)),ROUND('FIRE0508b raw'!I10,0),"..")</f>
        <v>4</v>
      </c>
      <c r="J10" s="103"/>
      <c r="K10" s="103">
        <f ca="1">IF((ISNUMBER('FIRE0508b raw'!K10)),ROUND('FIRE0508b raw'!K10,0),"..")</f>
        <v>0</v>
      </c>
      <c r="L10" s="103">
        <f ca="1">IF((ISNUMBER('FIRE0508b raw'!L10)),ROUND('FIRE0508b raw'!L10,0),"..")</f>
        <v>0</v>
      </c>
      <c r="M10" s="62"/>
      <c r="O10" s="74"/>
      <c r="P10" s="74"/>
      <c r="R10" s="74"/>
      <c r="S10" s="74"/>
      <c r="U10" s="76"/>
      <c r="V10" s="76"/>
      <c r="W10" s="76"/>
      <c r="X10" s="76"/>
      <c r="Y10" s="76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</row>
    <row r="11" spans="1:37" s="63" customFormat="1" ht="15" customHeight="1">
      <c r="A11" s="96" t="s">
        <v>8</v>
      </c>
      <c r="B11" s="104">
        <f ca="1">IF((ISNUMBER('FIRE0508b raw'!B11)),ROUND('FIRE0508b raw'!B11,0),"..")</f>
        <v>15</v>
      </c>
      <c r="C11" s="104">
        <f ca="1">IF((ISNUMBER('FIRE0508b raw'!C11)),ROUND('FIRE0508b raw'!C11,0),"..")</f>
        <v>1</v>
      </c>
      <c r="D11" s="104"/>
      <c r="E11" s="104">
        <f ca="1">IF((ISNUMBER('FIRE0508b raw'!E11)),ROUND('FIRE0508b raw'!E11,0),"..")</f>
        <v>5</v>
      </c>
      <c r="F11" s="104">
        <f ca="1">IF((ISNUMBER('FIRE0508b raw'!F11)),ROUND('FIRE0508b raw'!F11,0),"..")</f>
        <v>0</v>
      </c>
      <c r="G11" s="104"/>
      <c r="H11" s="104">
        <f ca="1">IF((ISNUMBER('FIRE0508b raw'!H11)),ROUND('FIRE0508b raw'!H11,0),"..")</f>
        <v>2</v>
      </c>
      <c r="I11" s="104">
        <f ca="1">IF((ISNUMBER('FIRE0508b raw'!I11)),ROUND('FIRE0508b raw'!I11,0),"..")</f>
        <v>0</v>
      </c>
      <c r="J11" s="104"/>
      <c r="K11" s="104">
        <f ca="1">IF((ISNUMBER('FIRE0508b raw'!K11)),ROUND('FIRE0508b raw'!K11,0),"..")</f>
        <v>0</v>
      </c>
      <c r="L11" s="104">
        <f ca="1">IF((ISNUMBER('FIRE0508b raw'!L11)),ROUND('FIRE0508b raw'!L11,0),"..")</f>
        <v>0</v>
      </c>
      <c r="M11" s="62"/>
      <c r="O11" s="74"/>
      <c r="P11" s="74"/>
      <c r="R11" s="74"/>
      <c r="S11" s="74"/>
      <c r="U11" s="76"/>
      <c r="V11" s="76"/>
      <c r="W11" s="76"/>
      <c r="X11" s="76"/>
      <c r="Y11" s="76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</row>
    <row r="12" spans="1:37" s="63" customFormat="1" ht="15" customHeight="1">
      <c r="A12" s="96" t="s">
        <v>9</v>
      </c>
      <c r="B12" s="104">
        <f ca="1">IF((ISNUMBER('FIRE0508b raw'!B12)),ROUND('FIRE0508b raw'!B12,0),"..")</f>
        <v>9</v>
      </c>
      <c r="C12" s="104">
        <f ca="1">IF((ISNUMBER('FIRE0508b raw'!C12)),ROUND('FIRE0508b raw'!C12,0),"..")</f>
        <v>6</v>
      </c>
      <c r="D12" s="104"/>
      <c r="E12" s="104">
        <f ca="1">IF((ISNUMBER('FIRE0508b raw'!E12)),ROUND('FIRE0508b raw'!E12,0),"..")</f>
        <v>1</v>
      </c>
      <c r="F12" s="104">
        <f ca="1">IF((ISNUMBER('FIRE0508b raw'!F12)),ROUND('FIRE0508b raw'!F12,0),"..")</f>
        <v>0</v>
      </c>
      <c r="G12" s="104"/>
      <c r="H12" s="104">
        <f ca="1">IF((ISNUMBER('FIRE0508b raw'!H12)),ROUND('FIRE0508b raw'!H12,0),"..")</f>
        <v>0</v>
      </c>
      <c r="I12" s="104">
        <f ca="1">IF((ISNUMBER('FIRE0508b raw'!I12)),ROUND('FIRE0508b raw'!I12,0),"..")</f>
        <v>0</v>
      </c>
      <c r="J12" s="104"/>
      <c r="K12" s="104">
        <f ca="1">IF((ISNUMBER('FIRE0508b raw'!K12)),ROUND('FIRE0508b raw'!K12,0),"..")</f>
        <v>0</v>
      </c>
      <c r="L12" s="104">
        <f ca="1">IF((ISNUMBER('FIRE0508b raw'!L12)),ROUND('FIRE0508b raw'!L12,0),"..")</f>
        <v>0</v>
      </c>
      <c r="M12" s="62"/>
      <c r="O12" s="74"/>
      <c r="P12" s="74"/>
      <c r="R12" s="74"/>
      <c r="S12" s="74"/>
      <c r="U12" s="76"/>
      <c r="V12" s="76"/>
      <c r="W12" s="76"/>
      <c r="X12" s="76"/>
      <c r="Y12" s="76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</row>
    <row r="13" spans="1:37" s="63" customFormat="1" ht="15" customHeight="1">
      <c r="A13" s="96" t="s">
        <v>10</v>
      </c>
      <c r="B13" s="104">
        <f ca="1">IF((ISNUMBER('FIRE0508b raw'!B13)),ROUND('FIRE0508b raw'!B13,0),"..")</f>
        <v>10</v>
      </c>
      <c r="C13" s="104">
        <f ca="1">IF((ISNUMBER('FIRE0508b raw'!C13)),ROUND('FIRE0508b raw'!C13,0),"..")</f>
        <v>9</v>
      </c>
      <c r="D13" s="104"/>
      <c r="E13" s="104">
        <f ca="1">IF((ISNUMBER('FIRE0508b raw'!E13)),ROUND('FIRE0508b raw'!E13,0),"..")</f>
        <v>2</v>
      </c>
      <c r="F13" s="104">
        <f ca="1">IF((ISNUMBER('FIRE0508b raw'!F13)),ROUND('FIRE0508b raw'!F13,0),"..")</f>
        <v>1</v>
      </c>
      <c r="G13" s="104"/>
      <c r="H13" s="104">
        <f ca="1">IF((ISNUMBER('FIRE0508b raw'!H13)),ROUND('FIRE0508b raw'!H13,0),"..")</f>
        <v>0</v>
      </c>
      <c r="I13" s="104">
        <f ca="1">IF((ISNUMBER('FIRE0508b raw'!I13)),ROUND('FIRE0508b raw'!I13,0),"..")</f>
        <v>0</v>
      </c>
      <c r="J13" s="104"/>
      <c r="K13" s="104">
        <f ca="1">IF((ISNUMBER('FIRE0508b raw'!K13)),ROUND('FIRE0508b raw'!K13,0),"..")</f>
        <v>0</v>
      </c>
      <c r="L13" s="104">
        <f ca="1">IF((ISNUMBER('FIRE0508b raw'!L13)),ROUND('FIRE0508b raw'!L13,0),"..")</f>
        <v>0</v>
      </c>
      <c r="M13" s="62"/>
      <c r="O13" s="74"/>
      <c r="P13" s="74"/>
      <c r="R13" s="74"/>
      <c r="S13" s="74"/>
      <c r="U13" s="76"/>
      <c r="V13" s="76"/>
      <c r="W13" s="76"/>
      <c r="X13" s="76"/>
      <c r="Y13" s="76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</row>
    <row r="14" spans="1:37" s="63" customFormat="1" ht="15" customHeight="1">
      <c r="A14" s="96" t="s">
        <v>11</v>
      </c>
      <c r="B14" s="104">
        <f ca="1">IF((ISNUMBER('FIRE0508b raw'!B14)),ROUND('FIRE0508b raw'!B14,0),"..")</f>
        <v>5</v>
      </c>
      <c r="C14" s="104">
        <f ca="1">IF((ISNUMBER('FIRE0508b raw'!C14)),ROUND('FIRE0508b raw'!C14,0),"..")</f>
        <v>5</v>
      </c>
      <c r="D14" s="104"/>
      <c r="E14" s="104">
        <f ca="1">IF((ISNUMBER('FIRE0508b raw'!E14)),ROUND('FIRE0508b raw'!E14,0),"..")</f>
        <v>1</v>
      </c>
      <c r="F14" s="104">
        <f ca="1">IF((ISNUMBER('FIRE0508b raw'!F14)),ROUND('FIRE0508b raw'!F14,0),"..")</f>
        <v>2</v>
      </c>
      <c r="G14" s="104"/>
      <c r="H14" s="104">
        <f ca="1">IF((ISNUMBER('FIRE0508b raw'!H14)),ROUND('FIRE0508b raw'!H14,0),"..")</f>
        <v>0</v>
      </c>
      <c r="I14" s="104">
        <f ca="1">IF((ISNUMBER('FIRE0508b raw'!I14)),ROUND('FIRE0508b raw'!I14,0),"..")</f>
        <v>0</v>
      </c>
      <c r="J14" s="104"/>
      <c r="K14" s="104">
        <f ca="1">IF((ISNUMBER('FIRE0508b raw'!K14)),ROUND('FIRE0508b raw'!K14,0),"..")</f>
        <v>0</v>
      </c>
      <c r="L14" s="104">
        <f ca="1">IF((ISNUMBER('FIRE0508b raw'!L14)),ROUND('FIRE0508b raw'!L14,0),"..")</f>
        <v>0</v>
      </c>
      <c r="M14" s="62"/>
      <c r="O14" s="74"/>
      <c r="P14" s="74"/>
      <c r="R14" s="74"/>
      <c r="S14" s="74"/>
      <c r="U14" s="76"/>
      <c r="V14" s="76"/>
      <c r="W14" s="76"/>
      <c r="X14" s="76"/>
      <c r="Y14" s="76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</row>
    <row r="15" spans="1:37" s="63" customFormat="1" ht="15" customHeight="1">
      <c r="A15" s="96" t="s">
        <v>12</v>
      </c>
      <c r="B15" s="104">
        <f ca="1">IF((ISNUMBER('FIRE0508b raw'!B15)),ROUND('FIRE0508b raw'!B15,0),"..")</f>
        <v>33</v>
      </c>
      <c r="C15" s="104">
        <f ca="1">IF((ISNUMBER('FIRE0508b raw'!C15)),ROUND('FIRE0508b raw'!C15,0),"..")</f>
        <v>22</v>
      </c>
      <c r="D15" s="104"/>
      <c r="E15" s="104">
        <f ca="1">IF((ISNUMBER('FIRE0508b raw'!E15)),ROUND('FIRE0508b raw'!E15,0),"..")</f>
        <v>1</v>
      </c>
      <c r="F15" s="104">
        <f ca="1">IF((ISNUMBER('FIRE0508b raw'!F15)),ROUND('FIRE0508b raw'!F15,0),"..")</f>
        <v>0</v>
      </c>
      <c r="G15" s="104"/>
      <c r="H15" s="104">
        <f ca="1">IF((ISNUMBER('FIRE0508b raw'!H15)),ROUND('FIRE0508b raw'!H15,0),"..")</f>
        <v>0</v>
      </c>
      <c r="I15" s="104">
        <f ca="1">IF((ISNUMBER('FIRE0508b raw'!I15)),ROUND('FIRE0508b raw'!I15,0),"..")</f>
        <v>0</v>
      </c>
      <c r="J15" s="104"/>
      <c r="K15" s="104">
        <f ca="1">IF((ISNUMBER('FIRE0508b raw'!K15)),ROUND('FIRE0508b raw'!K15,0),"..")</f>
        <v>0</v>
      </c>
      <c r="L15" s="104">
        <f ca="1">IF((ISNUMBER('FIRE0508b raw'!L15)),ROUND('FIRE0508b raw'!L15,0),"..")</f>
        <v>0</v>
      </c>
      <c r="M15" s="62"/>
      <c r="O15" s="74"/>
      <c r="P15" s="74"/>
      <c r="R15" s="74"/>
      <c r="S15" s="74"/>
      <c r="U15" s="76"/>
      <c r="V15" s="76"/>
      <c r="W15" s="76"/>
      <c r="X15" s="76"/>
      <c r="Y15" s="76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</row>
    <row r="16" spans="1:37" s="63" customFormat="1" ht="15" customHeight="1">
      <c r="A16" s="96" t="s">
        <v>13</v>
      </c>
      <c r="B16" s="104">
        <f ca="1">IF((ISNUMBER('FIRE0508b raw'!B16)),ROUND('FIRE0508b raw'!B16,0),"..")</f>
        <v>5</v>
      </c>
      <c r="C16" s="104">
        <f ca="1">IF((ISNUMBER('FIRE0508b raw'!C16)),ROUND('FIRE0508b raw'!C16,0),"..")</f>
        <v>0</v>
      </c>
      <c r="D16" s="104"/>
      <c r="E16" s="104">
        <f ca="1">IF((ISNUMBER('FIRE0508b raw'!E16)),ROUND('FIRE0508b raw'!E16,0),"..")</f>
        <v>0</v>
      </c>
      <c r="F16" s="104">
        <f ca="1">IF((ISNUMBER('FIRE0508b raw'!F16)),ROUND('FIRE0508b raw'!F16,0),"..")</f>
        <v>0</v>
      </c>
      <c r="G16" s="104"/>
      <c r="H16" s="104">
        <f ca="1">IF((ISNUMBER('FIRE0508b raw'!H16)),ROUND('FIRE0508b raw'!H16,0),"..")</f>
        <v>0</v>
      </c>
      <c r="I16" s="104">
        <f ca="1">IF((ISNUMBER('FIRE0508b raw'!I16)),ROUND('FIRE0508b raw'!I16,0),"..")</f>
        <v>0</v>
      </c>
      <c r="J16" s="104"/>
      <c r="K16" s="104">
        <f ca="1">IF((ISNUMBER('FIRE0508b raw'!K16)),ROUND('FIRE0508b raw'!K16,0),"..")</f>
        <v>0</v>
      </c>
      <c r="L16" s="104">
        <f ca="1">IF((ISNUMBER('FIRE0508b raw'!L16)),ROUND('FIRE0508b raw'!L16,0),"..")</f>
        <v>0</v>
      </c>
      <c r="M16" s="62"/>
      <c r="O16" s="74"/>
      <c r="P16" s="74"/>
      <c r="R16" s="74"/>
      <c r="S16" s="74"/>
      <c r="U16" s="76"/>
      <c r="V16" s="76"/>
      <c r="W16" s="76"/>
      <c r="X16" s="76"/>
      <c r="Y16" s="76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</row>
    <row r="17" spans="1:37" s="63" customFormat="1" ht="15" customHeight="1">
      <c r="A17" s="96" t="s">
        <v>14</v>
      </c>
      <c r="B17" s="104">
        <f ca="1">IF((ISNUMBER('FIRE0508b raw'!B17)),ROUND('FIRE0508b raw'!B17,0),"..")</f>
        <v>1</v>
      </c>
      <c r="C17" s="104">
        <f ca="1">IF((ISNUMBER('FIRE0508b raw'!C17)),ROUND('FIRE0508b raw'!C17,0),"..")</f>
        <v>1</v>
      </c>
      <c r="D17" s="104"/>
      <c r="E17" s="104">
        <f ca="1">IF((ISNUMBER('FIRE0508b raw'!E17)),ROUND('FIRE0508b raw'!E17,0),"..")</f>
        <v>0</v>
      </c>
      <c r="F17" s="104">
        <f ca="1">IF((ISNUMBER('FIRE0508b raw'!F17)),ROUND('FIRE0508b raw'!F17,0),"..")</f>
        <v>0</v>
      </c>
      <c r="G17" s="104"/>
      <c r="H17" s="104">
        <f ca="1">IF((ISNUMBER('FIRE0508b raw'!H17)),ROUND('FIRE0508b raw'!H17,0),"..")</f>
        <v>0</v>
      </c>
      <c r="I17" s="104">
        <f ca="1">IF((ISNUMBER('FIRE0508b raw'!I17)),ROUND('FIRE0508b raw'!I17,0),"..")</f>
        <v>0</v>
      </c>
      <c r="J17" s="104"/>
      <c r="K17" s="104">
        <f ca="1">IF((ISNUMBER('FIRE0508b raw'!K17)),ROUND('FIRE0508b raw'!K17,0),"..")</f>
        <v>0</v>
      </c>
      <c r="L17" s="104">
        <f ca="1">IF((ISNUMBER('FIRE0508b raw'!L17)),ROUND('FIRE0508b raw'!L17,0),"..")</f>
        <v>0</v>
      </c>
      <c r="M17" s="62"/>
      <c r="O17" s="74"/>
      <c r="P17" s="74"/>
      <c r="R17" s="74"/>
      <c r="S17" s="74"/>
      <c r="U17" s="76"/>
      <c r="V17" s="76"/>
      <c r="W17" s="76"/>
      <c r="X17" s="76"/>
      <c r="Y17" s="76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</row>
    <row r="18" spans="1:37" s="63" customFormat="1" ht="15" customHeight="1">
      <c r="A18" s="96" t="s">
        <v>15</v>
      </c>
      <c r="B18" s="104">
        <f ca="1">IF((ISNUMBER('FIRE0508b raw'!B18)),ROUND('FIRE0508b raw'!B18,0),"..")</f>
        <v>5</v>
      </c>
      <c r="C18" s="104">
        <f ca="1">IF((ISNUMBER('FIRE0508b raw'!C18)),ROUND('FIRE0508b raw'!C18,0),"..")</f>
        <v>2</v>
      </c>
      <c r="D18" s="104"/>
      <c r="E18" s="104">
        <f ca="1">IF((ISNUMBER('FIRE0508b raw'!E18)),ROUND('FIRE0508b raw'!E18,0),"..")</f>
        <v>3</v>
      </c>
      <c r="F18" s="104">
        <f ca="1">IF((ISNUMBER('FIRE0508b raw'!F18)),ROUND('FIRE0508b raw'!F18,0),"..")</f>
        <v>1</v>
      </c>
      <c r="G18" s="104"/>
      <c r="H18" s="104">
        <f ca="1">IF((ISNUMBER('FIRE0508b raw'!H18)),ROUND('FIRE0508b raw'!H18,0),"..")</f>
        <v>0</v>
      </c>
      <c r="I18" s="104">
        <f ca="1">IF((ISNUMBER('FIRE0508b raw'!I18)),ROUND('FIRE0508b raw'!I18,0),"..")</f>
        <v>1</v>
      </c>
      <c r="J18" s="104"/>
      <c r="K18" s="104">
        <f ca="1">IF((ISNUMBER('FIRE0508b raw'!K18)),ROUND('FIRE0508b raw'!K18,0),"..")</f>
        <v>0</v>
      </c>
      <c r="L18" s="104">
        <f ca="1">IF((ISNUMBER('FIRE0508b raw'!L18)),ROUND('FIRE0508b raw'!L18,0),"..")</f>
        <v>0</v>
      </c>
      <c r="M18" s="62"/>
      <c r="O18" s="74"/>
      <c r="P18" s="74"/>
      <c r="R18" s="74"/>
      <c r="S18" s="74"/>
      <c r="U18" s="76"/>
      <c r="V18" s="76"/>
      <c r="W18" s="76"/>
      <c r="X18" s="76"/>
      <c r="Y18" s="76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</row>
    <row r="19" spans="1:37" s="63" customFormat="1" ht="15" customHeight="1">
      <c r="A19" s="105" t="s">
        <v>16</v>
      </c>
      <c r="B19" s="104">
        <f ca="1">IF((ISNUMBER('FIRE0508b raw'!B19)),ROUND('FIRE0508b raw'!B19,0),"..")</f>
        <v>9</v>
      </c>
      <c r="C19" s="104">
        <f ca="1">IF((ISNUMBER('FIRE0508b raw'!C19)),ROUND('FIRE0508b raw'!C19,0),"..")</f>
        <v>1</v>
      </c>
      <c r="D19" s="104"/>
      <c r="E19" s="104">
        <f ca="1">IF((ISNUMBER('FIRE0508b raw'!E19)),ROUND('FIRE0508b raw'!E19,0),"..")</f>
        <v>3</v>
      </c>
      <c r="F19" s="104">
        <f ca="1">IF((ISNUMBER('FIRE0508b raw'!F19)),ROUND('FIRE0508b raw'!F19,0),"..")</f>
        <v>0</v>
      </c>
      <c r="G19" s="104"/>
      <c r="H19" s="104">
        <f ca="1">IF((ISNUMBER('FIRE0508b raw'!H19)),ROUND('FIRE0508b raw'!H19,0),"..")</f>
        <v>0</v>
      </c>
      <c r="I19" s="104">
        <f ca="1">IF((ISNUMBER('FIRE0508b raw'!I19)),ROUND('FIRE0508b raw'!I19,0),"..")</f>
        <v>0</v>
      </c>
      <c r="J19" s="104"/>
      <c r="K19" s="104">
        <f ca="1">IF((ISNUMBER('FIRE0508b raw'!K19)),ROUND('FIRE0508b raw'!K19,0),"..")</f>
        <v>0</v>
      </c>
      <c r="L19" s="104">
        <f ca="1">IF((ISNUMBER('FIRE0508b raw'!L19)),ROUND('FIRE0508b raw'!L19,0),"..")</f>
        <v>0</v>
      </c>
      <c r="M19" s="62"/>
      <c r="O19" s="74"/>
      <c r="P19" s="74"/>
      <c r="R19" s="74"/>
      <c r="S19" s="74"/>
      <c r="U19" s="76"/>
      <c r="V19" s="76"/>
      <c r="W19" s="76"/>
      <c r="X19" s="76"/>
      <c r="Y19" s="76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</row>
    <row r="20" spans="1:37" s="63" customFormat="1" ht="15" customHeight="1">
      <c r="A20" s="105" t="s">
        <v>17</v>
      </c>
      <c r="B20" s="104">
        <f ca="1">IF((ISNUMBER('FIRE0508b raw'!B20)),ROUND('FIRE0508b raw'!B20,0),"..")</f>
        <v>9</v>
      </c>
      <c r="C20" s="104">
        <f ca="1">IF((ISNUMBER('FIRE0508b raw'!C20)),ROUND('FIRE0508b raw'!C20,0),"..")</f>
        <v>2</v>
      </c>
      <c r="D20" s="104"/>
      <c r="E20" s="104">
        <f ca="1">IF((ISNUMBER('FIRE0508b raw'!E20)),ROUND('FIRE0508b raw'!E20,0),"..")</f>
        <v>5</v>
      </c>
      <c r="F20" s="104">
        <f ca="1">IF((ISNUMBER('FIRE0508b raw'!F20)),ROUND('FIRE0508b raw'!F20,0),"..")</f>
        <v>1</v>
      </c>
      <c r="G20" s="104"/>
      <c r="H20" s="104">
        <f ca="1">IF((ISNUMBER('FIRE0508b raw'!H20)),ROUND('FIRE0508b raw'!H20,0),"..")</f>
        <v>0</v>
      </c>
      <c r="I20" s="104">
        <f ca="1">IF((ISNUMBER('FIRE0508b raw'!I20)),ROUND('FIRE0508b raw'!I20,0),"..")</f>
        <v>0</v>
      </c>
      <c r="J20" s="104"/>
      <c r="K20" s="104">
        <f ca="1">IF((ISNUMBER('FIRE0508b raw'!K20)),ROUND('FIRE0508b raw'!K20,0),"..")</f>
        <v>0</v>
      </c>
      <c r="L20" s="104">
        <f ca="1">IF((ISNUMBER('FIRE0508b raw'!L20)),ROUND('FIRE0508b raw'!L20,0),"..")</f>
        <v>0</v>
      </c>
      <c r="M20" s="62"/>
      <c r="O20" s="74"/>
      <c r="P20" s="74"/>
      <c r="R20" s="74"/>
      <c r="S20" s="74"/>
      <c r="U20" s="76"/>
      <c r="V20" s="76"/>
      <c r="W20" s="76"/>
      <c r="X20" s="76"/>
      <c r="Y20" s="76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</row>
    <row r="21" spans="1:37" s="63" customFormat="1" ht="15" customHeight="1">
      <c r="A21" s="96" t="s">
        <v>18</v>
      </c>
      <c r="B21" s="104">
        <f ca="1">IF((ISNUMBER('FIRE0508b raw'!B21)),ROUND('FIRE0508b raw'!B21,0),"..")</f>
        <v>22</v>
      </c>
      <c r="C21" s="104">
        <f ca="1">IF((ISNUMBER('FIRE0508b raw'!C21)),ROUND('FIRE0508b raw'!C21,0),"..")</f>
        <v>4</v>
      </c>
      <c r="D21" s="104"/>
      <c r="E21" s="104">
        <f ca="1">IF((ISNUMBER('FIRE0508b raw'!E21)),ROUND('FIRE0508b raw'!E21,0),"..")</f>
        <v>5</v>
      </c>
      <c r="F21" s="104">
        <f ca="1">IF((ISNUMBER('FIRE0508b raw'!F21)),ROUND('FIRE0508b raw'!F21,0),"..")</f>
        <v>1</v>
      </c>
      <c r="G21" s="104"/>
      <c r="H21" s="104">
        <f ca="1">IF((ISNUMBER('FIRE0508b raw'!H21)),ROUND('FIRE0508b raw'!H21,0),"..")</f>
        <v>0</v>
      </c>
      <c r="I21" s="104">
        <f ca="1">IF((ISNUMBER('FIRE0508b raw'!I21)),ROUND('FIRE0508b raw'!I21,0),"..")</f>
        <v>0</v>
      </c>
      <c r="J21" s="104"/>
      <c r="K21" s="104">
        <f ca="1">IF((ISNUMBER('FIRE0508b raw'!K21)),ROUND('FIRE0508b raw'!K21,0),"..")</f>
        <v>0</v>
      </c>
      <c r="L21" s="104">
        <f ca="1">IF((ISNUMBER('FIRE0508b raw'!L21)),ROUND('FIRE0508b raw'!L21,0),"..")</f>
        <v>0</v>
      </c>
      <c r="M21" s="62"/>
      <c r="O21" s="74"/>
      <c r="P21" s="74"/>
      <c r="R21" s="74"/>
      <c r="S21" s="74"/>
      <c r="U21" s="76"/>
      <c r="V21" s="76"/>
      <c r="W21" s="76"/>
      <c r="X21" s="76"/>
      <c r="Y21" s="76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</row>
    <row r="22" spans="1:37" s="63" customFormat="1" ht="15" customHeight="1">
      <c r="A22" s="96" t="s">
        <v>125</v>
      </c>
      <c r="B22" s="104">
        <f ca="1">IF((ISNUMBER('FIRE0508b raw'!B22)),ROUND('FIRE0508b raw'!B22,0),"..")</f>
        <v>30</v>
      </c>
      <c r="C22" s="104">
        <f ca="1">IF((ISNUMBER('FIRE0508b raw'!C22)),ROUND('FIRE0508b raw'!C22,0),"..")</f>
        <v>15</v>
      </c>
      <c r="D22" s="104"/>
      <c r="E22" s="104">
        <f ca="1">IF((ISNUMBER('FIRE0508b raw'!E22)),ROUND('FIRE0508b raw'!E22,0),"..")</f>
        <v>5</v>
      </c>
      <c r="F22" s="104">
        <f ca="1">IF((ISNUMBER('FIRE0508b raw'!F22)),ROUND('FIRE0508b raw'!F22,0),"..")</f>
        <v>2</v>
      </c>
      <c r="G22" s="104"/>
      <c r="H22" s="104">
        <f ca="1">IF((ISNUMBER('FIRE0508b raw'!H22)),ROUND('FIRE0508b raw'!H22,0),"..")</f>
        <v>0</v>
      </c>
      <c r="I22" s="104">
        <f ca="1">IF((ISNUMBER('FIRE0508b raw'!I22)),ROUND('FIRE0508b raw'!I22,0),"..")</f>
        <v>0</v>
      </c>
      <c r="J22" s="104"/>
      <c r="K22" s="104">
        <f ca="1">IF((ISNUMBER('FIRE0508b raw'!K22)),ROUND('FIRE0508b raw'!K22,0),"..")</f>
        <v>0</v>
      </c>
      <c r="L22" s="104">
        <f ca="1">IF((ISNUMBER('FIRE0508b raw'!L22)),ROUND('FIRE0508b raw'!L22,0),"..")</f>
        <v>0</v>
      </c>
      <c r="M22" s="62"/>
      <c r="O22" s="74"/>
      <c r="P22" s="74"/>
      <c r="R22" s="74"/>
      <c r="S22" s="74"/>
      <c r="U22" s="76"/>
      <c r="V22" s="76"/>
      <c r="W22" s="76"/>
      <c r="X22" s="76"/>
      <c r="Y22" s="76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</row>
    <row r="23" spans="1:37" s="63" customFormat="1" ht="15" customHeight="1">
      <c r="A23" s="96" t="s">
        <v>19</v>
      </c>
      <c r="B23" s="104" t="str">
        <f ca="1">IF((ISNUMBER('FIRE0508b raw'!B23)),ROUND('FIRE0508b raw'!B23,0),"..")</f>
        <v>..</v>
      </c>
      <c r="C23" s="104" t="str">
        <f ca="1">IF((ISNUMBER('FIRE0508b raw'!C23)),ROUND('FIRE0508b raw'!C23,0),"..")</f>
        <v>..</v>
      </c>
      <c r="D23" s="104"/>
      <c r="E23" s="104" t="str">
        <f ca="1">IF((ISNUMBER('FIRE0508b raw'!E23)),ROUND('FIRE0508b raw'!E23,0),"..")</f>
        <v>..</v>
      </c>
      <c r="F23" s="104" t="str">
        <f ca="1">IF((ISNUMBER('FIRE0508b raw'!F23)),ROUND('FIRE0508b raw'!F23,0),"..")</f>
        <v>..</v>
      </c>
      <c r="G23" s="104"/>
      <c r="H23" s="104" t="str">
        <f ca="1">IF((ISNUMBER('FIRE0508b raw'!H23)),ROUND('FIRE0508b raw'!H23,0),"..")</f>
        <v>..</v>
      </c>
      <c r="I23" s="104" t="str">
        <f ca="1">IF((ISNUMBER('FIRE0508b raw'!I23)),ROUND('FIRE0508b raw'!I23,0),"..")</f>
        <v>..</v>
      </c>
      <c r="J23" s="104"/>
      <c r="K23" s="104" t="str">
        <f ca="1">IF((ISNUMBER('FIRE0508b raw'!K23)),ROUND('FIRE0508b raw'!K23,0),"..")</f>
        <v>..</v>
      </c>
      <c r="L23" s="104" t="str">
        <f ca="1">IF((ISNUMBER('FIRE0508b raw'!L23)),ROUND('FIRE0508b raw'!L23,0),"..")</f>
        <v>..</v>
      </c>
      <c r="M23" s="62"/>
      <c r="O23" s="74"/>
      <c r="P23" s="74"/>
      <c r="R23" s="74"/>
      <c r="S23" s="74"/>
      <c r="U23" s="76"/>
      <c r="V23" s="76"/>
      <c r="W23" s="76"/>
      <c r="X23" s="76"/>
      <c r="Y23" s="76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</row>
    <row r="24" spans="1:37" s="63" customFormat="1" ht="15" customHeight="1">
      <c r="A24" s="96" t="s">
        <v>20</v>
      </c>
      <c r="B24" s="104">
        <f ca="1">IF((ISNUMBER('FIRE0508b raw'!B24)),ROUND('FIRE0508b raw'!B24,0),"..")</f>
        <v>1</v>
      </c>
      <c r="C24" s="104">
        <f ca="1">IF((ISNUMBER('FIRE0508b raw'!C24)),ROUND('FIRE0508b raw'!C24,0),"..")</f>
        <v>2</v>
      </c>
      <c r="D24" s="104"/>
      <c r="E24" s="104">
        <f ca="1">IF((ISNUMBER('FIRE0508b raw'!E24)),ROUND('FIRE0508b raw'!E24,0),"..")</f>
        <v>1</v>
      </c>
      <c r="F24" s="104">
        <f ca="1">IF((ISNUMBER('FIRE0508b raw'!F24)),ROUND('FIRE0508b raw'!F24,0),"..")</f>
        <v>2</v>
      </c>
      <c r="G24" s="104"/>
      <c r="H24" s="104">
        <f ca="1">IF((ISNUMBER('FIRE0508b raw'!H24)),ROUND('FIRE0508b raw'!H24,0),"..")</f>
        <v>0</v>
      </c>
      <c r="I24" s="104">
        <f ca="1">IF((ISNUMBER('FIRE0508b raw'!I24)),ROUND('FIRE0508b raw'!I24,0),"..")</f>
        <v>0</v>
      </c>
      <c r="J24" s="104"/>
      <c r="K24" s="104">
        <f ca="1">IF((ISNUMBER('FIRE0508b raw'!K24)),ROUND('FIRE0508b raw'!K24,0),"..")</f>
        <v>0</v>
      </c>
      <c r="L24" s="104">
        <f ca="1">IF((ISNUMBER('FIRE0508b raw'!L24)),ROUND('FIRE0508b raw'!L24,0),"..")</f>
        <v>0</v>
      </c>
      <c r="M24" s="62"/>
      <c r="O24" s="74"/>
      <c r="P24" s="74"/>
      <c r="R24" s="74"/>
      <c r="S24" s="74"/>
      <c r="U24" s="76"/>
      <c r="V24" s="76"/>
      <c r="W24" s="76"/>
      <c r="X24" s="76"/>
      <c r="Y24" s="76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</row>
    <row r="25" spans="1:37" s="63" customFormat="1" ht="15" customHeight="1">
      <c r="A25" s="96" t="s">
        <v>21</v>
      </c>
      <c r="B25" s="104">
        <f ca="1">IF((ISNUMBER('FIRE0508b raw'!B25)),ROUND('FIRE0508b raw'!B25,0),"..")</f>
        <v>10</v>
      </c>
      <c r="C25" s="104">
        <f ca="1">IF((ISNUMBER('FIRE0508b raw'!C25)),ROUND('FIRE0508b raw'!C25,0),"..")</f>
        <v>10</v>
      </c>
      <c r="D25" s="104"/>
      <c r="E25" s="104">
        <f ca="1">IF((ISNUMBER('FIRE0508b raw'!E25)),ROUND('FIRE0508b raw'!E25,0),"..")</f>
        <v>1</v>
      </c>
      <c r="F25" s="104">
        <f ca="1">IF((ISNUMBER('FIRE0508b raw'!F25)),ROUND('FIRE0508b raw'!F25,0),"..")</f>
        <v>1</v>
      </c>
      <c r="G25" s="104"/>
      <c r="H25" s="104">
        <f ca="1">IF((ISNUMBER('FIRE0508b raw'!H25)),ROUND('FIRE0508b raw'!H25,0),"..")</f>
        <v>3</v>
      </c>
      <c r="I25" s="104">
        <f ca="1">IF((ISNUMBER('FIRE0508b raw'!I25)),ROUND('FIRE0508b raw'!I25,0),"..")</f>
        <v>1</v>
      </c>
      <c r="J25" s="104"/>
      <c r="K25" s="104">
        <f ca="1">IF((ISNUMBER('FIRE0508b raw'!K25)),ROUND('FIRE0508b raw'!K25,0),"..")</f>
        <v>0</v>
      </c>
      <c r="L25" s="104">
        <f ca="1">IF((ISNUMBER('FIRE0508b raw'!L25)),ROUND('FIRE0508b raw'!L25,0),"..")</f>
        <v>0</v>
      </c>
      <c r="M25" s="62"/>
      <c r="O25" s="74"/>
      <c r="P25" s="74"/>
      <c r="R25" s="74"/>
      <c r="S25" s="74"/>
      <c r="U25" s="76"/>
      <c r="V25" s="76"/>
      <c r="W25" s="76"/>
      <c r="X25" s="76"/>
      <c r="Y25" s="76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</row>
    <row r="26" spans="1:37" s="63" customFormat="1" ht="15" customHeight="1">
      <c r="A26" s="96" t="s">
        <v>22</v>
      </c>
      <c r="B26" s="104">
        <f ca="1">IF((ISNUMBER('FIRE0508b raw'!B26)),ROUND('FIRE0508b raw'!B26,0),"..")</f>
        <v>63</v>
      </c>
      <c r="C26" s="104">
        <f ca="1">IF((ISNUMBER('FIRE0508b raw'!C26)),ROUND('FIRE0508b raw'!C26,0),"..")</f>
        <v>45</v>
      </c>
      <c r="D26" s="104"/>
      <c r="E26" s="104">
        <f ca="1">IF((ISNUMBER('FIRE0508b raw'!E26)),ROUND('FIRE0508b raw'!E26,0),"..")</f>
        <v>8</v>
      </c>
      <c r="F26" s="104">
        <f ca="1">IF((ISNUMBER('FIRE0508b raw'!F26)),ROUND('FIRE0508b raw'!F26,0),"..")</f>
        <v>2</v>
      </c>
      <c r="G26" s="104"/>
      <c r="H26" s="104">
        <f ca="1">IF((ISNUMBER('FIRE0508b raw'!H26)),ROUND('FIRE0508b raw'!H26,0),"..")</f>
        <v>0</v>
      </c>
      <c r="I26" s="104">
        <f ca="1">IF((ISNUMBER('FIRE0508b raw'!I26)),ROUND('FIRE0508b raw'!I26,0),"..")</f>
        <v>0</v>
      </c>
      <c r="J26" s="104"/>
      <c r="K26" s="104">
        <f ca="1">IF((ISNUMBER('FIRE0508b raw'!K26)),ROUND('FIRE0508b raw'!K26,0),"..")</f>
        <v>0</v>
      </c>
      <c r="L26" s="104">
        <f ca="1">IF((ISNUMBER('FIRE0508b raw'!L26)),ROUND('FIRE0508b raw'!L26,0),"..")</f>
        <v>0</v>
      </c>
      <c r="M26" s="62"/>
      <c r="O26" s="74"/>
      <c r="P26" s="74"/>
      <c r="R26" s="74"/>
      <c r="S26" s="74"/>
      <c r="U26" s="76"/>
      <c r="V26" s="76"/>
      <c r="W26" s="76"/>
      <c r="X26" s="76"/>
      <c r="Y26" s="76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</row>
    <row r="27" spans="1:37" s="63" customFormat="1" ht="15" customHeight="1">
      <c r="A27" s="96" t="s">
        <v>23</v>
      </c>
      <c r="B27" s="104">
        <f ca="1">IF((ISNUMBER('FIRE0508b raw'!B27)),ROUND('FIRE0508b raw'!B27,0),"..")</f>
        <v>7</v>
      </c>
      <c r="C27" s="104">
        <f ca="1">IF((ISNUMBER('FIRE0508b raw'!C27)),ROUND('FIRE0508b raw'!C27,0),"..")</f>
        <v>4</v>
      </c>
      <c r="D27" s="104"/>
      <c r="E27" s="104">
        <f ca="1">IF((ISNUMBER('FIRE0508b raw'!E27)),ROUND('FIRE0508b raw'!E27,0),"..")</f>
        <v>0</v>
      </c>
      <c r="F27" s="104">
        <f ca="1">IF((ISNUMBER('FIRE0508b raw'!F27)),ROUND('FIRE0508b raw'!F27,0),"..")</f>
        <v>0</v>
      </c>
      <c r="G27" s="104"/>
      <c r="H27" s="104">
        <f ca="1">IF((ISNUMBER('FIRE0508b raw'!H27)),ROUND('FIRE0508b raw'!H27,0),"..")</f>
        <v>0</v>
      </c>
      <c r="I27" s="104">
        <f ca="1">IF((ISNUMBER('FIRE0508b raw'!I27)),ROUND('FIRE0508b raw'!I27,0),"..")</f>
        <v>0</v>
      </c>
      <c r="J27" s="104"/>
      <c r="K27" s="104">
        <f ca="1">IF((ISNUMBER('FIRE0508b raw'!K27)),ROUND('FIRE0508b raw'!K27,0),"..")</f>
        <v>0</v>
      </c>
      <c r="L27" s="104">
        <f ca="1">IF((ISNUMBER('FIRE0508b raw'!L27)),ROUND('FIRE0508b raw'!L27,0),"..")</f>
        <v>0</v>
      </c>
      <c r="M27" s="62"/>
      <c r="O27" s="74"/>
      <c r="P27" s="74"/>
      <c r="R27" s="74"/>
      <c r="S27" s="74"/>
      <c r="U27" s="76"/>
      <c r="V27" s="76"/>
      <c r="W27" s="76"/>
      <c r="X27" s="76"/>
      <c r="Y27" s="76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</row>
    <row r="28" spans="1:37" s="63" customFormat="1" ht="15" customHeight="1">
      <c r="A28" s="96" t="s">
        <v>24</v>
      </c>
      <c r="B28" s="104">
        <f ca="1">IF((ISNUMBER('FIRE0508b raw'!B28)),ROUND('FIRE0508b raw'!B28,0),"..")</f>
        <v>15</v>
      </c>
      <c r="C28" s="104">
        <f ca="1">IF((ISNUMBER('FIRE0508b raw'!C28)),ROUND('FIRE0508b raw'!C28,0),"..")</f>
        <v>10</v>
      </c>
      <c r="D28" s="104"/>
      <c r="E28" s="104">
        <f ca="1">IF((ISNUMBER('FIRE0508b raw'!E28)),ROUND('FIRE0508b raw'!E28,0),"..")</f>
        <v>3</v>
      </c>
      <c r="F28" s="104">
        <f ca="1">IF((ISNUMBER('FIRE0508b raw'!F28)),ROUND('FIRE0508b raw'!F28,0),"..")</f>
        <v>2</v>
      </c>
      <c r="G28" s="104"/>
      <c r="H28" s="104">
        <f ca="1">IF((ISNUMBER('FIRE0508b raw'!H28)),ROUND('FIRE0508b raw'!H28,0),"..")</f>
        <v>2</v>
      </c>
      <c r="I28" s="104">
        <f ca="1">IF((ISNUMBER('FIRE0508b raw'!I28)),ROUND('FIRE0508b raw'!I28,0),"..")</f>
        <v>0</v>
      </c>
      <c r="J28" s="104"/>
      <c r="K28" s="104">
        <f ca="1">IF((ISNUMBER('FIRE0508b raw'!K28)),ROUND('FIRE0508b raw'!K28,0),"..")</f>
        <v>0</v>
      </c>
      <c r="L28" s="104">
        <f ca="1">IF((ISNUMBER('FIRE0508b raw'!L28)),ROUND('FIRE0508b raw'!L28,0),"..")</f>
        <v>0</v>
      </c>
      <c r="M28" s="62"/>
      <c r="O28" s="74"/>
      <c r="P28" s="74"/>
      <c r="R28" s="74"/>
      <c r="S28" s="74"/>
      <c r="U28" s="76"/>
      <c r="V28" s="76"/>
      <c r="W28" s="76"/>
      <c r="X28" s="76"/>
      <c r="Y28" s="76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</row>
    <row r="29" spans="1:37" s="63" customFormat="1" ht="15" customHeight="1">
      <c r="A29" s="96" t="s">
        <v>25</v>
      </c>
      <c r="B29" s="104">
        <f ca="1">IF((ISNUMBER('FIRE0508b raw'!B29)),ROUND('FIRE0508b raw'!B29,0),"..")</f>
        <v>14</v>
      </c>
      <c r="C29" s="104">
        <f ca="1">IF((ISNUMBER('FIRE0508b raw'!C29)),ROUND('FIRE0508b raw'!C29,0),"..")</f>
        <v>4</v>
      </c>
      <c r="D29" s="104"/>
      <c r="E29" s="104">
        <f ca="1">IF((ISNUMBER('FIRE0508b raw'!E29)),ROUND('FIRE0508b raw'!E29,0),"..")</f>
        <v>1</v>
      </c>
      <c r="F29" s="104">
        <f ca="1">IF((ISNUMBER('FIRE0508b raw'!F29)),ROUND('FIRE0508b raw'!F29,0),"..")</f>
        <v>0</v>
      </c>
      <c r="G29" s="104"/>
      <c r="H29" s="104">
        <f ca="1">IF((ISNUMBER('FIRE0508b raw'!H29)),ROUND('FIRE0508b raw'!H29,0),"..")</f>
        <v>0</v>
      </c>
      <c r="I29" s="104">
        <f ca="1">IF((ISNUMBER('FIRE0508b raw'!I29)),ROUND('FIRE0508b raw'!I29,0),"..")</f>
        <v>0</v>
      </c>
      <c r="J29" s="104"/>
      <c r="K29" s="104">
        <f ca="1">IF((ISNUMBER('FIRE0508b raw'!K29)),ROUND('FIRE0508b raw'!K29,0),"..")</f>
        <v>0</v>
      </c>
      <c r="L29" s="104">
        <f ca="1">IF((ISNUMBER('FIRE0508b raw'!L29)),ROUND('FIRE0508b raw'!L29,0),"..")</f>
        <v>0</v>
      </c>
      <c r="M29" s="62"/>
      <c r="O29" s="74"/>
      <c r="P29" s="74"/>
      <c r="R29" s="74"/>
      <c r="S29" s="74"/>
      <c r="U29" s="76"/>
      <c r="V29" s="76"/>
      <c r="W29" s="76"/>
      <c r="X29" s="76"/>
      <c r="Y29" s="76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</row>
    <row r="30" spans="1:37" s="63" customFormat="1" ht="15" customHeight="1">
      <c r="A30" s="96" t="s">
        <v>26</v>
      </c>
      <c r="B30" s="104">
        <f ca="1">IF((ISNUMBER('FIRE0508b raw'!B30)),ROUND('FIRE0508b raw'!B30,0),"..")</f>
        <v>17</v>
      </c>
      <c r="C30" s="104">
        <f ca="1">IF((ISNUMBER('FIRE0508b raw'!C30)),ROUND('FIRE0508b raw'!C30,0),"..")</f>
        <v>0</v>
      </c>
      <c r="D30" s="104"/>
      <c r="E30" s="104">
        <f ca="1">IF((ISNUMBER('FIRE0508b raw'!E30)),ROUND('FIRE0508b raw'!E30,0),"..")</f>
        <v>7</v>
      </c>
      <c r="F30" s="104">
        <f ca="1">IF((ISNUMBER('FIRE0508b raw'!F30)),ROUND('FIRE0508b raw'!F30,0),"..")</f>
        <v>0</v>
      </c>
      <c r="G30" s="104"/>
      <c r="H30" s="104">
        <f ca="1">IF((ISNUMBER('FIRE0508b raw'!H30)),ROUND('FIRE0508b raw'!H30,0),"..")</f>
        <v>0</v>
      </c>
      <c r="I30" s="104">
        <f ca="1">IF((ISNUMBER('FIRE0508b raw'!I30)),ROUND('FIRE0508b raw'!I30,0),"..")</f>
        <v>0</v>
      </c>
      <c r="J30" s="104"/>
      <c r="K30" s="104">
        <f ca="1">IF((ISNUMBER('FIRE0508b raw'!K30)),ROUND('FIRE0508b raw'!K30,0),"..")</f>
        <v>0</v>
      </c>
      <c r="L30" s="104">
        <f ca="1">IF((ISNUMBER('FIRE0508b raw'!L30)),ROUND('FIRE0508b raw'!L30,0),"..")</f>
        <v>0</v>
      </c>
      <c r="M30" s="62"/>
      <c r="O30" s="74"/>
      <c r="P30" s="74"/>
      <c r="R30" s="74"/>
      <c r="S30" s="74"/>
      <c r="U30" s="76"/>
      <c r="V30" s="76"/>
      <c r="W30" s="76"/>
      <c r="X30" s="76"/>
      <c r="Y30" s="76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</row>
    <row r="31" spans="1:37" s="63" customFormat="1" ht="15" customHeight="1">
      <c r="A31" s="96" t="s">
        <v>27</v>
      </c>
      <c r="B31" s="104">
        <f ca="1">IF((ISNUMBER('FIRE0508b raw'!B31)),ROUND('FIRE0508b raw'!B31,0),"..")</f>
        <v>24</v>
      </c>
      <c r="C31" s="104">
        <f ca="1">IF((ISNUMBER('FIRE0508b raw'!C31)),ROUND('FIRE0508b raw'!C31,0),"..")</f>
        <v>8</v>
      </c>
      <c r="D31" s="104"/>
      <c r="E31" s="104">
        <f ca="1">IF((ISNUMBER('FIRE0508b raw'!E31)),ROUND('FIRE0508b raw'!E31,0),"..")</f>
        <v>6</v>
      </c>
      <c r="F31" s="104">
        <f ca="1">IF((ISNUMBER('FIRE0508b raw'!F31)),ROUND('FIRE0508b raw'!F31,0),"..")</f>
        <v>0</v>
      </c>
      <c r="G31" s="104"/>
      <c r="H31" s="104">
        <f ca="1">IF((ISNUMBER('FIRE0508b raw'!H31)),ROUND('FIRE0508b raw'!H31,0),"..")</f>
        <v>2</v>
      </c>
      <c r="I31" s="104">
        <f ca="1">IF((ISNUMBER('FIRE0508b raw'!I31)),ROUND('FIRE0508b raw'!I31,0),"..")</f>
        <v>0</v>
      </c>
      <c r="J31" s="104"/>
      <c r="K31" s="104">
        <f ca="1">IF((ISNUMBER('FIRE0508b raw'!K31)),ROUND('FIRE0508b raw'!K31,0),"..")</f>
        <v>0</v>
      </c>
      <c r="L31" s="104">
        <f ca="1">IF((ISNUMBER('FIRE0508b raw'!L31)),ROUND('FIRE0508b raw'!L31,0),"..")</f>
        <v>0</v>
      </c>
      <c r="M31" s="62"/>
      <c r="O31" s="74"/>
      <c r="P31" s="74"/>
      <c r="R31" s="74"/>
      <c r="S31" s="74"/>
      <c r="U31" s="76"/>
      <c r="V31" s="76"/>
      <c r="W31" s="76"/>
      <c r="X31" s="76"/>
      <c r="Y31" s="76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</row>
    <row r="32" spans="1:37" s="63" customFormat="1" ht="15" customHeight="1">
      <c r="A32" s="106" t="s">
        <v>28</v>
      </c>
      <c r="B32" s="104">
        <f ca="1">IF((ISNUMBER('FIRE0508b raw'!B32)),ROUND('FIRE0508b raw'!B32,0),"..")</f>
        <v>2</v>
      </c>
      <c r="C32" s="104">
        <f ca="1">IF((ISNUMBER('FIRE0508b raw'!C32)),ROUND('FIRE0508b raw'!C32,0),"..")</f>
        <v>0</v>
      </c>
      <c r="D32" s="104"/>
      <c r="E32" s="104">
        <f ca="1">IF((ISNUMBER('FIRE0508b raw'!E32)),ROUND('FIRE0508b raw'!E32,0),"..")</f>
        <v>0</v>
      </c>
      <c r="F32" s="104">
        <f ca="1">IF((ISNUMBER('FIRE0508b raw'!F32)),ROUND('FIRE0508b raw'!F32,0),"..")</f>
        <v>0</v>
      </c>
      <c r="G32" s="104"/>
      <c r="H32" s="104">
        <f ca="1">IF((ISNUMBER('FIRE0508b raw'!H32)),ROUND('FIRE0508b raw'!H32,0),"..")</f>
        <v>0</v>
      </c>
      <c r="I32" s="104">
        <f ca="1">IF((ISNUMBER('FIRE0508b raw'!I32)),ROUND('FIRE0508b raw'!I32,0),"..")</f>
        <v>0</v>
      </c>
      <c r="J32" s="104"/>
      <c r="K32" s="104">
        <f ca="1">IF((ISNUMBER('FIRE0508b raw'!K32)),ROUND('FIRE0508b raw'!K32,0),"..")</f>
        <v>0</v>
      </c>
      <c r="L32" s="104">
        <f ca="1">IF((ISNUMBER('FIRE0508b raw'!L32)),ROUND('FIRE0508b raw'!L32,0),"..")</f>
        <v>0</v>
      </c>
      <c r="M32" s="62"/>
      <c r="O32" s="74"/>
      <c r="P32" s="74"/>
      <c r="R32" s="74"/>
      <c r="S32" s="74"/>
      <c r="U32" s="76"/>
      <c r="V32" s="76"/>
      <c r="W32" s="76"/>
      <c r="X32" s="76"/>
      <c r="Y32" s="76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</row>
    <row r="33" spans="1:37" s="63" customFormat="1" ht="15" customHeight="1">
      <c r="A33" s="106" t="s">
        <v>29</v>
      </c>
      <c r="B33" s="104">
        <f ca="1">IF((ISNUMBER('FIRE0508b raw'!B33)),ROUND('FIRE0508b raw'!B33,0),"..")</f>
        <v>16</v>
      </c>
      <c r="C33" s="104">
        <f ca="1">IF((ISNUMBER('FIRE0508b raw'!C33)),ROUND('FIRE0508b raw'!C33,0),"..")</f>
        <v>7</v>
      </c>
      <c r="D33" s="104"/>
      <c r="E33" s="104">
        <f ca="1">IF((ISNUMBER('FIRE0508b raw'!E33)),ROUND('FIRE0508b raw'!E33,0),"..")</f>
        <v>3</v>
      </c>
      <c r="F33" s="104">
        <f ca="1">IF((ISNUMBER('FIRE0508b raw'!F33)),ROUND('FIRE0508b raw'!F33,0),"..")</f>
        <v>2</v>
      </c>
      <c r="G33" s="104"/>
      <c r="H33" s="104">
        <f ca="1">IF((ISNUMBER('FIRE0508b raw'!H33)),ROUND('FIRE0508b raw'!H33,0),"..")</f>
        <v>0</v>
      </c>
      <c r="I33" s="104">
        <f ca="1">IF((ISNUMBER('FIRE0508b raw'!I33)),ROUND('FIRE0508b raw'!I33,0),"..")</f>
        <v>0</v>
      </c>
      <c r="J33" s="104"/>
      <c r="K33" s="104">
        <f ca="1">IF((ISNUMBER('FIRE0508b raw'!K33)),ROUND('FIRE0508b raw'!K33,0),"..")</f>
        <v>0</v>
      </c>
      <c r="L33" s="104">
        <f ca="1">IF((ISNUMBER('FIRE0508b raw'!L33)),ROUND('FIRE0508b raw'!L33,0),"..")</f>
        <v>0</v>
      </c>
      <c r="M33" s="62"/>
      <c r="O33" s="74"/>
      <c r="P33" s="74"/>
      <c r="R33" s="74"/>
      <c r="S33" s="74"/>
      <c r="U33" s="76"/>
      <c r="V33" s="76"/>
      <c r="W33" s="76"/>
      <c r="X33" s="76"/>
      <c r="Y33" s="76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</row>
    <row r="34" spans="1:37" s="63" customFormat="1" ht="15" customHeight="1">
      <c r="A34" s="96" t="s">
        <v>30</v>
      </c>
      <c r="B34" s="104">
        <f ca="1">IF((ISNUMBER('FIRE0508b raw'!B34)),ROUND('FIRE0508b raw'!B34,0),"..")</f>
        <v>9</v>
      </c>
      <c r="C34" s="104">
        <f ca="1">IF((ISNUMBER('FIRE0508b raw'!C34)),ROUND('FIRE0508b raw'!C34,0),"..")</f>
        <v>5</v>
      </c>
      <c r="D34" s="104"/>
      <c r="E34" s="104">
        <f ca="1">IF((ISNUMBER('FIRE0508b raw'!E34)),ROUND('FIRE0508b raw'!E34,0),"..")</f>
        <v>3</v>
      </c>
      <c r="F34" s="104">
        <f ca="1">IF((ISNUMBER('FIRE0508b raw'!F34)),ROUND('FIRE0508b raw'!F34,0),"..")</f>
        <v>1</v>
      </c>
      <c r="G34" s="104"/>
      <c r="H34" s="104">
        <f ca="1">IF((ISNUMBER('FIRE0508b raw'!H34)),ROUND('FIRE0508b raw'!H34,0),"..")</f>
        <v>0</v>
      </c>
      <c r="I34" s="104">
        <f ca="1">IF((ISNUMBER('FIRE0508b raw'!I34)),ROUND('FIRE0508b raw'!I34,0),"..")</f>
        <v>0</v>
      </c>
      <c r="J34" s="104"/>
      <c r="K34" s="104">
        <f ca="1">IF((ISNUMBER('FIRE0508b raw'!K34)),ROUND('FIRE0508b raw'!K34,0),"..")</f>
        <v>0</v>
      </c>
      <c r="L34" s="104">
        <f ca="1">IF((ISNUMBER('FIRE0508b raw'!L34)),ROUND('FIRE0508b raw'!L34,0),"..")</f>
        <v>0</v>
      </c>
      <c r="M34" s="62"/>
      <c r="O34" s="74"/>
      <c r="P34" s="74"/>
      <c r="R34" s="74"/>
      <c r="S34" s="74"/>
      <c r="U34" s="76"/>
      <c r="V34" s="76"/>
      <c r="W34" s="76"/>
      <c r="X34" s="76"/>
      <c r="Y34" s="76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</row>
    <row r="35" spans="1:37" s="63" customFormat="1" ht="15" customHeight="1">
      <c r="A35" s="106" t="s">
        <v>31</v>
      </c>
      <c r="B35" s="104">
        <f ca="1">IF((ISNUMBER('FIRE0508b raw'!B35)),ROUND('FIRE0508b raw'!B35,0),"..")</f>
        <v>12</v>
      </c>
      <c r="C35" s="104">
        <f ca="1">IF((ISNUMBER('FIRE0508b raw'!C35)),ROUND('FIRE0508b raw'!C35,0),"..")</f>
        <v>5</v>
      </c>
      <c r="D35" s="104"/>
      <c r="E35" s="104">
        <f ca="1">IF((ISNUMBER('FIRE0508b raw'!E35)),ROUND('FIRE0508b raw'!E35,0),"..")</f>
        <v>1</v>
      </c>
      <c r="F35" s="104">
        <f ca="1">IF((ISNUMBER('FIRE0508b raw'!F35)),ROUND('FIRE0508b raw'!F35,0),"..")</f>
        <v>1</v>
      </c>
      <c r="G35" s="104"/>
      <c r="H35" s="104">
        <f ca="1">IF((ISNUMBER('FIRE0508b raw'!H35)),ROUND('FIRE0508b raw'!H35,0),"..")</f>
        <v>1</v>
      </c>
      <c r="I35" s="104">
        <f ca="1">IF((ISNUMBER('FIRE0508b raw'!I35)),ROUND('FIRE0508b raw'!I35,0),"..")</f>
        <v>1</v>
      </c>
      <c r="J35" s="104"/>
      <c r="K35" s="104">
        <f ca="1">IF((ISNUMBER('FIRE0508b raw'!K35)),ROUND('FIRE0508b raw'!K35,0),"..")</f>
        <v>0</v>
      </c>
      <c r="L35" s="104">
        <f ca="1">IF((ISNUMBER('FIRE0508b raw'!L35)),ROUND('FIRE0508b raw'!L35,0),"..")</f>
        <v>0</v>
      </c>
      <c r="M35" s="62"/>
      <c r="O35" s="74"/>
      <c r="P35" s="74"/>
      <c r="R35" s="74"/>
      <c r="S35" s="74"/>
      <c r="U35" s="76"/>
      <c r="V35" s="76"/>
      <c r="W35" s="76"/>
      <c r="X35" s="76"/>
      <c r="Y35" s="76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</row>
    <row r="36" spans="1:37" s="63" customFormat="1" ht="15" customHeight="1">
      <c r="A36" s="106" t="s">
        <v>32</v>
      </c>
      <c r="B36" s="104">
        <f ca="1">IF((ISNUMBER('FIRE0508b raw'!B36)),ROUND('FIRE0508b raw'!B36,0),"..")</f>
        <v>21</v>
      </c>
      <c r="C36" s="104">
        <f ca="1">IF((ISNUMBER('FIRE0508b raw'!C36)),ROUND('FIRE0508b raw'!C36,0),"..")</f>
        <v>9</v>
      </c>
      <c r="D36" s="104"/>
      <c r="E36" s="104">
        <f ca="1">IF((ISNUMBER('FIRE0508b raw'!E36)),ROUND('FIRE0508b raw'!E36,0),"..")</f>
        <v>5</v>
      </c>
      <c r="F36" s="104">
        <f ca="1">IF((ISNUMBER('FIRE0508b raw'!F36)),ROUND('FIRE0508b raw'!F36,0),"..")</f>
        <v>3</v>
      </c>
      <c r="G36" s="104"/>
      <c r="H36" s="104">
        <f ca="1">IF((ISNUMBER('FIRE0508b raw'!H36)),ROUND('FIRE0508b raw'!H36,0),"..")</f>
        <v>0</v>
      </c>
      <c r="I36" s="104">
        <f ca="1">IF((ISNUMBER('FIRE0508b raw'!I36)),ROUND('FIRE0508b raw'!I36,0),"..")</f>
        <v>0</v>
      </c>
      <c r="J36" s="104"/>
      <c r="K36" s="104">
        <f ca="1">IF((ISNUMBER('FIRE0508b raw'!K36)),ROUND('FIRE0508b raw'!K36,0),"..")</f>
        <v>0</v>
      </c>
      <c r="L36" s="104">
        <f ca="1">IF((ISNUMBER('FIRE0508b raw'!L36)),ROUND('FIRE0508b raw'!L36,0),"..")</f>
        <v>0</v>
      </c>
      <c r="M36" s="62"/>
      <c r="O36" s="74"/>
      <c r="P36" s="74"/>
      <c r="R36" s="74"/>
      <c r="S36" s="74"/>
      <c r="U36" s="76"/>
      <c r="V36" s="76"/>
      <c r="W36" s="76"/>
      <c r="X36" s="76"/>
      <c r="Y36" s="76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</row>
    <row r="37" spans="1:37" s="63" customFormat="1" ht="15" customHeight="1">
      <c r="A37" s="96" t="s">
        <v>33</v>
      </c>
      <c r="B37" s="104">
        <f ca="1">IF((ISNUMBER('FIRE0508b raw'!B37)),ROUND('FIRE0508b raw'!B37,0),"..")</f>
        <v>22</v>
      </c>
      <c r="C37" s="104">
        <f ca="1">IF((ISNUMBER('FIRE0508b raw'!C37)),ROUND('FIRE0508b raw'!C37,0),"..")</f>
        <v>8</v>
      </c>
      <c r="D37" s="104"/>
      <c r="E37" s="104">
        <f ca="1">IF((ISNUMBER('FIRE0508b raw'!E37)),ROUND('FIRE0508b raw'!E37,0),"..")</f>
        <v>0</v>
      </c>
      <c r="F37" s="104">
        <f ca="1">IF((ISNUMBER('FIRE0508b raw'!F37)),ROUND('FIRE0508b raw'!F37,0),"..")</f>
        <v>1</v>
      </c>
      <c r="G37" s="104"/>
      <c r="H37" s="104">
        <f ca="1">IF((ISNUMBER('FIRE0508b raw'!H37)),ROUND('FIRE0508b raw'!H37,0),"..")</f>
        <v>0</v>
      </c>
      <c r="I37" s="104">
        <f ca="1">IF((ISNUMBER('FIRE0508b raw'!I37)),ROUND('FIRE0508b raw'!I37,0),"..")</f>
        <v>1</v>
      </c>
      <c r="J37" s="104"/>
      <c r="K37" s="104">
        <f ca="1">IF((ISNUMBER('FIRE0508b raw'!K37)),ROUND('FIRE0508b raw'!K37,0),"..")</f>
        <v>0</v>
      </c>
      <c r="L37" s="104">
        <f ca="1">IF((ISNUMBER('FIRE0508b raw'!L37)),ROUND('FIRE0508b raw'!L37,0),"..")</f>
        <v>0</v>
      </c>
      <c r="M37" s="62"/>
      <c r="O37" s="74"/>
      <c r="P37" s="74"/>
      <c r="R37" s="74"/>
      <c r="S37" s="74"/>
      <c r="U37" s="76"/>
      <c r="V37" s="76"/>
      <c r="W37" s="76"/>
      <c r="X37" s="76"/>
      <c r="Y37" s="76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</row>
    <row r="38" spans="1:37" s="63" customFormat="1" ht="15" customHeight="1">
      <c r="A38" s="106" t="s">
        <v>34</v>
      </c>
      <c r="B38" s="104">
        <f ca="1">IF((ISNUMBER('FIRE0508b raw'!B38)),ROUND('FIRE0508b raw'!B38,0),"..")</f>
        <v>1</v>
      </c>
      <c r="C38" s="104">
        <f ca="1">IF((ISNUMBER('FIRE0508b raw'!C38)),ROUND('FIRE0508b raw'!C38,0),"..")</f>
        <v>2</v>
      </c>
      <c r="D38" s="104"/>
      <c r="E38" s="104">
        <f ca="1">IF((ISNUMBER('FIRE0508b raw'!E38)),ROUND('FIRE0508b raw'!E38,0),"..")</f>
        <v>0</v>
      </c>
      <c r="F38" s="104">
        <f ca="1">IF((ISNUMBER('FIRE0508b raw'!F38)),ROUND('FIRE0508b raw'!F38,0),"..")</f>
        <v>2</v>
      </c>
      <c r="G38" s="104"/>
      <c r="H38" s="104">
        <f ca="1">IF((ISNUMBER('FIRE0508b raw'!H38)),ROUND('FIRE0508b raw'!H38,0),"..")</f>
        <v>1</v>
      </c>
      <c r="I38" s="104">
        <f ca="1">IF((ISNUMBER('FIRE0508b raw'!I38)),ROUND('FIRE0508b raw'!I38,0),"..")</f>
        <v>0</v>
      </c>
      <c r="J38" s="104"/>
      <c r="K38" s="104">
        <f ca="1">IF((ISNUMBER('FIRE0508b raw'!K38)),ROUND('FIRE0508b raw'!K38,0),"..")</f>
        <v>0</v>
      </c>
      <c r="L38" s="104">
        <f ca="1">IF((ISNUMBER('FIRE0508b raw'!L38)),ROUND('FIRE0508b raw'!L38,0),"..")</f>
        <v>0</v>
      </c>
      <c r="M38" s="62"/>
      <c r="O38" s="74"/>
      <c r="P38" s="74"/>
      <c r="R38" s="74"/>
      <c r="S38" s="74"/>
      <c r="U38" s="76"/>
      <c r="V38" s="76"/>
      <c r="W38" s="76"/>
      <c r="X38" s="76"/>
      <c r="Y38" s="76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</row>
    <row r="39" spans="1:37" s="63" customFormat="1" ht="15" customHeight="1">
      <c r="A39" s="106" t="s">
        <v>35</v>
      </c>
      <c r="B39" s="104">
        <f ca="1">IF((ISNUMBER('FIRE0508b raw'!B39)),ROUND('FIRE0508b raw'!B39,0),"..")</f>
        <v>12</v>
      </c>
      <c r="C39" s="104">
        <f ca="1">IF((ISNUMBER('FIRE0508b raw'!C39)),ROUND('FIRE0508b raw'!C39,0),"..")</f>
        <v>8</v>
      </c>
      <c r="D39" s="104"/>
      <c r="E39" s="104">
        <f ca="1">IF((ISNUMBER('FIRE0508b raw'!E39)),ROUND('FIRE0508b raw'!E39,0),"..")</f>
        <v>3</v>
      </c>
      <c r="F39" s="104">
        <f ca="1">IF((ISNUMBER('FIRE0508b raw'!F39)),ROUND('FIRE0508b raw'!F39,0),"..")</f>
        <v>0</v>
      </c>
      <c r="G39" s="104"/>
      <c r="H39" s="104">
        <f ca="1">IF((ISNUMBER('FIRE0508b raw'!H39)),ROUND('FIRE0508b raw'!H39,0),"..")</f>
        <v>0</v>
      </c>
      <c r="I39" s="104">
        <f ca="1">IF((ISNUMBER('FIRE0508b raw'!I39)),ROUND('FIRE0508b raw'!I39,0),"..")</f>
        <v>0</v>
      </c>
      <c r="J39" s="104"/>
      <c r="K39" s="104">
        <f ca="1">IF((ISNUMBER('FIRE0508b raw'!K39)),ROUND('FIRE0508b raw'!K39,0),"..")</f>
        <v>0</v>
      </c>
      <c r="L39" s="104">
        <f ca="1">IF((ISNUMBER('FIRE0508b raw'!L39)),ROUND('FIRE0508b raw'!L39,0),"..")</f>
        <v>0</v>
      </c>
      <c r="M39" s="62"/>
      <c r="O39" s="74"/>
      <c r="P39" s="74"/>
      <c r="R39" s="74"/>
      <c r="S39" s="74"/>
      <c r="U39" s="76"/>
      <c r="V39" s="76"/>
      <c r="W39" s="76"/>
      <c r="X39" s="76"/>
      <c r="Y39" s="76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</row>
    <row r="40" spans="1:37" s="63" customFormat="1" ht="15" customHeight="1">
      <c r="A40" s="106" t="s">
        <v>36</v>
      </c>
      <c r="B40" s="104">
        <f ca="1">IF((ISNUMBER('FIRE0508b raw'!B40)),ROUND('FIRE0508b raw'!B40,0),"..")</f>
        <v>2</v>
      </c>
      <c r="C40" s="104">
        <f ca="1">IF((ISNUMBER('FIRE0508b raw'!C40)),ROUND('FIRE0508b raw'!C40,0),"..")</f>
        <v>2</v>
      </c>
      <c r="D40" s="104"/>
      <c r="E40" s="104">
        <f ca="1">IF((ISNUMBER('FIRE0508b raw'!E40)),ROUND('FIRE0508b raw'!E40,0),"..")</f>
        <v>0</v>
      </c>
      <c r="F40" s="104">
        <f ca="1">IF((ISNUMBER('FIRE0508b raw'!F40)),ROUND('FIRE0508b raw'!F40,0),"..")</f>
        <v>0</v>
      </c>
      <c r="G40" s="104"/>
      <c r="H40" s="104">
        <f ca="1">IF((ISNUMBER('FIRE0508b raw'!H40)),ROUND('FIRE0508b raw'!H40,0),"..")</f>
        <v>1</v>
      </c>
      <c r="I40" s="104">
        <f ca="1">IF((ISNUMBER('FIRE0508b raw'!I40)),ROUND('FIRE0508b raw'!I40,0),"..")</f>
        <v>0</v>
      </c>
      <c r="J40" s="104"/>
      <c r="K40" s="104">
        <f ca="1">IF((ISNUMBER('FIRE0508b raw'!K40)),ROUND('FIRE0508b raw'!K40,0),"..")</f>
        <v>0</v>
      </c>
      <c r="L40" s="104">
        <f ca="1">IF((ISNUMBER('FIRE0508b raw'!L40)),ROUND('FIRE0508b raw'!L40,0),"..")</f>
        <v>0</v>
      </c>
      <c r="M40" s="62"/>
      <c r="O40" s="74"/>
      <c r="P40" s="74"/>
      <c r="R40" s="74"/>
      <c r="S40" s="74"/>
      <c r="U40" s="76"/>
      <c r="V40" s="76"/>
      <c r="W40" s="76"/>
      <c r="X40" s="76"/>
      <c r="Y40" s="76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</row>
    <row r="41" spans="1:37" s="63" customFormat="1" ht="15" customHeight="1">
      <c r="A41" s="96" t="s">
        <v>37</v>
      </c>
      <c r="B41" s="104">
        <f ca="1">IF((ISNUMBER('FIRE0508b raw'!B41)),ROUND('FIRE0508b raw'!B41,0),"..")</f>
        <v>4</v>
      </c>
      <c r="C41" s="104">
        <f ca="1">IF((ISNUMBER('FIRE0508b raw'!C41)),ROUND('FIRE0508b raw'!C41,0),"..")</f>
        <v>1</v>
      </c>
      <c r="D41" s="104"/>
      <c r="E41" s="104">
        <f ca="1">IF((ISNUMBER('FIRE0508b raw'!E41)),ROUND('FIRE0508b raw'!E41,0),"..")</f>
        <v>2</v>
      </c>
      <c r="F41" s="104">
        <f ca="1">IF((ISNUMBER('FIRE0508b raw'!F41)),ROUND('FIRE0508b raw'!F41,0),"..")</f>
        <v>0</v>
      </c>
      <c r="G41" s="104"/>
      <c r="H41" s="104">
        <f ca="1">IF((ISNUMBER('FIRE0508b raw'!H41)),ROUND('FIRE0508b raw'!H41,0),"..")</f>
        <v>0</v>
      </c>
      <c r="I41" s="104">
        <f ca="1">IF((ISNUMBER('FIRE0508b raw'!I41)),ROUND('FIRE0508b raw'!I41,0),"..")</f>
        <v>0</v>
      </c>
      <c r="J41" s="104"/>
      <c r="K41" s="104">
        <f ca="1">IF((ISNUMBER('FIRE0508b raw'!K41)),ROUND('FIRE0508b raw'!K41,0),"..")</f>
        <v>0</v>
      </c>
      <c r="L41" s="104">
        <f ca="1">IF((ISNUMBER('FIRE0508b raw'!L41)),ROUND('FIRE0508b raw'!L41,0),"..")</f>
        <v>0</v>
      </c>
      <c r="M41" s="62"/>
      <c r="O41" s="74"/>
      <c r="P41" s="74"/>
      <c r="R41" s="74"/>
      <c r="S41" s="74"/>
      <c r="U41" s="76"/>
      <c r="V41" s="76"/>
      <c r="W41" s="76"/>
      <c r="X41" s="76"/>
      <c r="Y41" s="76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</row>
    <row r="42" spans="1:37" s="63" customFormat="1" ht="15" customHeight="1">
      <c r="A42" s="96" t="s">
        <v>38</v>
      </c>
      <c r="B42" s="104">
        <f ca="1">IF((ISNUMBER('FIRE0508b raw'!B42)),ROUND('FIRE0508b raw'!B42,0),"..")</f>
        <v>9</v>
      </c>
      <c r="C42" s="104">
        <f ca="1">IF((ISNUMBER('FIRE0508b raw'!C42)),ROUND('FIRE0508b raw'!C42,0),"..")</f>
        <v>4</v>
      </c>
      <c r="D42" s="104"/>
      <c r="E42" s="104">
        <f ca="1">IF((ISNUMBER('FIRE0508b raw'!E42)),ROUND('FIRE0508b raw'!E42,0),"..")</f>
        <v>2</v>
      </c>
      <c r="F42" s="104">
        <f ca="1">IF((ISNUMBER('FIRE0508b raw'!F42)),ROUND('FIRE0508b raw'!F42,0),"..")</f>
        <v>1</v>
      </c>
      <c r="G42" s="104"/>
      <c r="H42" s="104">
        <f ca="1">IF((ISNUMBER('FIRE0508b raw'!H42)),ROUND('FIRE0508b raw'!H42,0),"..")</f>
        <v>0</v>
      </c>
      <c r="I42" s="104">
        <f ca="1">IF((ISNUMBER('FIRE0508b raw'!I42)),ROUND('FIRE0508b raw'!I42,0),"..")</f>
        <v>0</v>
      </c>
      <c r="J42" s="104"/>
      <c r="K42" s="104">
        <f ca="1">IF((ISNUMBER('FIRE0508b raw'!K42)),ROUND('FIRE0508b raw'!K42,0),"..")</f>
        <v>0</v>
      </c>
      <c r="L42" s="104">
        <f ca="1">IF((ISNUMBER('FIRE0508b raw'!L42)),ROUND('FIRE0508b raw'!L42,0),"..")</f>
        <v>0</v>
      </c>
      <c r="M42" s="62"/>
      <c r="O42" s="74"/>
      <c r="P42" s="74"/>
      <c r="R42" s="74"/>
      <c r="S42" s="74"/>
      <c r="U42" s="76"/>
      <c r="V42" s="76"/>
      <c r="W42" s="76"/>
      <c r="X42" s="76"/>
      <c r="Y42" s="76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</row>
    <row r="43" spans="1:37" s="63" customFormat="1" ht="15" customHeight="1">
      <c r="A43" s="96" t="s">
        <v>39</v>
      </c>
      <c r="B43" s="104">
        <f ca="1">IF((ISNUMBER('FIRE0508b raw'!B43)),ROUND('FIRE0508b raw'!B43,0),"..")</f>
        <v>9</v>
      </c>
      <c r="C43" s="104">
        <f ca="1">IF((ISNUMBER('FIRE0508b raw'!C43)),ROUND('FIRE0508b raw'!C43,0),"..")</f>
        <v>9</v>
      </c>
      <c r="D43" s="104"/>
      <c r="E43" s="104">
        <f ca="1">IF((ISNUMBER('FIRE0508b raw'!E43)),ROUND('FIRE0508b raw'!E43,0),"..")</f>
        <v>2</v>
      </c>
      <c r="F43" s="104">
        <f ca="1">IF((ISNUMBER('FIRE0508b raw'!F43)),ROUND('FIRE0508b raw'!F43,0),"..")</f>
        <v>0</v>
      </c>
      <c r="G43" s="104"/>
      <c r="H43" s="104">
        <f ca="1">IF((ISNUMBER('FIRE0508b raw'!H43)),ROUND('FIRE0508b raw'!H43,0),"..")</f>
        <v>1</v>
      </c>
      <c r="I43" s="104">
        <f ca="1">IF((ISNUMBER('FIRE0508b raw'!I43)),ROUND('FIRE0508b raw'!I43,0),"..")</f>
        <v>0</v>
      </c>
      <c r="J43" s="104"/>
      <c r="K43" s="104">
        <f ca="1">IF((ISNUMBER('FIRE0508b raw'!K43)),ROUND('FIRE0508b raw'!K43,0),"..")</f>
        <v>0</v>
      </c>
      <c r="L43" s="104">
        <f ca="1">IF((ISNUMBER('FIRE0508b raw'!L43)),ROUND('FIRE0508b raw'!L43,0),"..")</f>
        <v>0</v>
      </c>
      <c r="M43" s="62"/>
      <c r="O43" s="74"/>
      <c r="P43" s="74"/>
      <c r="R43" s="74"/>
      <c r="S43" s="74"/>
      <c r="U43" s="76"/>
      <c r="V43" s="76"/>
      <c r="W43" s="76"/>
      <c r="X43" s="76"/>
      <c r="Y43" s="76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</row>
    <row r="44" spans="1:37" s="63" customFormat="1" ht="15" customHeight="1">
      <c r="A44" s="96" t="s">
        <v>40</v>
      </c>
      <c r="B44" s="104">
        <f ca="1">IF((ISNUMBER('FIRE0508b raw'!B44)),ROUND('FIRE0508b raw'!B44,0),"..")</f>
        <v>14</v>
      </c>
      <c r="C44" s="104">
        <f ca="1">IF((ISNUMBER('FIRE0508b raw'!C44)),ROUND('FIRE0508b raw'!C44,0),"..")</f>
        <v>3</v>
      </c>
      <c r="D44" s="104"/>
      <c r="E44" s="104">
        <f ca="1">IF((ISNUMBER('FIRE0508b raw'!E44)),ROUND('FIRE0508b raw'!E44,0),"..")</f>
        <v>4</v>
      </c>
      <c r="F44" s="104">
        <f ca="1">IF((ISNUMBER('FIRE0508b raw'!F44)),ROUND('FIRE0508b raw'!F44,0),"..")</f>
        <v>1</v>
      </c>
      <c r="G44" s="104"/>
      <c r="H44" s="104">
        <f ca="1">IF((ISNUMBER('FIRE0508b raw'!H44)),ROUND('FIRE0508b raw'!H44,0),"..")</f>
        <v>0</v>
      </c>
      <c r="I44" s="104">
        <f ca="1">IF((ISNUMBER('FIRE0508b raw'!I44)),ROUND('FIRE0508b raw'!I44,0),"..")</f>
        <v>0</v>
      </c>
      <c r="J44" s="104"/>
      <c r="K44" s="104">
        <f ca="1">IF((ISNUMBER('FIRE0508b raw'!K44)),ROUND('FIRE0508b raw'!K44,0),"..")</f>
        <v>0</v>
      </c>
      <c r="L44" s="104">
        <f ca="1">IF((ISNUMBER('FIRE0508b raw'!L44)),ROUND('FIRE0508b raw'!L44,0),"..")</f>
        <v>0</v>
      </c>
      <c r="M44" s="62"/>
      <c r="O44" s="74"/>
      <c r="P44" s="74"/>
      <c r="R44" s="74"/>
      <c r="S44" s="74"/>
      <c r="U44" s="76"/>
      <c r="V44" s="76"/>
      <c r="W44" s="76"/>
      <c r="X44" s="76"/>
      <c r="Y44" s="76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</row>
    <row r="45" spans="1:37" s="63" customFormat="1" ht="15" customHeight="1">
      <c r="A45" s="96" t="s">
        <v>41</v>
      </c>
      <c r="B45" s="104">
        <f ca="1">IF((ISNUMBER('FIRE0508b raw'!B45)),ROUND('FIRE0508b raw'!B45,0),"..")</f>
        <v>8</v>
      </c>
      <c r="C45" s="104">
        <f ca="1">IF((ISNUMBER('FIRE0508b raw'!C45)),ROUND('FIRE0508b raw'!C45,0),"..")</f>
        <v>4</v>
      </c>
      <c r="D45" s="104"/>
      <c r="E45" s="104">
        <f ca="1">IF((ISNUMBER('FIRE0508b raw'!E45)),ROUND('FIRE0508b raw'!E45,0),"..")</f>
        <v>1</v>
      </c>
      <c r="F45" s="104">
        <f ca="1">IF((ISNUMBER('FIRE0508b raw'!F45)),ROUND('FIRE0508b raw'!F45,0),"..")</f>
        <v>0</v>
      </c>
      <c r="G45" s="104"/>
      <c r="H45" s="104">
        <f ca="1">IF((ISNUMBER('FIRE0508b raw'!H45)),ROUND('FIRE0508b raw'!H45,0),"..")</f>
        <v>0</v>
      </c>
      <c r="I45" s="104">
        <f ca="1">IF((ISNUMBER('FIRE0508b raw'!I45)),ROUND('FIRE0508b raw'!I45,0),"..")</f>
        <v>0</v>
      </c>
      <c r="J45" s="104"/>
      <c r="K45" s="104">
        <f ca="1">IF((ISNUMBER('FIRE0508b raw'!K45)),ROUND('FIRE0508b raw'!K45,0),"..")</f>
        <v>0</v>
      </c>
      <c r="L45" s="104">
        <f ca="1">IF((ISNUMBER('FIRE0508b raw'!L45)),ROUND('FIRE0508b raw'!L45,0),"..")</f>
        <v>0</v>
      </c>
      <c r="M45" s="62"/>
      <c r="O45" s="74"/>
      <c r="P45" s="74"/>
      <c r="R45" s="74"/>
      <c r="S45" s="74"/>
      <c r="U45" s="76"/>
      <c r="V45" s="76"/>
      <c r="W45" s="76"/>
      <c r="X45" s="76"/>
      <c r="Y45" s="76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</row>
    <row r="46" spans="1:37" s="63" customFormat="1" ht="15" customHeight="1">
      <c r="A46" s="96" t="s">
        <v>42</v>
      </c>
      <c r="B46" s="104">
        <f ca="1">IF((ISNUMBER('FIRE0508b raw'!B46)),ROUND('FIRE0508b raw'!B46,0),"..")</f>
        <v>20</v>
      </c>
      <c r="C46" s="104">
        <f ca="1">IF((ISNUMBER('FIRE0508b raw'!C46)),ROUND('FIRE0508b raw'!C46,0),"..")</f>
        <v>2</v>
      </c>
      <c r="D46" s="104"/>
      <c r="E46" s="104">
        <f ca="1">IF((ISNUMBER('FIRE0508b raw'!E46)),ROUND('FIRE0508b raw'!E46,0),"..")</f>
        <v>4</v>
      </c>
      <c r="F46" s="104">
        <f ca="1">IF((ISNUMBER('FIRE0508b raw'!F46)),ROUND('FIRE0508b raw'!F46,0),"..")</f>
        <v>0</v>
      </c>
      <c r="G46" s="104"/>
      <c r="H46" s="104">
        <f ca="1">IF((ISNUMBER('FIRE0508b raw'!H46)),ROUND('FIRE0508b raw'!H46,0),"..")</f>
        <v>0</v>
      </c>
      <c r="I46" s="104">
        <f ca="1">IF((ISNUMBER('FIRE0508b raw'!I46)),ROUND('FIRE0508b raw'!I46,0),"..")</f>
        <v>0</v>
      </c>
      <c r="J46" s="104"/>
      <c r="K46" s="104">
        <f ca="1">IF((ISNUMBER('FIRE0508b raw'!K46)),ROUND('FIRE0508b raw'!K46,0),"..")</f>
        <v>0</v>
      </c>
      <c r="L46" s="104">
        <f ca="1">IF((ISNUMBER('FIRE0508b raw'!L46)),ROUND('FIRE0508b raw'!L46,0),"..")</f>
        <v>0</v>
      </c>
      <c r="M46" s="62"/>
      <c r="O46" s="74"/>
      <c r="P46" s="74"/>
      <c r="R46" s="74"/>
      <c r="S46" s="74"/>
      <c r="U46" s="76"/>
      <c r="V46" s="76"/>
      <c r="W46" s="76"/>
      <c r="X46" s="76"/>
      <c r="Y46" s="76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</row>
    <row r="47" spans="1:37" s="63" customFormat="1" ht="15" customHeight="1">
      <c r="A47" s="96" t="s">
        <v>43</v>
      </c>
      <c r="B47" s="104">
        <f ca="1">IF((ISNUMBER('FIRE0508b raw'!B47)),ROUND('FIRE0508b raw'!B47,0),"..")</f>
        <v>5</v>
      </c>
      <c r="C47" s="104">
        <f ca="1">IF((ISNUMBER('FIRE0508b raw'!C47)),ROUND('FIRE0508b raw'!C47,0),"..")</f>
        <v>5</v>
      </c>
      <c r="D47" s="104"/>
      <c r="E47" s="104">
        <f ca="1">IF((ISNUMBER('FIRE0508b raw'!E47)),ROUND('FIRE0508b raw'!E47,0),"..")</f>
        <v>0</v>
      </c>
      <c r="F47" s="104">
        <f ca="1">IF((ISNUMBER('FIRE0508b raw'!F47)),ROUND('FIRE0508b raw'!F47,0),"..")</f>
        <v>0</v>
      </c>
      <c r="G47" s="104"/>
      <c r="H47" s="104">
        <f ca="1">IF((ISNUMBER('FIRE0508b raw'!H47)),ROUND('FIRE0508b raw'!H47,0),"..")</f>
        <v>0</v>
      </c>
      <c r="I47" s="104">
        <f ca="1">IF((ISNUMBER('FIRE0508b raw'!I47)),ROUND('FIRE0508b raw'!I47,0),"..")</f>
        <v>0</v>
      </c>
      <c r="J47" s="104"/>
      <c r="K47" s="104">
        <f ca="1">IF((ISNUMBER('FIRE0508b raw'!K47)),ROUND('FIRE0508b raw'!K47,0),"..")</f>
        <v>0</v>
      </c>
      <c r="L47" s="104">
        <f ca="1">IF((ISNUMBER('FIRE0508b raw'!L47)),ROUND('FIRE0508b raw'!L47,0),"..")</f>
        <v>0</v>
      </c>
      <c r="M47" s="62"/>
      <c r="O47" s="74"/>
      <c r="P47" s="74"/>
      <c r="R47" s="74"/>
      <c r="S47" s="74"/>
      <c r="U47" s="76"/>
      <c r="V47" s="76"/>
      <c r="W47" s="76"/>
      <c r="X47" s="76"/>
      <c r="Y47" s="76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</row>
    <row r="48" spans="1:37" s="63" customFormat="1" ht="15" customHeight="1">
      <c r="A48" s="96" t="s">
        <v>44</v>
      </c>
      <c r="B48" s="104">
        <f ca="1">IF((ISNUMBER('FIRE0508b raw'!B48)),ROUND('FIRE0508b raw'!B48,0),"..")</f>
        <v>7</v>
      </c>
      <c r="C48" s="104">
        <f ca="1">IF((ISNUMBER('FIRE0508b raw'!C48)),ROUND('FIRE0508b raw'!C48,0),"..")</f>
        <v>6</v>
      </c>
      <c r="D48" s="104"/>
      <c r="E48" s="104">
        <f ca="1">IF((ISNUMBER('FIRE0508b raw'!E48)),ROUND('FIRE0508b raw'!E48,0),"..")</f>
        <v>1</v>
      </c>
      <c r="F48" s="104">
        <f ca="1">IF((ISNUMBER('FIRE0508b raw'!F48)),ROUND('FIRE0508b raw'!F48,0),"..")</f>
        <v>0</v>
      </c>
      <c r="G48" s="104"/>
      <c r="H48" s="104">
        <f ca="1">IF((ISNUMBER('FIRE0508b raw'!H48)),ROUND('FIRE0508b raw'!H48,0),"..")</f>
        <v>0</v>
      </c>
      <c r="I48" s="104">
        <f ca="1">IF((ISNUMBER('FIRE0508b raw'!I48)),ROUND('FIRE0508b raw'!I48,0),"..")</f>
        <v>0</v>
      </c>
      <c r="J48" s="104"/>
      <c r="K48" s="104">
        <f ca="1">IF((ISNUMBER('FIRE0508b raw'!K48)),ROUND('FIRE0508b raw'!K48,0),"..")</f>
        <v>0</v>
      </c>
      <c r="L48" s="104">
        <f ca="1">IF((ISNUMBER('FIRE0508b raw'!L48)),ROUND('FIRE0508b raw'!L48,0),"..")</f>
        <v>0</v>
      </c>
      <c r="M48" s="62"/>
      <c r="O48" s="74"/>
      <c r="P48" s="74"/>
      <c r="R48" s="74"/>
      <c r="S48" s="74"/>
      <c r="U48" s="76"/>
      <c r="V48" s="76"/>
      <c r="W48" s="76"/>
      <c r="X48" s="76"/>
      <c r="Y48" s="76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</row>
    <row r="49" spans="1:37" s="63" customFormat="1" ht="15" customHeight="1">
      <c r="A49" s="96" t="s">
        <v>45</v>
      </c>
      <c r="B49" s="104" t="str">
        <f ca="1">IF((ISNUMBER('FIRE0508b raw'!B49)),ROUND('FIRE0508b raw'!B49,0),"..")</f>
        <v>..</v>
      </c>
      <c r="C49" s="104" t="str">
        <f ca="1">IF((ISNUMBER('FIRE0508b raw'!C49)),ROUND('FIRE0508b raw'!C49,0),"..")</f>
        <v>..</v>
      </c>
      <c r="D49" s="104"/>
      <c r="E49" s="104" t="str">
        <f ca="1">IF((ISNUMBER('FIRE0508b raw'!E49)),ROUND('FIRE0508b raw'!E49,0),"..")</f>
        <v>..</v>
      </c>
      <c r="F49" s="104" t="str">
        <f ca="1">IF((ISNUMBER('FIRE0508b raw'!F49)),ROUND('FIRE0508b raw'!F49,0),"..")</f>
        <v>..</v>
      </c>
      <c r="G49" s="104"/>
      <c r="H49" s="104" t="str">
        <f ca="1">IF((ISNUMBER('FIRE0508b raw'!H49)),ROUND('FIRE0508b raw'!H49,0),"..")</f>
        <v>..</v>
      </c>
      <c r="I49" s="104" t="str">
        <f ca="1">IF((ISNUMBER('FIRE0508b raw'!I49)),ROUND('FIRE0508b raw'!I49,0),"..")</f>
        <v>..</v>
      </c>
      <c r="J49" s="104"/>
      <c r="K49" s="104" t="str">
        <f ca="1">IF((ISNUMBER('FIRE0508b raw'!K49)),ROUND('FIRE0508b raw'!K49,0),"..")</f>
        <v>..</v>
      </c>
      <c r="L49" s="104" t="str">
        <f ca="1">IF((ISNUMBER('FIRE0508b raw'!L49)),ROUND('FIRE0508b raw'!L49,0),"..")</f>
        <v>..</v>
      </c>
      <c r="M49" s="62"/>
      <c r="O49" s="74"/>
      <c r="P49" s="74"/>
      <c r="R49" s="74"/>
      <c r="S49" s="74"/>
      <c r="U49" s="76"/>
      <c r="V49" s="76"/>
      <c r="W49" s="76"/>
      <c r="X49" s="76"/>
      <c r="Y49" s="76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</row>
    <row r="50" spans="1:37" s="63" customFormat="1" ht="15" customHeight="1">
      <c r="A50" s="96" t="s">
        <v>46</v>
      </c>
      <c r="B50" s="104">
        <f ca="1">IF((ISNUMBER('FIRE0508b raw'!B50)),ROUND('FIRE0508b raw'!B50,0),"..")</f>
        <v>0</v>
      </c>
      <c r="C50" s="104">
        <f ca="1">IF((ISNUMBER('FIRE0508b raw'!C50)),ROUND('FIRE0508b raw'!C50,0),"..")</f>
        <v>0</v>
      </c>
      <c r="D50" s="104"/>
      <c r="E50" s="104">
        <f ca="1">IF((ISNUMBER('FIRE0508b raw'!E50)),ROUND('FIRE0508b raw'!E50,0),"..")</f>
        <v>0</v>
      </c>
      <c r="F50" s="104">
        <f ca="1">IF((ISNUMBER('FIRE0508b raw'!F50)),ROUND('FIRE0508b raw'!F50,0),"..")</f>
        <v>0</v>
      </c>
      <c r="G50" s="104"/>
      <c r="H50" s="104">
        <f ca="1">IF((ISNUMBER('FIRE0508b raw'!H50)),ROUND('FIRE0508b raw'!H50,0),"..")</f>
        <v>0</v>
      </c>
      <c r="I50" s="104">
        <f ca="1">IF((ISNUMBER('FIRE0508b raw'!I50)),ROUND('FIRE0508b raw'!I50,0),"..")</f>
        <v>0</v>
      </c>
      <c r="J50" s="104"/>
      <c r="K50" s="104">
        <f ca="1">IF((ISNUMBER('FIRE0508b raw'!K50)),ROUND('FIRE0508b raw'!K50,0),"..")</f>
        <v>0</v>
      </c>
      <c r="L50" s="104">
        <f ca="1">IF((ISNUMBER('FIRE0508b raw'!L50)),ROUND('FIRE0508b raw'!L50,0),"..")</f>
        <v>0</v>
      </c>
      <c r="M50" s="62"/>
      <c r="O50" s="74"/>
      <c r="P50" s="74"/>
      <c r="R50" s="74"/>
      <c r="S50" s="74"/>
      <c r="U50" s="76"/>
      <c r="V50" s="76"/>
      <c r="W50" s="76"/>
      <c r="X50" s="76"/>
      <c r="Y50" s="76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</row>
    <row r="51" spans="1:37" s="63" customFormat="1" ht="15" customHeight="1">
      <c r="A51" s="77" t="s">
        <v>69</v>
      </c>
      <c r="B51" s="103">
        <f ca="1">IF((ISNUMBER('FIRE0508b raw'!B51)),ROUND('FIRE0508b raw'!B51,0),"..")</f>
        <v>240</v>
      </c>
      <c r="C51" s="103">
        <f ca="1">IF((ISNUMBER('FIRE0508b raw'!C51)),ROUND('FIRE0508b raw'!C51,0),"..")</f>
        <v>123</v>
      </c>
      <c r="D51" s="103"/>
      <c r="E51" s="103">
        <f ca="1">IF((ISNUMBER('FIRE0508b raw'!E51)),ROUND('FIRE0508b raw'!E51,0),"..")</f>
        <v>53</v>
      </c>
      <c r="F51" s="103">
        <f ca="1">IF((ISNUMBER('FIRE0508b raw'!F51)),ROUND('FIRE0508b raw'!F51,0),"..")</f>
        <v>41</v>
      </c>
      <c r="G51" s="103"/>
      <c r="H51" s="103">
        <f ca="1">IF((ISNUMBER('FIRE0508b raw'!H51)),ROUND('FIRE0508b raw'!H51,0),"..")</f>
        <v>38</v>
      </c>
      <c r="I51" s="103">
        <f ca="1">IF((ISNUMBER('FIRE0508b raw'!I51)),ROUND('FIRE0508b raw'!I51,0),"..")</f>
        <v>20</v>
      </c>
      <c r="J51" s="103"/>
      <c r="K51" s="103">
        <f ca="1">IF((ISNUMBER('FIRE0508b raw'!K51)),ROUND('FIRE0508b raw'!K51,0),"..")</f>
        <v>0</v>
      </c>
      <c r="L51" s="103">
        <f ca="1">IF((ISNUMBER('FIRE0508b raw'!L51)),ROUND('FIRE0508b raw'!L51,0),"..")</f>
        <v>0</v>
      </c>
      <c r="M51" s="62"/>
      <c r="O51" s="74"/>
      <c r="P51" s="74"/>
      <c r="R51" s="74"/>
      <c r="S51" s="74"/>
      <c r="U51" s="76"/>
      <c r="V51" s="76"/>
      <c r="W51" s="76"/>
      <c r="X51" s="76"/>
      <c r="Y51" s="76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</row>
    <row r="52" spans="1:37" s="63" customFormat="1" ht="15" customHeight="1">
      <c r="A52" s="114" t="s">
        <v>48</v>
      </c>
      <c r="B52" s="104">
        <f ca="1">IF((ISNUMBER('FIRE0508b raw'!B52)),ROUND('FIRE0508b raw'!B52,0),"..")</f>
        <v>16</v>
      </c>
      <c r="C52" s="104">
        <f ca="1">IF((ISNUMBER('FIRE0508b raw'!C52)),ROUND('FIRE0508b raw'!C52,0),"..")</f>
        <v>12</v>
      </c>
      <c r="D52" s="104"/>
      <c r="E52" s="104">
        <f ca="1">IF((ISNUMBER('FIRE0508b raw'!E52)),ROUND('FIRE0508b raw'!E52,0),"..")</f>
        <v>0</v>
      </c>
      <c r="F52" s="104">
        <f ca="1">IF((ISNUMBER('FIRE0508b raw'!F52)),ROUND('FIRE0508b raw'!F52,0),"..")</f>
        <v>1</v>
      </c>
      <c r="G52" s="104"/>
      <c r="H52" s="104">
        <f ca="1">IF((ISNUMBER('FIRE0508b raw'!H52)),ROUND('FIRE0508b raw'!H52,0),"..")</f>
        <v>0</v>
      </c>
      <c r="I52" s="104">
        <f ca="1">IF((ISNUMBER('FIRE0508b raw'!I52)),ROUND('FIRE0508b raw'!I52,0),"..")</f>
        <v>1</v>
      </c>
      <c r="J52" s="104"/>
      <c r="K52" s="104">
        <f ca="1">IF((ISNUMBER('FIRE0508b raw'!K52)),ROUND('FIRE0508b raw'!K52,0),"..")</f>
        <v>0</v>
      </c>
      <c r="L52" s="104">
        <f ca="1">IF((ISNUMBER('FIRE0508b raw'!L52)),ROUND('FIRE0508b raw'!L52,0),"..")</f>
        <v>0</v>
      </c>
      <c r="M52" s="62"/>
      <c r="O52" s="74"/>
      <c r="P52" s="74"/>
      <c r="R52" s="74"/>
      <c r="S52" s="74"/>
      <c r="U52" s="76"/>
      <c r="V52" s="76"/>
      <c r="W52" s="76"/>
      <c r="X52" s="76"/>
      <c r="Y52" s="76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</row>
    <row r="53" spans="1:37" s="63" customFormat="1" ht="15" customHeight="1">
      <c r="A53" s="114" t="s">
        <v>49</v>
      </c>
      <c r="B53" s="104">
        <f ca="1">IF((ISNUMBER('FIRE0508b raw'!B53)),ROUND('FIRE0508b raw'!B53,0),"..")</f>
        <v>14</v>
      </c>
      <c r="C53" s="104">
        <f ca="1">IF((ISNUMBER('FIRE0508b raw'!C53)),ROUND('FIRE0508b raw'!C53,0),"..")</f>
        <v>2</v>
      </c>
      <c r="D53" s="104"/>
      <c r="E53" s="104">
        <f ca="1">IF((ISNUMBER('FIRE0508b raw'!E53)),ROUND('FIRE0508b raw'!E53,0),"..")</f>
        <v>4</v>
      </c>
      <c r="F53" s="104">
        <f ca="1">IF((ISNUMBER('FIRE0508b raw'!F53)),ROUND('FIRE0508b raw'!F53,0),"..")</f>
        <v>0</v>
      </c>
      <c r="G53" s="104"/>
      <c r="H53" s="104">
        <f ca="1">IF((ISNUMBER('FIRE0508b raw'!H53)),ROUND('FIRE0508b raw'!H53,0),"..")</f>
        <v>0</v>
      </c>
      <c r="I53" s="104">
        <f ca="1">IF((ISNUMBER('FIRE0508b raw'!I53)),ROUND('FIRE0508b raw'!I53,0),"..")</f>
        <v>0</v>
      </c>
      <c r="J53" s="104"/>
      <c r="K53" s="104">
        <f ca="1">IF((ISNUMBER('FIRE0508b raw'!K53)),ROUND('FIRE0508b raw'!K53,0),"..")</f>
        <v>0</v>
      </c>
      <c r="L53" s="104">
        <f ca="1">IF((ISNUMBER('FIRE0508b raw'!L53)),ROUND('FIRE0508b raw'!L53,0),"..")</f>
        <v>0</v>
      </c>
      <c r="M53" s="62"/>
      <c r="O53" s="74"/>
      <c r="P53" s="74"/>
      <c r="R53" s="74"/>
      <c r="S53" s="74"/>
      <c r="U53" s="76"/>
      <c r="V53" s="76"/>
      <c r="W53" s="76"/>
      <c r="X53" s="76"/>
      <c r="Y53" s="76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</row>
    <row r="54" spans="1:37" s="63" customFormat="1" ht="15" customHeight="1">
      <c r="A54" s="114" t="s">
        <v>50</v>
      </c>
      <c r="B54" s="104">
        <f ca="1">IF((ISNUMBER('FIRE0508b raw'!B54)),ROUND('FIRE0508b raw'!B54,0),"..")</f>
        <v>21</v>
      </c>
      <c r="C54" s="104">
        <f ca="1">IF((ISNUMBER('FIRE0508b raw'!C54)),ROUND('FIRE0508b raw'!C54,0),"..")</f>
        <v>15</v>
      </c>
      <c r="D54" s="104"/>
      <c r="E54" s="104">
        <f ca="1">IF((ISNUMBER('FIRE0508b raw'!E54)),ROUND('FIRE0508b raw'!E54,0),"..")</f>
        <v>0</v>
      </c>
      <c r="F54" s="104">
        <f ca="1">IF((ISNUMBER('FIRE0508b raw'!F54)),ROUND('FIRE0508b raw'!F54,0),"..")</f>
        <v>3</v>
      </c>
      <c r="G54" s="104"/>
      <c r="H54" s="104">
        <f ca="1">IF((ISNUMBER('FIRE0508b raw'!H54)),ROUND('FIRE0508b raw'!H54,0),"..")</f>
        <v>3</v>
      </c>
      <c r="I54" s="104">
        <f ca="1">IF((ISNUMBER('FIRE0508b raw'!I54)),ROUND('FIRE0508b raw'!I54,0),"..")</f>
        <v>2</v>
      </c>
      <c r="J54" s="104"/>
      <c r="K54" s="104">
        <f ca="1">IF((ISNUMBER('FIRE0508b raw'!K54)),ROUND('FIRE0508b raw'!K54,0),"..")</f>
        <v>0</v>
      </c>
      <c r="L54" s="104">
        <f ca="1">IF((ISNUMBER('FIRE0508b raw'!L54)),ROUND('FIRE0508b raw'!L54,0),"..")</f>
        <v>0</v>
      </c>
      <c r="M54" s="62"/>
      <c r="O54" s="74"/>
      <c r="P54" s="74"/>
      <c r="R54" s="74"/>
      <c r="S54" s="74"/>
      <c r="U54" s="76"/>
      <c r="V54" s="76"/>
      <c r="W54" s="76"/>
      <c r="X54" s="76"/>
      <c r="Y54" s="76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</row>
    <row r="55" spans="1:37" s="63" customFormat="1" ht="15" customHeight="1">
      <c r="A55" s="114" t="s">
        <v>51</v>
      </c>
      <c r="B55" s="104">
        <f ca="1">IF((ISNUMBER('FIRE0508b raw'!B55)),ROUND('FIRE0508b raw'!B55,0),"..")</f>
        <v>13</v>
      </c>
      <c r="C55" s="104">
        <f ca="1">IF((ISNUMBER('FIRE0508b raw'!C55)),ROUND('FIRE0508b raw'!C55,0),"..")</f>
        <v>0</v>
      </c>
      <c r="D55" s="104"/>
      <c r="E55" s="104">
        <f ca="1">IF((ISNUMBER('FIRE0508b raw'!E55)),ROUND('FIRE0508b raw'!E55,0),"..")</f>
        <v>1</v>
      </c>
      <c r="F55" s="104">
        <f ca="1">IF((ISNUMBER('FIRE0508b raw'!F55)),ROUND('FIRE0508b raw'!F55,0),"..")</f>
        <v>0</v>
      </c>
      <c r="G55" s="104"/>
      <c r="H55" s="104">
        <f ca="1">IF((ISNUMBER('FIRE0508b raw'!H55)),ROUND('FIRE0508b raw'!H55,0),"..")</f>
        <v>0</v>
      </c>
      <c r="I55" s="104">
        <f ca="1">IF((ISNUMBER('FIRE0508b raw'!I55)),ROUND('FIRE0508b raw'!I55,0),"..")</f>
        <v>0</v>
      </c>
      <c r="J55" s="104"/>
      <c r="K55" s="104">
        <f ca="1">IF((ISNUMBER('FIRE0508b raw'!K55)),ROUND('FIRE0508b raw'!K55,0),"..")</f>
        <v>0</v>
      </c>
      <c r="L55" s="104">
        <f ca="1">IF((ISNUMBER('FIRE0508b raw'!L55)),ROUND('FIRE0508b raw'!L55,0),"..")</f>
        <v>0</v>
      </c>
      <c r="M55" s="62"/>
      <c r="O55" s="74"/>
      <c r="P55" s="74"/>
      <c r="Q55" s="62"/>
      <c r="R55" s="74"/>
      <c r="S55" s="74"/>
      <c r="U55" s="76"/>
      <c r="V55" s="76"/>
      <c r="W55" s="76"/>
      <c r="X55" s="76"/>
      <c r="Y55" s="76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</row>
    <row r="56" spans="1:37" s="63" customFormat="1" ht="15" customHeight="1">
      <c r="A56" s="114" t="s">
        <v>52</v>
      </c>
      <c r="B56" s="104">
        <f ca="1">IF((ISNUMBER('FIRE0508b raw'!B56)),ROUND('FIRE0508b raw'!B56,0),"..")</f>
        <v>31</v>
      </c>
      <c r="C56" s="104">
        <f ca="1">IF((ISNUMBER('FIRE0508b raw'!C56)),ROUND('FIRE0508b raw'!C56,0),"..")</f>
        <v>12</v>
      </c>
      <c r="D56" s="104"/>
      <c r="E56" s="104">
        <f ca="1">IF((ISNUMBER('FIRE0508b raw'!E56)),ROUND('FIRE0508b raw'!E56,0),"..")</f>
        <v>4</v>
      </c>
      <c r="F56" s="104">
        <f ca="1">IF((ISNUMBER('FIRE0508b raw'!F56)),ROUND('FIRE0508b raw'!F56,0),"..")</f>
        <v>0</v>
      </c>
      <c r="G56" s="104"/>
      <c r="H56" s="104">
        <f ca="1">IF((ISNUMBER('FIRE0508b raw'!H56)),ROUND('FIRE0508b raw'!H56,0),"..")</f>
        <v>0</v>
      </c>
      <c r="I56" s="104">
        <f ca="1">IF((ISNUMBER('FIRE0508b raw'!I56)),ROUND('FIRE0508b raw'!I56,0),"..")</f>
        <v>0</v>
      </c>
      <c r="J56" s="104"/>
      <c r="K56" s="104">
        <f ca="1">IF((ISNUMBER('FIRE0508b raw'!K56)),ROUND('FIRE0508b raw'!K56,0),"..")</f>
        <v>0</v>
      </c>
      <c r="L56" s="104">
        <f ca="1">IF((ISNUMBER('FIRE0508b raw'!L56)),ROUND('FIRE0508b raw'!L56,0),"..")</f>
        <v>0</v>
      </c>
      <c r="M56" s="62"/>
      <c r="O56" s="74"/>
      <c r="P56" s="74"/>
      <c r="Q56" s="62"/>
      <c r="R56" s="74"/>
      <c r="S56" s="74"/>
      <c r="U56" s="76"/>
      <c r="V56" s="76"/>
      <c r="W56" s="76"/>
      <c r="X56" s="76"/>
      <c r="Y56" s="76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</row>
    <row r="57" spans="1:37" s="63" customFormat="1" ht="15" customHeight="1">
      <c r="A57" s="114" t="s">
        <v>53</v>
      </c>
      <c r="B57" s="104">
        <f ca="1">IF((ISNUMBER('FIRE0508b raw'!B57)),ROUND('FIRE0508b raw'!B57,0),"..")</f>
        <v>53</v>
      </c>
      <c r="C57" s="104">
        <f ca="1">IF((ISNUMBER('FIRE0508b raw'!C57)),ROUND('FIRE0508b raw'!C57,0),"..")</f>
        <v>7</v>
      </c>
      <c r="D57" s="104"/>
      <c r="E57" s="104">
        <f ca="1">IF((ISNUMBER('FIRE0508b raw'!E57)),ROUND('FIRE0508b raw'!E57,0),"..")</f>
        <v>5</v>
      </c>
      <c r="F57" s="104">
        <f ca="1">IF((ISNUMBER('FIRE0508b raw'!F57)),ROUND('FIRE0508b raw'!F57,0),"..")</f>
        <v>0</v>
      </c>
      <c r="G57" s="104"/>
      <c r="H57" s="104">
        <f ca="1">IF((ISNUMBER('FIRE0508b raw'!H57)),ROUND('FIRE0508b raw'!H57,0),"..")</f>
        <v>3</v>
      </c>
      <c r="I57" s="104">
        <f ca="1">IF((ISNUMBER('FIRE0508b raw'!I57)),ROUND('FIRE0508b raw'!I57,0),"..")</f>
        <v>1</v>
      </c>
      <c r="J57" s="104"/>
      <c r="K57" s="104">
        <f ca="1">IF((ISNUMBER('FIRE0508b raw'!K57)),ROUND('FIRE0508b raw'!K57,0),"..")</f>
        <v>0</v>
      </c>
      <c r="L57" s="104">
        <f ca="1">IF((ISNUMBER('FIRE0508b raw'!L57)),ROUND('FIRE0508b raw'!L57,0),"..")</f>
        <v>0</v>
      </c>
      <c r="M57" s="62"/>
      <c r="O57" s="74"/>
      <c r="P57" s="74"/>
      <c r="Q57" s="62"/>
      <c r="R57" s="74"/>
      <c r="S57" s="74"/>
      <c r="U57" s="76"/>
      <c r="V57" s="76"/>
      <c r="W57" s="76"/>
      <c r="X57" s="76"/>
      <c r="Y57" s="76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</row>
    <row r="58" spans="1:37" ht="18" thickBot="1">
      <c r="A58" s="107" t="s">
        <v>129</v>
      </c>
      <c r="B58" s="108">
        <f ca="1">IF((ISNUMBER('FIRE0508b raw'!B58)),ROUND('FIRE0508b raw'!B58,0),"..")</f>
        <v>92</v>
      </c>
      <c r="C58" s="108">
        <f ca="1">IF((ISNUMBER('FIRE0508b raw'!C58)),ROUND('FIRE0508b raw'!C58,0),"..")</f>
        <v>75</v>
      </c>
      <c r="D58" s="108"/>
      <c r="E58" s="108">
        <f ca="1">IF((ISNUMBER('FIRE0508b raw'!E58)),ROUND('FIRE0508b raw'!E58,0),"..")</f>
        <v>39</v>
      </c>
      <c r="F58" s="108">
        <f ca="1">IF((ISNUMBER('FIRE0508b raw'!F58)),ROUND('FIRE0508b raw'!F58,0),"..")</f>
        <v>37</v>
      </c>
      <c r="G58" s="108"/>
      <c r="H58" s="108">
        <f ca="1">IF((ISNUMBER('FIRE0508b raw'!H58)),ROUND('FIRE0508b raw'!H58,0),"..")</f>
        <v>32</v>
      </c>
      <c r="I58" s="108">
        <f ca="1">IF((ISNUMBER('FIRE0508b raw'!I58)),ROUND('FIRE0508b raw'!I58,0),"..")</f>
        <v>16</v>
      </c>
      <c r="J58" s="108"/>
      <c r="K58" s="108">
        <f ca="1">IF((ISNUMBER('FIRE0508b raw'!K58)),ROUND('FIRE0508b raw'!K58,0),"..")</f>
        <v>0</v>
      </c>
      <c r="L58" s="108">
        <f ca="1">IF((ISNUMBER('FIRE0508b raw'!L58)),ROUND('FIRE0508b raw'!L58,0),"..")</f>
        <v>0</v>
      </c>
      <c r="O58" s="74"/>
      <c r="P58" s="74"/>
      <c r="R58" s="74"/>
      <c r="S58" s="74"/>
      <c r="T58" s="74"/>
      <c r="U58" s="74"/>
      <c r="V58" s="74"/>
      <c r="W58" s="74"/>
      <c r="X58" s="74"/>
      <c r="Y58" s="74"/>
    </row>
    <row r="59" spans="1:37" s="63" customFormat="1" ht="15" customHeight="1">
      <c r="A59" s="231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62"/>
      <c r="N59" s="62"/>
      <c r="O59" s="74"/>
      <c r="P59" s="74"/>
      <c r="Q59" s="62"/>
      <c r="R59" s="74"/>
      <c r="S59" s="74"/>
      <c r="T59" s="74"/>
      <c r="U59" s="74"/>
      <c r="V59" s="74"/>
      <c r="W59" s="74"/>
      <c r="X59" s="74"/>
      <c r="Y59" s="74"/>
    </row>
    <row r="60" spans="1:37" s="63" customFormat="1" ht="15" customHeight="1">
      <c r="A60" s="244" t="s">
        <v>81</v>
      </c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62"/>
      <c r="N60" s="62"/>
      <c r="O60" s="74"/>
      <c r="P60" s="74"/>
      <c r="Q60" s="62"/>
      <c r="R60" s="74"/>
      <c r="S60" s="74"/>
      <c r="T60" s="74"/>
      <c r="U60" s="74"/>
      <c r="V60" s="74"/>
      <c r="W60" s="74"/>
      <c r="X60" s="74"/>
      <c r="Y60" s="74"/>
    </row>
    <row r="61" spans="1:37" s="63" customFormat="1" ht="90" customHeight="1">
      <c r="A61" s="245" t="s">
        <v>82</v>
      </c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62"/>
      <c r="N61" s="62"/>
      <c r="O61" s="74"/>
      <c r="P61" s="74"/>
      <c r="Q61" s="62"/>
      <c r="R61" s="74"/>
      <c r="S61" s="74"/>
      <c r="T61" s="74"/>
      <c r="U61" s="74"/>
      <c r="V61" s="74"/>
      <c r="W61" s="74"/>
      <c r="X61" s="74"/>
      <c r="Y61" s="74"/>
    </row>
    <row r="62" spans="1:37" s="63" customFormat="1" ht="15">
      <c r="A62" s="243" t="s">
        <v>90</v>
      </c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62"/>
      <c r="N62" s="62"/>
      <c r="O62" s="74"/>
      <c r="P62" s="74"/>
      <c r="Q62" s="62"/>
      <c r="R62" s="74"/>
      <c r="S62" s="74"/>
      <c r="T62" s="74"/>
      <c r="U62" s="74"/>
      <c r="V62" s="74"/>
      <c r="W62" s="74"/>
      <c r="X62" s="74"/>
      <c r="Y62" s="74"/>
    </row>
    <row r="63" spans="1:37" s="63" customFormat="1" ht="28.5" customHeight="1">
      <c r="A63" s="243" t="s">
        <v>130</v>
      </c>
      <c r="B63" s="243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62"/>
      <c r="N63" s="62"/>
      <c r="O63" s="74"/>
      <c r="P63" s="74"/>
      <c r="Q63" s="62"/>
      <c r="R63" s="74"/>
      <c r="S63" s="74"/>
      <c r="T63" s="74"/>
      <c r="U63" s="74"/>
      <c r="V63" s="74"/>
      <c r="W63" s="74"/>
      <c r="X63" s="74"/>
      <c r="Y63" s="74"/>
    </row>
    <row r="64" spans="1:37" s="63" customFormat="1" ht="15" customHeight="1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62"/>
      <c r="N64" s="62"/>
      <c r="O64" s="74"/>
      <c r="P64" s="74"/>
      <c r="Q64" s="62"/>
      <c r="R64" s="74"/>
      <c r="S64" s="74"/>
      <c r="T64" s="74"/>
      <c r="U64" s="74"/>
      <c r="V64" s="74"/>
      <c r="W64" s="74"/>
      <c r="X64" s="74"/>
      <c r="Y64" s="74"/>
    </row>
    <row r="65" spans="1:17" s="63" customFormat="1" ht="15" customHeight="1">
      <c r="A65" s="96" t="s">
        <v>83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Q65" s="62"/>
    </row>
    <row r="66" spans="1:17" s="63" customFormat="1" ht="15" customHeight="1">
      <c r="A66" s="110" t="s">
        <v>84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Q66" s="62"/>
    </row>
    <row r="67" spans="1:17" s="63" customFormat="1" ht="15" customHeight="1">
      <c r="A67" s="110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Q67" s="62"/>
    </row>
    <row r="68" spans="1:17" s="63" customFormat="1" ht="15">
      <c r="A68" s="120" t="s">
        <v>85</v>
      </c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06"/>
      <c r="Q68" s="62"/>
    </row>
    <row r="69" spans="1:17" ht="15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113"/>
    </row>
    <row r="70" spans="1:17" s="63" customFormat="1" ht="15">
      <c r="A70" s="96" t="s">
        <v>86</v>
      </c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194" t="s">
        <v>131</v>
      </c>
      <c r="Q70" s="62"/>
    </row>
    <row r="71" spans="1:17" s="63" customFormat="1" ht="15">
      <c r="A71" s="110" t="s">
        <v>87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195" t="s">
        <v>128</v>
      </c>
      <c r="Q71" s="62"/>
    </row>
    <row r="78" spans="1:17">
      <c r="O78" s="62" t="s">
        <v>70</v>
      </c>
      <c r="P78" s="63"/>
    </row>
    <row r="79" spans="1:17">
      <c r="O79" s="62" t="s">
        <v>71</v>
      </c>
    </row>
    <row r="80" spans="1:17">
      <c r="O80" s="62" t="s">
        <v>72</v>
      </c>
    </row>
    <row r="81" spans="15:15">
      <c r="O81" s="62" t="s">
        <v>73</v>
      </c>
    </row>
    <row r="82" spans="15:15">
      <c r="O82" s="62" t="s">
        <v>74</v>
      </c>
    </row>
    <row r="83" spans="15:15">
      <c r="O83" s="62" t="s">
        <v>75</v>
      </c>
    </row>
    <row r="84" spans="15:15">
      <c r="O84" s="62" t="s">
        <v>76</v>
      </c>
    </row>
    <row r="85" spans="15:15">
      <c r="O85" s="62" t="s">
        <v>127</v>
      </c>
    </row>
  </sheetData>
  <mergeCells count="13">
    <mergeCell ref="A63:L63"/>
    <mergeCell ref="A59:L59"/>
    <mergeCell ref="A60:L60"/>
    <mergeCell ref="A62:L62"/>
    <mergeCell ref="A61:L61"/>
    <mergeCell ref="A1:L1"/>
    <mergeCell ref="A4:I4"/>
    <mergeCell ref="B5:I5"/>
    <mergeCell ref="B6:C7"/>
    <mergeCell ref="E6:I6"/>
    <mergeCell ref="K6:L7"/>
    <mergeCell ref="E7:F7"/>
    <mergeCell ref="H7:I7"/>
  </mergeCells>
  <dataValidations count="1">
    <dataValidation type="list" allowBlank="1" showInputMessage="1" showErrorMessage="1" sqref="A4:I4">
      <formula1>$O$78:$O$85</formula1>
    </dataValidation>
  </dataValidations>
  <hyperlinks>
    <hyperlink ref="A66" r:id="rId1"/>
    <hyperlink ref="A71" r:id="rId2"/>
    <hyperlink ref="L70" r:id="rId3"/>
  </hyperlinks>
  <pageMargins left="0.7" right="0.7" top="0.75" bottom="0.75" header="0.3" footer="0.3"/>
  <pageSetup paperSize="9" orientation="portrait" r:id="rId4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F0"/>
  </sheetPr>
  <dimension ref="A1:AF88"/>
  <sheetViews>
    <sheetView workbookViewId="0">
      <pane ySplit="8" topLeftCell="A9" activePane="bottomLeft" state="frozen"/>
      <selection pane="bottomLeft" activeCell="A4" sqref="A4:G4"/>
    </sheetView>
  </sheetViews>
  <sheetFormatPr defaultRowHeight="12.75"/>
  <cols>
    <col min="1" max="1" width="50.7109375" style="62" customWidth="1"/>
    <col min="2" max="2" width="14.7109375" style="62" customWidth="1"/>
    <col min="3" max="3" width="6.7109375" style="62" customWidth="1"/>
    <col min="4" max="5" width="14.7109375" style="62" customWidth="1"/>
    <col min="6" max="6" width="6.7109375" style="62" customWidth="1"/>
    <col min="7" max="7" width="14.7109375" style="62" customWidth="1"/>
    <col min="8" max="8" width="9.140625" style="62" customWidth="1"/>
    <col min="9" max="11" width="9.140625" style="62" hidden="1" customWidth="1"/>
    <col min="12" max="12" width="10" style="62" bestFit="1" customWidth="1"/>
    <col min="13" max="13" width="11.85546875" style="62" customWidth="1"/>
    <col min="14" max="18" width="9.140625" style="62"/>
    <col min="19" max="19" width="11" style="62" customWidth="1"/>
    <col min="20" max="16384" width="9.140625" style="62"/>
  </cols>
  <sheetData>
    <row r="1" spans="1:32" s="61" customFormat="1" ht="37.5" customHeight="1">
      <c r="A1" s="235" t="s">
        <v>122</v>
      </c>
      <c r="B1" s="235"/>
      <c r="C1" s="235"/>
      <c r="D1" s="235"/>
      <c r="E1" s="235"/>
      <c r="F1" s="235"/>
      <c r="G1" s="235"/>
      <c r="H1" s="59"/>
      <c r="I1" s="59"/>
      <c r="J1" s="60"/>
      <c r="K1" s="60"/>
    </row>
    <row r="2" spans="1:32" s="63" customFormat="1" ht="1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32" s="63" customFormat="1" ht="15" customHeight="1">
      <c r="A3" s="64" t="s">
        <v>66</v>
      </c>
      <c r="B3" s="65"/>
      <c r="C3" s="65"/>
      <c r="D3" s="65"/>
      <c r="E3" s="65"/>
      <c r="F3" s="65"/>
      <c r="G3" s="65"/>
      <c r="H3" s="62"/>
      <c r="I3" s="62"/>
      <c r="J3" s="62"/>
      <c r="K3" s="62"/>
    </row>
    <row r="4" spans="1:32" s="63" customFormat="1" ht="15" customHeight="1">
      <c r="A4" s="236" t="s">
        <v>127</v>
      </c>
      <c r="B4" s="236"/>
      <c r="C4" s="236"/>
      <c r="D4" s="236"/>
      <c r="E4" s="236"/>
      <c r="F4" s="236"/>
      <c r="G4" s="236"/>
      <c r="H4" s="62"/>
      <c r="I4" s="62"/>
      <c r="J4" s="62"/>
      <c r="K4" s="62"/>
      <c r="L4" s="62"/>
    </row>
    <row r="5" spans="1:32" s="63" customFormat="1" ht="15.75" thickBot="1">
      <c r="A5" s="96"/>
      <c r="B5" s="117"/>
      <c r="C5" s="117"/>
      <c r="D5" s="117"/>
      <c r="E5" s="117"/>
      <c r="F5" s="117"/>
      <c r="G5" s="117"/>
      <c r="H5" s="96"/>
      <c r="I5" s="96"/>
      <c r="J5" s="121"/>
      <c r="K5" s="121"/>
      <c r="L5" s="106"/>
      <c r="M5" s="121"/>
      <c r="N5" s="68"/>
      <c r="P5" s="68"/>
      <c r="Q5" s="68"/>
      <c r="R5" s="68"/>
      <c r="S5" s="68"/>
      <c r="T5" s="68"/>
      <c r="W5" s="69"/>
    </row>
    <row r="6" spans="1:32" s="63" customFormat="1" ht="18" thickBot="1">
      <c r="A6" s="96"/>
      <c r="B6" s="241" t="s">
        <v>1</v>
      </c>
      <c r="C6" s="97"/>
      <c r="D6" s="240" t="s">
        <v>79</v>
      </c>
      <c r="E6" s="240"/>
      <c r="F6" s="98"/>
      <c r="G6" s="241" t="s">
        <v>120</v>
      </c>
      <c r="H6" s="96"/>
      <c r="I6" s="96"/>
      <c r="J6" s="121"/>
      <c r="K6" s="121"/>
      <c r="L6" s="106"/>
      <c r="M6" s="121"/>
      <c r="N6" s="68"/>
      <c r="P6" s="68"/>
      <c r="Q6" s="68"/>
      <c r="R6" s="68"/>
      <c r="S6" s="68"/>
      <c r="T6" s="68"/>
      <c r="W6" s="69"/>
    </row>
    <row r="7" spans="1:32" s="72" customFormat="1" ht="45.75" thickBot="1">
      <c r="A7" s="99" t="s">
        <v>67</v>
      </c>
      <c r="B7" s="242"/>
      <c r="C7" s="100"/>
      <c r="D7" s="101" t="s">
        <v>3</v>
      </c>
      <c r="E7" s="101" t="s">
        <v>80</v>
      </c>
      <c r="F7" s="100"/>
      <c r="G7" s="242"/>
      <c r="H7" s="122"/>
      <c r="I7" s="122"/>
      <c r="J7" s="122"/>
      <c r="K7" s="122"/>
      <c r="L7" s="96"/>
      <c r="M7" s="122"/>
    </row>
    <row r="8" spans="1:32" s="63" customFormat="1" ht="15" customHeight="1">
      <c r="A8" s="77" t="s">
        <v>6</v>
      </c>
      <c r="B8" s="73">
        <f ca="1">IF((ISNUMBER('FIRE0508c raw'!B8)),ROUND('FIRE0508c raw'!B8,0),"..")</f>
        <v>922</v>
      </c>
      <c r="C8" s="73"/>
      <c r="D8" s="73">
        <f ca="1">IF((ISNUMBER('FIRE0508c raw'!D8)),ROUND('FIRE0508c raw'!D8,0),"..")</f>
        <v>181</v>
      </c>
      <c r="E8" s="73">
        <f ca="1">IF((ISNUMBER('FIRE0508c raw'!E8)),ROUND('FIRE0508c raw'!E8,0),"..")</f>
        <v>37</v>
      </c>
      <c r="F8" s="73"/>
      <c r="G8" s="73">
        <f ca="1">IF((ISNUMBER('FIRE0508c raw'!G8)),ROUND('FIRE0508c raw'!G8,0),"..")</f>
        <v>0</v>
      </c>
      <c r="H8" s="96"/>
      <c r="I8" s="106"/>
      <c r="J8" s="111"/>
      <c r="K8" s="111"/>
      <c r="L8" s="106"/>
      <c r="M8" s="111"/>
      <c r="N8" s="74"/>
      <c r="P8" s="76"/>
      <c r="Q8" s="76"/>
      <c r="R8" s="76"/>
      <c r="S8" s="76"/>
      <c r="T8" s="76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</row>
    <row r="9" spans="1:32" s="63" customFormat="1" ht="15" customHeight="1">
      <c r="A9" s="102" t="s">
        <v>68</v>
      </c>
      <c r="B9" s="73">
        <f ca="1">IF((ISNUMBER('FIRE0508c raw'!B9)),ROUND('FIRE0508c raw'!B9,0),"..")</f>
        <v>754</v>
      </c>
      <c r="C9" s="73"/>
      <c r="D9" s="73">
        <f ca="1">IF((ISNUMBER('FIRE0508c raw'!D9)),ROUND('FIRE0508c raw'!D9,0),"..")</f>
        <v>137</v>
      </c>
      <c r="E9" s="73">
        <f ca="1">IF((ISNUMBER('FIRE0508c raw'!E9)),ROUND('FIRE0508c raw'!E9,0),"..")</f>
        <v>31</v>
      </c>
      <c r="F9" s="73"/>
      <c r="G9" s="73">
        <f ca="1">IF((ISNUMBER('FIRE0508c raw'!G9)),ROUND('FIRE0508c raw'!G9,0),"..")</f>
        <v>0</v>
      </c>
      <c r="H9" s="96"/>
      <c r="I9" s="106"/>
      <c r="J9" s="111"/>
      <c r="K9" s="111"/>
      <c r="L9" s="106"/>
      <c r="M9" s="111"/>
      <c r="N9" s="74"/>
      <c r="P9" s="76"/>
      <c r="Q9" s="76"/>
      <c r="R9" s="76"/>
      <c r="S9" s="76"/>
      <c r="T9" s="76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</row>
    <row r="10" spans="1:32" s="63" customFormat="1" ht="15" customHeight="1">
      <c r="A10" s="96" t="s">
        <v>8</v>
      </c>
      <c r="B10" s="192">
        <f ca="1">IF((ISNUMBER('FIRE0508c raw'!B10)),ROUND('FIRE0508c raw'!B10,0),"..")</f>
        <v>29</v>
      </c>
      <c r="C10" s="91"/>
      <c r="D10" s="192">
        <f ca="1">IF((ISNUMBER('FIRE0508c raw'!D10)),ROUND('FIRE0508c raw'!D10,0),"..")</f>
        <v>6</v>
      </c>
      <c r="E10" s="192">
        <f ca="1">IF((ISNUMBER('FIRE0508c raw'!E10)),ROUND('FIRE0508c raw'!E10,0),"..")</f>
        <v>0</v>
      </c>
      <c r="F10" s="91"/>
      <c r="G10" s="192">
        <f ca="1">IF((ISNUMBER('FIRE0508c raw'!G10)),ROUND('FIRE0508c raw'!G10,0),"..")</f>
        <v>0</v>
      </c>
      <c r="H10" s="96"/>
      <c r="I10" s="106"/>
      <c r="J10" s="111"/>
      <c r="K10" s="111"/>
      <c r="L10" s="106"/>
      <c r="M10" s="111"/>
      <c r="N10" s="74"/>
      <c r="P10" s="76"/>
      <c r="Q10" s="76"/>
      <c r="R10" s="76"/>
      <c r="S10" s="76"/>
      <c r="T10" s="76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</row>
    <row r="11" spans="1:32" s="63" customFormat="1" ht="15" customHeight="1">
      <c r="A11" s="96" t="s">
        <v>9</v>
      </c>
      <c r="B11" s="192">
        <f ca="1">IF((ISNUMBER('FIRE0508c raw'!B11)),ROUND('FIRE0508c raw'!B11,0),"..")</f>
        <v>11</v>
      </c>
      <c r="C11" s="91"/>
      <c r="D11" s="192">
        <f ca="1">IF((ISNUMBER('FIRE0508c raw'!D11)),ROUND('FIRE0508c raw'!D11,0),"..")</f>
        <v>2</v>
      </c>
      <c r="E11" s="192">
        <f ca="1">IF((ISNUMBER('FIRE0508c raw'!E11)),ROUND('FIRE0508c raw'!E11,0),"..")</f>
        <v>0</v>
      </c>
      <c r="F11" s="91"/>
      <c r="G11" s="192">
        <f ca="1">IF((ISNUMBER('FIRE0508c raw'!G11)),ROUND('FIRE0508c raw'!G11,0),"..")</f>
        <v>0</v>
      </c>
      <c r="H11" s="96"/>
      <c r="I11" s="106"/>
      <c r="J11" s="111"/>
      <c r="K11" s="111"/>
      <c r="L11" s="106"/>
      <c r="M11" s="111"/>
      <c r="N11" s="74"/>
      <c r="P11" s="76"/>
      <c r="Q11" s="76"/>
      <c r="R11" s="76"/>
      <c r="S11" s="76"/>
      <c r="T11" s="76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</row>
    <row r="12" spans="1:32" s="63" customFormat="1" ht="15" customHeight="1">
      <c r="A12" s="96" t="s">
        <v>10</v>
      </c>
      <c r="B12" s="192">
        <f ca="1">IF((ISNUMBER('FIRE0508c raw'!B12)),ROUND('FIRE0508c raw'!B12,0),"..")</f>
        <v>14</v>
      </c>
      <c r="C12" s="91"/>
      <c r="D12" s="192">
        <f ca="1">IF((ISNUMBER('FIRE0508c raw'!D12)),ROUND('FIRE0508c raw'!D12,0),"..")</f>
        <v>1</v>
      </c>
      <c r="E12" s="192">
        <f ca="1">IF((ISNUMBER('FIRE0508c raw'!E12)),ROUND('FIRE0508c raw'!E12,0),"..")</f>
        <v>0</v>
      </c>
      <c r="F12" s="91"/>
      <c r="G12" s="192">
        <f ca="1">IF((ISNUMBER('FIRE0508c raw'!G12)),ROUND('FIRE0508c raw'!G12,0),"..")</f>
        <v>0</v>
      </c>
      <c r="H12" s="96"/>
      <c r="I12" s="106"/>
      <c r="J12" s="111"/>
      <c r="K12" s="111"/>
      <c r="L12" s="106"/>
      <c r="M12" s="111"/>
      <c r="N12" s="74"/>
      <c r="P12" s="76"/>
      <c r="Q12" s="76"/>
      <c r="R12" s="76"/>
      <c r="S12" s="76"/>
      <c r="T12" s="76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</row>
    <row r="13" spans="1:32" s="63" customFormat="1" ht="15" customHeight="1">
      <c r="A13" s="96" t="s">
        <v>11</v>
      </c>
      <c r="B13" s="192">
        <f ca="1">IF((ISNUMBER('FIRE0508c raw'!B13)),ROUND('FIRE0508c raw'!B13,0),"..")</f>
        <v>16</v>
      </c>
      <c r="C13" s="91"/>
      <c r="D13" s="192">
        <f ca="1">IF((ISNUMBER('FIRE0508c raw'!D13)),ROUND('FIRE0508c raw'!D13,0),"..")</f>
        <v>1</v>
      </c>
      <c r="E13" s="192">
        <f ca="1">IF((ISNUMBER('FIRE0508c raw'!E13)),ROUND('FIRE0508c raw'!E13,0),"..")</f>
        <v>0</v>
      </c>
      <c r="F13" s="91"/>
      <c r="G13" s="192">
        <f ca="1">IF((ISNUMBER('FIRE0508c raw'!G13)),ROUND('FIRE0508c raw'!G13,0),"..")</f>
        <v>0</v>
      </c>
      <c r="H13" s="96"/>
      <c r="I13" s="106"/>
      <c r="J13" s="111"/>
      <c r="K13" s="111"/>
      <c r="L13" s="106"/>
      <c r="M13" s="111"/>
      <c r="N13" s="74"/>
      <c r="P13" s="76"/>
      <c r="Q13" s="76"/>
      <c r="R13" s="76"/>
      <c r="S13" s="76"/>
      <c r="T13" s="76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1:32" s="63" customFormat="1" ht="15" customHeight="1">
      <c r="A14" s="96" t="s">
        <v>12</v>
      </c>
      <c r="B14" s="192">
        <f ca="1">IF((ISNUMBER('FIRE0508c raw'!B14)),ROUND('FIRE0508c raw'!B14,0),"..")</f>
        <v>39</v>
      </c>
      <c r="C14" s="91"/>
      <c r="D14" s="192">
        <f ca="1">IF((ISNUMBER('FIRE0508c raw'!D14)),ROUND('FIRE0508c raw'!D14,0),"..")</f>
        <v>4</v>
      </c>
      <c r="E14" s="192">
        <f ca="1">IF((ISNUMBER('FIRE0508c raw'!E14)),ROUND('FIRE0508c raw'!E14,0),"..")</f>
        <v>6</v>
      </c>
      <c r="F14" s="91"/>
      <c r="G14" s="192">
        <f ca="1">IF((ISNUMBER('FIRE0508c raw'!G14)),ROUND('FIRE0508c raw'!G14,0),"..")</f>
        <v>0</v>
      </c>
      <c r="H14" s="96"/>
      <c r="I14" s="106"/>
      <c r="J14" s="111"/>
      <c r="K14" s="111"/>
      <c r="L14" s="106"/>
      <c r="M14" s="111"/>
      <c r="N14" s="74"/>
      <c r="P14" s="76"/>
      <c r="Q14" s="76"/>
      <c r="R14" s="76"/>
      <c r="S14" s="76"/>
      <c r="T14" s="76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1:32" s="63" customFormat="1" ht="15" customHeight="1">
      <c r="A15" s="96" t="s">
        <v>13</v>
      </c>
      <c r="B15" s="192">
        <f ca="1">IF((ISNUMBER('FIRE0508c raw'!B15)),ROUND('FIRE0508c raw'!B15,0),"..")</f>
        <v>8</v>
      </c>
      <c r="C15" s="91"/>
      <c r="D15" s="192">
        <f ca="1">IF((ISNUMBER('FIRE0508c raw'!D15)),ROUND('FIRE0508c raw'!D15,0),"..")</f>
        <v>1</v>
      </c>
      <c r="E15" s="192">
        <f ca="1">IF((ISNUMBER('FIRE0508c raw'!E15)),ROUND('FIRE0508c raw'!E15,0),"..")</f>
        <v>0</v>
      </c>
      <c r="F15" s="91"/>
      <c r="G15" s="192">
        <f ca="1">IF((ISNUMBER('FIRE0508c raw'!G15)),ROUND('FIRE0508c raw'!G15,0),"..")</f>
        <v>0</v>
      </c>
      <c r="H15" s="96"/>
      <c r="I15" s="106"/>
      <c r="J15" s="111"/>
      <c r="K15" s="111"/>
      <c r="L15" s="106"/>
      <c r="M15" s="111"/>
      <c r="N15" s="74"/>
      <c r="P15" s="76"/>
      <c r="Q15" s="76"/>
      <c r="R15" s="76"/>
      <c r="S15" s="76"/>
      <c r="T15" s="76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</row>
    <row r="16" spans="1:32" s="63" customFormat="1" ht="15" customHeight="1">
      <c r="A16" s="96" t="s">
        <v>14</v>
      </c>
      <c r="B16" s="192">
        <f ca="1">IF((ISNUMBER('FIRE0508c raw'!B16)),ROUND('FIRE0508c raw'!B16,0),"..")</f>
        <v>4</v>
      </c>
      <c r="C16" s="91"/>
      <c r="D16" s="192">
        <f ca="1">IF((ISNUMBER('FIRE0508c raw'!D16)),ROUND('FIRE0508c raw'!D16,0),"..")</f>
        <v>0</v>
      </c>
      <c r="E16" s="192">
        <f ca="1">IF((ISNUMBER('FIRE0508c raw'!E16)),ROUND('FIRE0508c raw'!E16,0),"..")</f>
        <v>0</v>
      </c>
      <c r="F16" s="91"/>
      <c r="G16" s="192">
        <f ca="1">IF((ISNUMBER('FIRE0508c raw'!G16)),ROUND('FIRE0508c raw'!G16,0),"..")</f>
        <v>0</v>
      </c>
      <c r="H16" s="96"/>
      <c r="I16" s="106"/>
      <c r="J16" s="111"/>
      <c r="K16" s="111"/>
      <c r="L16" s="106"/>
      <c r="M16" s="111"/>
      <c r="N16" s="74"/>
      <c r="P16" s="76"/>
      <c r="Q16" s="76"/>
      <c r="R16" s="76"/>
      <c r="S16" s="76"/>
      <c r="T16" s="76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</row>
    <row r="17" spans="1:32" s="63" customFormat="1" ht="15" customHeight="1">
      <c r="A17" s="96" t="s">
        <v>15</v>
      </c>
      <c r="B17" s="192">
        <f ca="1">IF((ISNUMBER('FIRE0508c raw'!B17)),ROUND('FIRE0508c raw'!B17,0),"..")</f>
        <v>8</v>
      </c>
      <c r="C17" s="91"/>
      <c r="D17" s="192">
        <f ca="1">IF((ISNUMBER('FIRE0508c raw'!D17)),ROUND('FIRE0508c raw'!D17,0),"..")</f>
        <v>0</v>
      </c>
      <c r="E17" s="192">
        <f ca="1">IF((ISNUMBER('FIRE0508c raw'!E17)),ROUND('FIRE0508c raw'!E17,0),"..")</f>
        <v>2</v>
      </c>
      <c r="F17" s="91"/>
      <c r="G17" s="192">
        <f ca="1">IF((ISNUMBER('FIRE0508c raw'!G17)),ROUND('FIRE0508c raw'!G17,0),"..")</f>
        <v>0</v>
      </c>
      <c r="H17" s="96"/>
      <c r="I17" s="106"/>
      <c r="J17" s="111"/>
      <c r="K17" s="111"/>
      <c r="L17" s="106"/>
      <c r="M17" s="111"/>
      <c r="N17" s="74"/>
      <c r="P17" s="76"/>
      <c r="Q17" s="76"/>
      <c r="R17" s="76"/>
      <c r="S17" s="76"/>
      <c r="T17" s="76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</row>
    <row r="18" spans="1:32" s="63" customFormat="1" ht="15" customHeight="1">
      <c r="A18" s="105" t="s">
        <v>16</v>
      </c>
      <c r="B18" s="192">
        <f ca="1">IF((ISNUMBER('FIRE0508c raw'!B18)),ROUND('FIRE0508c raw'!B18,0),"..")</f>
        <v>8</v>
      </c>
      <c r="C18" s="91"/>
      <c r="D18" s="192">
        <f ca="1">IF((ISNUMBER('FIRE0508c raw'!D18)),ROUND('FIRE0508c raw'!D18,0),"..")</f>
        <v>2</v>
      </c>
      <c r="E18" s="192">
        <f ca="1">IF((ISNUMBER('FIRE0508c raw'!E18)),ROUND('FIRE0508c raw'!E18,0),"..")</f>
        <v>0</v>
      </c>
      <c r="F18" s="91"/>
      <c r="G18" s="192">
        <f ca="1">IF((ISNUMBER('FIRE0508c raw'!G18)),ROUND('FIRE0508c raw'!G18,0),"..")</f>
        <v>0</v>
      </c>
      <c r="H18" s="96"/>
      <c r="I18" s="106"/>
      <c r="J18" s="111"/>
      <c r="K18" s="111"/>
      <c r="L18" s="106"/>
      <c r="M18" s="111"/>
      <c r="N18" s="74"/>
      <c r="P18" s="76"/>
      <c r="Q18" s="76"/>
      <c r="R18" s="76"/>
      <c r="S18" s="76"/>
      <c r="T18" s="76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</row>
    <row r="19" spans="1:32" s="63" customFormat="1" ht="15" customHeight="1">
      <c r="A19" s="105" t="s">
        <v>17</v>
      </c>
      <c r="B19" s="192">
        <f ca="1">IF((ISNUMBER('FIRE0508c raw'!B19)),ROUND('FIRE0508c raw'!B19,0),"..")</f>
        <v>12</v>
      </c>
      <c r="C19" s="91"/>
      <c r="D19" s="192">
        <f ca="1">IF((ISNUMBER('FIRE0508c raw'!D19)),ROUND('FIRE0508c raw'!D19,0),"..")</f>
        <v>2</v>
      </c>
      <c r="E19" s="192">
        <f ca="1">IF((ISNUMBER('FIRE0508c raw'!E19)),ROUND('FIRE0508c raw'!E19,0),"..")</f>
        <v>2</v>
      </c>
      <c r="F19" s="91"/>
      <c r="G19" s="192">
        <f ca="1">IF((ISNUMBER('FIRE0508c raw'!G19)),ROUND('FIRE0508c raw'!G19,0),"..")</f>
        <v>0</v>
      </c>
      <c r="H19" s="96"/>
      <c r="I19" s="106"/>
      <c r="J19" s="111"/>
      <c r="K19" s="111"/>
      <c r="L19" s="106"/>
      <c r="M19" s="111"/>
      <c r="N19" s="74"/>
      <c r="P19" s="76"/>
      <c r="Q19" s="76"/>
      <c r="R19" s="76"/>
      <c r="S19" s="76"/>
      <c r="T19" s="76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</row>
    <row r="20" spans="1:32" s="63" customFormat="1" ht="15" customHeight="1">
      <c r="A20" s="96" t="s">
        <v>18</v>
      </c>
      <c r="B20" s="192">
        <f ca="1">IF((ISNUMBER('FIRE0508c raw'!B20)),ROUND('FIRE0508c raw'!B20,0),"..")</f>
        <v>27</v>
      </c>
      <c r="C20" s="91"/>
      <c r="D20" s="192">
        <f ca="1">IF((ISNUMBER('FIRE0508c raw'!D20)),ROUND('FIRE0508c raw'!D20,0),"..")</f>
        <v>15</v>
      </c>
      <c r="E20" s="192">
        <f ca="1">IF((ISNUMBER('FIRE0508c raw'!E20)),ROUND('FIRE0508c raw'!E20,0),"..")</f>
        <v>1</v>
      </c>
      <c r="F20" s="91"/>
      <c r="G20" s="192">
        <f ca="1">IF((ISNUMBER('FIRE0508c raw'!G20)),ROUND('FIRE0508c raw'!G20,0),"..")</f>
        <v>0</v>
      </c>
      <c r="H20" s="96"/>
      <c r="I20" s="106"/>
      <c r="J20" s="111"/>
      <c r="K20" s="111"/>
      <c r="L20" s="106"/>
      <c r="M20" s="111"/>
      <c r="N20" s="74"/>
      <c r="P20" s="76"/>
      <c r="Q20" s="76"/>
      <c r="R20" s="76"/>
      <c r="S20" s="76"/>
      <c r="T20" s="76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</row>
    <row r="21" spans="1:32" s="63" customFormat="1" ht="15" customHeight="1">
      <c r="A21" s="96" t="s">
        <v>125</v>
      </c>
      <c r="B21" s="192">
        <f ca="1">IF((ISNUMBER('FIRE0508c raw'!B21)),ROUND('FIRE0508c raw'!B21,0),"..")</f>
        <v>33</v>
      </c>
      <c r="C21" s="91"/>
      <c r="D21" s="192">
        <f ca="1">IF((ISNUMBER('FIRE0508c raw'!D21)),ROUND('FIRE0508c raw'!D21,0),"..")</f>
        <v>3</v>
      </c>
      <c r="E21" s="192">
        <f ca="1">IF((ISNUMBER('FIRE0508c raw'!E21)),ROUND('FIRE0508c raw'!E21,0),"..")</f>
        <v>1</v>
      </c>
      <c r="F21" s="91"/>
      <c r="G21" s="192">
        <f ca="1">IF((ISNUMBER('FIRE0508c raw'!G21)),ROUND('FIRE0508c raw'!G21,0),"..")</f>
        <v>0</v>
      </c>
      <c r="H21" s="96"/>
      <c r="I21" s="106"/>
      <c r="J21" s="111"/>
      <c r="K21" s="111"/>
      <c r="L21" s="106"/>
      <c r="M21" s="111"/>
      <c r="N21" s="74"/>
      <c r="P21" s="76"/>
      <c r="Q21" s="76"/>
      <c r="R21" s="76"/>
      <c r="S21" s="76"/>
      <c r="T21" s="76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</row>
    <row r="22" spans="1:32" s="63" customFormat="1" ht="15" customHeight="1">
      <c r="A22" s="96" t="s">
        <v>19</v>
      </c>
      <c r="B22" s="192" t="str">
        <f ca="1">IF((ISNUMBER('FIRE0508c raw'!B22)),ROUND('FIRE0508c raw'!B22,0),"..")</f>
        <v>..</v>
      </c>
      <c r="C22" s="91"/>
      <c r="D22" s="192" t="str">
        <f ca="1">IF((ISNUMBER('FIRE0508c raw'!D22)),ROUND('FIRE0508c raw'!D22,0),"..")</f>
        <v>..</v>
      </c>
      <c r="E22" s="192" t="str">
        <f ca="1">IF((ISNUMBER('FIRE0508c raw'!E22)),ROUND('FIRE0508c raw'!E22,0),"..")</f>
        <v>..</v>
      </c>
      <c r="F22" s="91"/>
      <c r="G22" s="192" t="str">
        <f ca="1">IF((ISNUMBER('FIRE0508c raw'!G22)),ROUND('FIRE0508c raw'!G22,0),"..")</f>
        <v>..</v>
      </c>
      <c r="H22" s="96"/>
      <c r="I22" s="106"/>
      <c r="J22" s="111"/>
      <c r="K22" s="111"/>
      <c r="L22" s="106"/>
      <c r="M22" s="111"/>
      <c r="N22" s="74"/>
      <c r="P22" s="76"/>
      <c r="Q22" s="76"/>
      <c r="R22" s="76"/>
      <c r="S22" s="76"/>
      <c r="T22" s="76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</row>
    <row r="23" spans="1:32" s="63" customFormat="1" ht="15" customHeight="1">
      <c r="A23" s="96" t="s">
        <v>20</v>
      </c>
      <c r="B23" s="192">
        <f ca="1">IF((ISNUMBER('FIRE0508c raw'!B23)),ROUND('FIRE0508c raw'!B23,0),"..")</f>
        <v>3</v>
      </c>
      <c r="C23" s="91"/>
      <c r="D23" s="192">
        <f ca="1">IF((ISNUMBER('FIRE0508c raw'!D23)),ROUND('FIRE0508c raw'!D23,0),"..")</f>
        <v>1</v>
      </c>
      <c r="E23" s="192">
        <f ca="1">IF((ISNUMBER('FIRE0508c raw'!E23)),ROUND('FIRE0508c raw'!E23,0),"..")</f>
        <v>0</v>
      </c>
      <c r="F23" s="91"/>
      <c r="G23" s="192">
        <f ca="1">IF((ISNUMBER('FIRE0508c raw'!G23)),ROUND('FIRE0508c raw'!G23,0),"..")</f>
        <v>0</v>
      </c>
      <c r="H23" s="96"/>
      <c r="I23" s="106"/>
      <c r="J23" s="111"/>
      <c r="K23" s="111"/>
      <c r="L23" s="106"/>
      <c r="M23" s="111"/>
      <c r="N23" s="74"/>
      <c r="P23" s="76"/>
      <c r="Q23" s="76"/>
      <c r="R23" s="76"/>
      <c r="S23" s="76"/>
      <c r="T23" s="76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</row>
    <row r="24" spans="1:32" s="63" customFormat="1" ht="15" customHeight="1">
      <c r="A24" s="96" t="s">
        <v>21</v>
      </c>
      <c r="B24" s="192">
        <f ca="1">IF((ISNUMBER('FIRE0508c raw'!B24)),ROUND('FIRE0508c raw'!B24,0),"..")</f>
        <v>23</v>
      </c>
      <c r="C24" s="91"/>
      <c r="D24" s="192">
        <f ca="1">IF((ISNUMBER('FIRE0508c raw'!D24)),ROUND('FIRE0508c raw'!D24,0),"..")</f>
        <v>4</v>
      </c>
      <c r="E24" s="192">
        <f ca="1">IF((ISNUMBER('FIRE0508c raw'!E24)),ROUND('FIRE0508c raw'!E24,0),"..")</f>
        <v>1</v>
      </c>
      <c r="F24" s="91"/>
      <c r="G24" s="192">
        <f ca="1">IF((ISNUMBER('FIRE0508c raw'!G24)),ROUND('FIRE0508c raw'!G24,0),"..")</f>
        <v>0</v>
      </c>
      <c r="H24" s="96"/>
      <c r="I24" s="106"/>
      <c r="J24" s="111"/>
      <c r="K24" s="111"/>
      <c r="L24" s="106"/>
      <c r="M24" s="111"/>
      <c r="N24" s="74"/>
      <c r="P24" s="76"/>
      <c r="Q24" s="76"/>
      <c r="R24" s="76"/>
      <c r="S24" s="76"/>
      <c r="T24" s="76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</row>
    <row r="25" spans="1:32" s="63" customFormat="1" ht="15" customHeight="1">
      <c r="A25" s="96" t="s">
        <v>22</v>
      </c>
      <c r="B25" s="192">
        <f ca="1">IF((ISNUMBER('FIRE0508c raw'!B25)),ROUND('FIRE0508c raw'!B25,0),"..")</f>
        <v>37</v>
      </c>
      <c r="C25" s="91"/>
      <c r="D25" s="192">
        <f ca="1">IF((ISNUMBER('FIRE0508c raw'!D25)),ROUND('FIRE0508c raw'!D25,0),"..")</f>
        <v>6</v>
      </c>
      <c r="E25" s="192">
        <f ca="1">IF((ISNUMBER('FIRE0508c raw'!E25)),ROUND('FIRE0508c raw'!E25,0),"..")</f>
        <v>0</v>
      </c>
      <c r="F25" s="91"/>
      <c r="G25" s="192">
        <f ca="1">IF((ISNUMBER('FIRE0508c raw'!G25)),ROUND('FIRE0508c raw'!G25,0),"..")</f>
        <v>0</v>
      </c>
      <c r="H25" s="96"/>
      <c r="I25" s="106"/>
      <c r="J25" s="111"/>
      <c r="K25" s="111"/>
      <c r="L25" s="106"/>
      <c r="M25" s="111"/>
      <c r="N25" s="74"/>
      <c r="P25" s="76"/>
      <c r="Q25" s="76"/>
      <c r="R25" s="76"/>
      <c r="S25" s="76"/>
      <c r="T25" s="76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1:32" s="63" customFormat="1" ht="15" customHeight="1">
      <c r="A26" s="96" t="s">
        <v>23</v>
      </c>
      <c r="B26" s="192">
        <f ca="1">IF((ISNUMBER('FIRE0508c raw'!B26)),ROUND('FIRE0508c raw'!B26,0),"..")</f>
        <v>35</v>
      </c>
      <c r="C26" s="91"/>
      <c r="D26" s="192">
        <f ca="1">IF((ISNUMBER('FIRE0508c raw'!D26)),ROUND('FIRE0508c raw'!D26,0),"..")</f>
        <v>0</v>
      </c>
      <c r="E26" s="192">
        <f ca="1">IF((ISNUMBER('FIRE0508c raw'!E26)),ROUND('FIRE0508c raw'!E26,0),"..")</f>
        <v>0</v>
      </c>
      <c r="F26" s="91"/>
      <c r="G26" s="192">
        <f ca="1">IF((ISNUMBER('FIRE0508c raw'!G26)),ROUND('FIRE0508c raw'!G26,0),"..")</f>
        <v>0</v>
      </c>
      <c r="H26" s="96"/>
      <c r="I26" s="106"/>
      <c r="J26" s="111"/>
      <c r="K26" s="111"/>
      <c r="L26" s="106"/>
      <c r="M26" s="111"/>
      <c r="N26" s="74"/>
      <c r="P26" s="76"/>
      <c r="Q26" s="76"/>
      <c r="R26" s="76"/>
      <c r="S26" s="76"/>
      <c r="T26" s="76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1:32" s="63" customFormat="1" ht="15" customHeight="1">
      <c r="A27" s="96" t="s">
        <v>24</v>
      </c>
      <c r="B27" s="192">
        <f ca="1">IF((ISNUMBER('FIRE0508c raw'!B27)),ROUND('FIRE0508c raw'!B27,0),"..")</f>
        <v>41</v>
      </c>
      <c r="C27" s="91"/>
      <c r="D27" s="192">
        <f ca="1">IF((ISNUMBER('FIRE0508c raw'!D27)),ROUND('FIRE0508c raw'!D27,0),"..")</f>
        <v>7</v>
      </c>
      <c r="E27" s="192">
        <f ca="1">IF((ISNUMBER('FIRE0508c raw'!E27)),ROUND('FIRE0508c raw'!E27,0),"..")</f>
        <v>0</v>
      </c>
      <c r="F27" s="91"/>
      <c r="G27" s="192">
        <f ca="1">IF((ISNUMBER('FIRE0508c raw'!G27)),ROUND('FIRE0508c raw'!G27,0),"..")</f>
        <v>0</v>
      </c>
      <c r="H27" s="96"/>
      <c r="I27" s="106"/>
      <c r="J27" s="111"/>
      <c r="K27" s="111"/>
      <c r="L27" s="106"/>
      <c r="M27" s="111"/>
      <c r="N27" s="74"/>
      <c r="P27" s="76"/>
      <c r="Q27" s="76"/>
      <c r="R27" s="76"/>
      <c r="S27" s="76"/>
      <c r="T27" s="76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1:32" s="63" customFormat="1" ht="15" customHeight="1">
      <c r="A28" s="96" t="s">
        <v>25</v>
      </c>
      <c r="B28" s="192">
        <f ca="1">IF((ISNUMBER('FIRE0508c raw'!B28)),ROUND('FIRE0508c raw'!B28,0),"..")</f>
        <v>31</v>
      </c>
      <c r="C28" s="91"/>
      <c r="D28" s="192">
        <f ca="1">IF((ISNUMBER('FIRE0508c raw'!D28)),ROUND('FIRE0508c raw'!D28,0),"..")</f>
        <v>6</v>
      </c>
      <c r="E28" s="192">
        <f ca="1">IF((ISNUMBER('FIRE0508c raw'!E28)),ROUND('FIRE0508c raw'!E28,0),"..")</f>
        <v>0</v>
      </c>
      <c r="F28" s="91"/>
      <c r="G28" s="192">
        <f ca="1">IF((ISNUMBER('FIRE0508c raw'!G28)),ROUND('FIRE0508c raw'!G28,0),"..")</f>
        <v>0</v>
      </c>
      <c r="H28" s="96"/>
      <c r="I28" s="106"/>
      <c r="J28" s="111"/>
      <c r="K28" s="111"/>
      <c r="L28" s="106"/>
      <c r="M28" s="111"/>
      <c r="N28" s="74"/>
      <c r="P28" s="76"/>
      <c r="Q28" s="76"/>
      <c r="R28" s="76"/>
      <c r="S28" s="76"/>
      <c r="T28" s="76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</row>
    <row r="29" spans="1:32" s="63" customFormat="1" ht="15" customHeight="1">
      <c r="A29" s="96" t="s">
        <v>26</v>
      </c>
      <c r="B29" s="192">
        <f ca="1">IF((ISNUMBER('FIRE0508c raw'!B29)),ROUND('FIRE0508c raw'!B29,0),"..")</f>
        <v>22</v>
      </c>
      <c r="C29" s="91"/>
      <c r="D29" s="192">
        <f ca="1">IF((ISNUMBER('FIRE0508c raw'!D29)),ROUND('FIRE0508c raw'!D29,0),"..")</f>
        <v>9</v>
      </c>
      <c r="E29" s="192">
        <f ca="1">IF((ISNUMBER('FIRE0508c raw'!E29)),ROUND('FIRE0508c raw'!E29,0),"..")</f>
        <v>0</v>
      </c>
      <c r="F29" s="91"/>
      <c r="G29" s="192">
        <f ca="1">IF((ISNUMBER('FIRE0508c raw'!G29)),ROUND('FIRE0508c raw'!G29,0),"..")</f>
        <v>0</v>
      </c>
      <c r="H29" s="96"/>
      <c r="I29" s="106"/>
      <c r="J29" s="111"/>
      <c r="K29" s="111"/>
      <c r="L29" s="106"/>
      <c r="M29" s="111"/>
      <c r="N29" s="74"/>
      <c r="P29" s="76"/>
      <c r="Q29" s="76"/>
      <c r="R29" s="76"/>
      <c r="S29" s="76"/>
      <c r="T29" s="76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</row>
    <row r="30" spans="1:32" s="63" customFormat="1" ht="15" customHeight="1">
      <c r="A30" s="96" t="s">
        <v>27</v>
      </c>
      <c r="B30" s="192">
        <f ca="1">IF((ISNUMBER('FIRE0508c raw'!B30)),ROUND('FIRE0508c raw'!B30,0),"..")</f>
        <v>38</v>
      </c>
      <c r="C30" s="91"/>
      <c r="D30" s="192">
        <f ca="1">IF((ISNUMBER('FIRE0508c raw'!D30)),ROUND('FIRE0508c raw'!D30,0),"..")</f>
        <v>7</v>
      </c>
      <c r="E30" s="192">
        <f ca="1">IF((ISNUMBER('FIRE0508c raw'!E30)),ROUND('FIRE0508c raw'!E30,0),"..")</f>
        <v>2</v>
      </c>
      <c r="F30" s="91"/>
      <c r="G30" s="192">
        <f ca="1">IF((ISNUMBER('FIRE0508c raw'!G30)),ROUND('FIRE0508c raw'!G30,0),"..")</f>
        <v>0</v>
      </c>
      <c r="H30" s="96"/>
      <c r="I30" s="106"/>
      <c r="J30" s="111"/>
      <c r="K30" s="111"/>
      <c r="L30" s="106"/>
      <c r="M30" s="111"/>
      <c r="N30" s="74"/>
      <c r="P30" s="76"/>
      <c r="Q30" s="76"/>
      <c r="R30" s="76"/>
      <c r="S30" s="76"/>
      <c r="T30" s="76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</row>
    <row r="31" spans="1:32" s="63" customFormat="1" ht="15" customHeight="1">
      <c r="A31" s="106" t="s">
        <v>28</v>
      </c>
      <c r="B31" s="192">
        <f ca="1">IF((ISNUMBER('FIRE0508c raw'!B31)),ROUND('FIRE0508c raw'!B31,0),"..")</f>
        <v>4</v>
      </c>
      <c r="C31" s="91"/>
      <c r="D31" s="192">
        <f ca="1">IF((ISNUMBER('FIRE0508c raw'!D31)),ROUND('FIRE0508c raw'!D31,0),"..")</f>
        <v>0</v>
      </c>
      <c r="E31" s="192">
        <f ca="1">IF((ISNUMBER('FIRE0508c raw'!E31)),ROUND('FIRE0508c raw'!E31,0),"..")</f>
        <v>0</v>
      </c>
      <c r="F31" s="91"/>
      <c r="G31" s="192">
        <f ca="1">IF((ISNUMBER('FIRE0508c raw'!G31)),ROUND('FIRE0508c raw'!G31,0),"..")</f>
        <v>0</v>
      </c>
      <c r="H31" s="96"/>
      <c r="I31" s="106"/>
      <c r="J31" s="111"/>
      <c r="K31" s="111"/>
      <c r="L31" s="106"/>
      <c r="M31" s="111"/>
      <c r="N31" s="74"/>
      <c r="P31" s="76"/>
      <c r="Q31" s="76"/>
      <c r="R31" s="76"/>
      <c r="S31" s="76"/>
      <c r="T31" s="76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</row>
    <row r="32" spans="1:32" s="63" customFormat="1" ht="15" customHeight="1">
      <c r="A32" s="106" t="s">
        <v>29</v>
      </c>
      <c r="B32" s="192">
        <f ca="1">IF((ISNUMBER('FIRE0508c raw'!B32)),ROUND('FIRE0508c raw'!B32,0),"..")</f>
        <v>25</v>
      </c>
      <c r="C32" s="91"/>
      <c r="D32" s="192">
        <f ca="1">IF((ISNUMBER('FIRE0508c raw'!D32)),ROUND('FIRE0508c raw'!D32,0),"..")</f>
        <v>8</v>
      </c>
      <c r="E32" s="192">
        <f ca="1">IF((ISNUMBER('FIRE0508c raw'!E32)),ROUND('FIRE0508c raw'!E32,0),"..")</f>
        <v>1</v>
      </c>
      <c r="F32" s="91"/>
      <c r="G32" s="192">
        <f ca="1">IF((ISNUMBER('FIRE0508c raw'!G32)),ROUND('FIRE0508c raw'!G32,0),"..")</f>
        <v>0</v>
      </c>
      <c r="H32" s="96"/>
      <c r="I32" s="106"/>
      <c r="J32" s="111"/>
      <c r="K32" s="111"/>
      <c r="L32" s="106"/>
      <c r="M32" s="111"/>
      <c r="N32" s="74"/>
      <c r="P32" s="76"/>
      <c r="Q32" s="76"/>
      <c r="R32" s="76"/>
      <c r="S32" s="76"/>
      <c r="T32" s="76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</row>
    <row r="33" spans="1:32" s="63" customFormat="1" ht="15" customHeight="1">
      <c r="A33" s="96" t="s">
        <v>30</v>
      </c>
      <c r="B33" s="192">
        <f ca="1">IF((ISNUMBER('FIRE0508c raw'!B33)),ROUND('FIRE0508c raw'!B33,0),"..")</f>
        <v>22</v>
      </c>
      <c r="C33" s="91"/>
      <c r="D33" s="192">
        <f ca="1">IF((ISNUMBER('FIRE0508c raw'!D33)),ROUND('FIRE0508c raw'!D33,0),"..")</f>
        <v>9</v>
      </c>
      <c r="E33" s="192">
        <f ca="1">IF((ISNUMBER('FIRE0508c raw'!E33)),ROUND('FIRE0508c raw'!E33,0),"..")</f>
        <v>0</v>
      </c>
      <c r="F33" s="91"/>
      <c r="G33" s="192">
        <f ca="1">IF((ISNUMBER('FIRE0508c raw'!G33)),ROUND('FIRE0508c raw'!G33,0),"..")</f>
        <v>0</v>
      </c>
      <c r="H33" s="96"/>
      <c r="I33" s="106"/>
      <c r="J33" s="111"/>
      <c r="K33" s="111"/>
      <c r="L33" s="106"/>
      <c r="M33" s="111"/>
      <c r="N33" s="74"/>
      <c r="P33" s="76"/>
      <c r="Q33" s="76"/>
      <c r="R33" s="76"/>
      <c r="S33" s="76"/>
      <c r="T33" s="76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</row>
    <row r="34" spans="1:32" s="63" customFormat="1" ht="15" customHeight="1">
      <c r="A34" s="106" t="s">
        <v>31</v>
      </c>
      <c r="B34" s="192">
        <f ca="1">IF((ISNUMBER('FIRE0508c raw'!B34)),ROUND('FIRE0508c raw'!B34,0),"..")</f>
        <v>29</v>
      </c>
      <c r="C34" s="91"/>
      <c r="D34" s="192">
        <f ca="1">IF((ISNUMBER('FIRE0508c raw'!D34)),ROUND('FIRE0508c raw'!D34,0),"..")</f>
        <v>18</v>
      </c>
      <c r="E34" s="192">
        <f ca="1">IF((ISNUMBER('FIRE0508c raw'!E34)),ROUND('FIRE0508c raw'!E34,0),"..")</f>
        <v>11</v>
      </c>
      <c r="F34" s="91"/>
      <c r="G34" s="192">
        <f ca="1">IF((ISNUMBER('FIRE0508c raw'!G34)),ROUND('FIRE0508c raw'!G34,0),"..")</f>
        <v>0</v>
      </c>
      <c r="H34" s="96"/>
      <c r="I34" s="106"/>
      <c r="J34" s="111"/>
      <c r="K34" s="111"/>
      <c r="L34" s="106"/>
      <c r="M34" s="111"/>
      <c r="N34" s="74"/>
      <c r="P34" s="76"/>
      <c r="Q34" s="76"/>
      <c r="R34" s="76"/>
      <c r="S34" s="76"/>
      <c r="T34" s="76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</row>
    <row r="35" spans="1:32" s="63" customFormat="1" ht="15" customHeight="1">
      <c r="A35" s="106" t="s">
        <v>32</v>
      </c>
      <c r="B35" s="192">
        <f ca="1">IF((ISNUMBER('FIRE0508c raw'!B35)),ROUND('FIRE0508c raw'!B35,0),"..")</f>
        <v>11</v>
      </c>
      <c r="C35" s="91"/>
      <c r="D35" s="192">
        <f ca="1">IF((ISNUMBER('FIRE0508c raw'!D35)),ROUND('FIRE0508c raw'!D35,0),"..")</f>
        <v>2</v>
      </c>
      <c r="E35" s="192">
        <f ca="1">IF((ISNUMBER('FIRE0508c raw'!E35)),ROUND('FIRE0508c raw'!E35,0),"..")</f>
        <v>0</v>
      </c>
      <c r="F35" s="91"/>
      <c r="G35" s="192">
        <f ca="1">IF((ISNUMBER('FIRE0508c raw'!G35)),ROUND('FIRE0508c raw'!G35,0),"..")</f>
        <v>0</v>
      </c>
      <c r="H35" s="96"/>
      <c r="I35" s="106"/>
      <c r="J35" s="111"/>
      <c r="K35" s="111"/>
      <c r="L35" s="106"/>
      <c r="M35" s="111"/>
      <c r="N35" s="74"/>
      <c r="P35" s="76"/>
      <c r="Q35" s="76"/>
      <c r="R35" s="76"/>
      <c r="S35" s="76"/>
      <c r="T35" s="76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</row>
    <row r="36" spans="1:32" s="63" customFormat="1" ht="15" customHeight="1">
      <c r="A36" s="96" t="s">
        <v>33</v>
      </c>
      <c r="B36" s="192">
        <f ca="1">IF((ISNUMBER('FIRE0508c raw'!B36)),ROUND('FIRE0508c raw'!B36,0),"..")</f>
        <v>37</v>
      </c>
      <c r="C36" s="91"/>
      <c r="D36" s="192">
        <f ca="1">IF((ISNUMBER('FIRE0508c raw'!D36)),ROUND('FIRE0508c raw'!D36,0),"..")</f>
        <v>2</v>
      </c>
      <c r="E36" s="192">
        <f ca="1">IF((ISNUMBER('FIRE0508c raw'!E36)),ROUND('FIRE0508c raw'!E36,0),"..")</f>
        <v>0</v>
      </c>
      <c r="F36" s="91"/>
      <c r="G36" s="192">
        <f ca="1">IF((ISNUMBER('FIRE0508c raw'!G36)),ROUND('FIRE0508c raw'!G36,0),"..")</f>
        <v>0</v>
      </c>
      <c r="H36" s="96"/>
      <c r="I36" s="106"/>
      <c r="J36" s="111"/>
      <c r="K36" s="111"/>
      <c r="L36" s="106"/>
      <c r="M36" s="111"/>
      <c r="N36" s="74"/>
      <c r="P36" s="76"/>
      <c r="Q36" s="76"/>
      <c r="R36" s="76"/>
      <c r="S36" s="76"/>
      <c r="T36" s="76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</row>
    <row r="37" spans="1:32" s="63" customFormat="1" ht="15" customHeight="1">
      <c r="A37" s="106" t="s">
        <v>34</v>
      </c>
      <c r="B37" s="192">
        <f ca="1">IF((ISNUMBER('FIRE0508c raw'!B37)),ROUND('FIRE0508c raw'!B37,0),"..")</f>
        <v>36</v>
      </c>
      <c r="C37" s="91"/>
      <c r="D37" s="192">
        <f ca="1">IF((ISNUMBER('FIRE0508c raw'!D37)),ROUND('FIRE0508c raw'!D37,0),"..")</f>
        <v>4</v>
      </c>
      <c r="E37" s="192">
        <f ca="1">IF((ISNUMBER('FIRE0508c raw'!E37)),ROUND('FIRE0508c raw'!E37,0),"..")</f>
        <v>3</v>
      </c>
      <c r="F37" s="91"/>
      <c r="G37" s="192">
        <f ca="1">IF((ISNUMBER('FIRE0508c raw'!G37)),ROUND('FIRE0508c raw'!G37,0),"..")</f>
        <v>0</v>
      </c>
      <c r="H37" s="96"/>
      <c r="I37" s="106"/>
      <c r="J37" s="111"/>
      <c r="K37" s="111"/>
      <c r="L37" s="106"/>
      <c r="M37" s="111"/>
      <c r="N37" s="74"/>
      <c r="P37" s="76"/>
      <c r="Q37" s="76"/>
      <c r="R37" s="76"/>
      <c r="S37" s="76"/>
      <c r="T37" s="76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</row>
    <row r="38" spans="1:32" s="63" customFormat="1" ht="15" customHeight="1">
      <c r="A38" s="106" t="s">
        <v>35</v>
      </c>
      <c r="B38" s="192">
        <f ca="1">IF((ISNUMBER('FIRE0508c raw'!B38)),ROUND('FIRE0508c raw'!B38,0),"..")</f>
        <v>14</v>
      </c>
      <c r="C38" s="91"/>
      <c r="D38" s="192">
        <f ca="1">IF((ISNUMBER('FIRE0508c raw'!D38)),ROUND('FIRE0508c raw'!D38,0),"..")</f>
        <v>3</v>
      </c>
      <c r="E38" s="192">
        <f ca="1">IF((ISNUMBER('FIRE0508c raw'!E38)),ROUND('FIRE0508c raw'!E38,0),"..")</f>
        <v>0</v>
      </c>
      <c r="F38" s="91"/>
      <c r="G38" s="192">
        <f ca="1">IF((ISNUMBER('FIRE0508c raw'!G38)),ROUND('FIRE0508c raw'!G38,0),"..")</f>
        <v>0</v>
      </c>
      <c r="H38" s="96"/>
      <c r="I38" s="106"/>
      <c r="J38" s="111"/>
      <c r="K38" s="111"/>
      <c r="L38" s="106"/>
      <c r="M38" s="111"/>
      <c r="N38" s="74"/>
      <c r="P38" s="76"/>
      <c r="Q38" s="76"/>
      <c r="R38" s="76"/>
      <c r="S38" s="76"/>
      <c r="T38" s="76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</row>
    <row r="39" spans="1:32" s="63" customFormat="1" ht="15" customHeight="1">
      <c r="A39" s="106" t="s">
        <v>36</v>
      </c>
      <c r="B39" s="192">
        <f ca="1">IF((ISNUMBER('FIRE0508c raw'!B39)),ROUND('FIRE0508c raw'!B39,0),"..")</f>
        <v>9</v>
      </c>
      <c r="C39" s="91"/>
      <c r="D39" s="192">
        <f ca="1">IF((ISNUMBER('FIRE0508c raw'!D39)),ROUND('FIRE0508c raw'!D39,0),"..")</f>
        <v>0</v>
      </c>
      <c r="E39" s="192">
        <f ca="1">IF((ISNUMBER('FIRE0508c raw'!E39)),ROUND('FIRE0508c raw'!E39,0),"..")</f>
        <v>0</v>
      </c>
      <c r="F39" s="91"/>
      <c r="G39" s="192">
        <f ca="1">IF((ISNUMBER('FIRE0508c raw'!G39)),ROUND('FIRE0508c raw'!G39,0),"..")</f>
        <v>0</v>
      </c>
      <c r="H39" s="96"/>
      <c r="I39" s="106"/>
      <c r="J39" s="111"/>
      <c r="K39" s="111"/>
      <c r="L39" s="106"/>
      <c r="M39" s="111"/>
      <c r="N39" s="74"/>
      <c r="P39" s="76"/>
      <c r="Q39" s="76"/>
      <c r="R39" s="76"/>
      <c r="S39" s="76"/>
      <c r="T39" s="76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</row>
    <row r="40" spans="1:32" s="63" customFormat="1" ht="15" customHeight="1">
      <c r="A40" s="96" t="s">
        <v>37</v>
      </c>
      <c r="B40" s="192">
        <f ca="1">IF((ISNUMBER('FIRE0508c raw'!B40)),ROUND('FIRE0508c raw'!B40,0),"..")</f>
        <v>9</v>
      </c>
      <c r="C40" s="91"/>
      <c r="D40" s="192">
        <f ca="1">IF((ISNUMBER('FIRE0508c raw'!D40)),ROUND('FIRE0508c raw'!D40,0),"..")</f>
        <v>1</v>
      </c>
      <c r="E40" s="192">
        <f ca="1">IF((ISNUMBER('FIRE0508c raw'!E40)),ROUND('FIRE0508c raw'!E40,0),"..")</f>
        <v>0</v>
      </c>
      <c r="F40" s="91"/>
      <c r="G40" s="192">
        <f ca="1">IF((ISNUMBER('FIRE0508c raw'!G40)),ROUND('FIRE0508c raw'!G40,0),"..")</f>
        <v>0</v>
      </c>
      <c r="H40" s="96"/>
      <c r="I40" s="106"/>
      <c r="J40" s="111"/>
      <c r="K40" s="111"/>
      <c r="L40" s="106"/>
      <c r="M40" s="111"/>
      <c r="N40" s="74"/>
      <c r="P40" s="76"/>
      <c r="Q40" s="76"/>
      <c r="R40" s="76"/>
      <c r="S40" s="76"/>
      <c r="T40" s="76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</row>
    <row r="41" spans="1:32" s="63" customFormat="1" ht="15" customHeight="1">
      <c r="A41" s="96" t="s">
        <v>38</v>
      </c>
      <c r="B41" s="192">
        <f ca="1">IF((ISNUMBER('FIRE0508c raw'!B41)),ROUND('FIRE0508c raw'!B41,0),"..")</f>
        <v>23</v>
      </c>
      <c r="C41" s="91"/>
      <c r="D41" s="192">
        <f ca="1">IF((ISNUMBER('FIRE0508c raw'!D41)),ROUND('FIRE0508c raw'!D41,0),"..")</f>
        <v>2</v>
      </c>
      <c r="E41" s="192">
        <f ca="1">IF((ISNUMBER('FIRE0508c raw'!E41)),ROUND('FIRE0508c raw'!E41,0),"..")</f>
        <v>0</v>
      </c>
      <c r="F41" s="91"/>
      <c r="G41" s="192">
        <f ca="1">IF((ISNUMBER('FIRE0508c raw'!G41)),ROUND('FIRE0508c raw'!G41,0),"..")</f>
        <v>0</v>
      </c>
      <c r="H41" s="96"/>
      <c r="I41" s="106"/>
      <c r="J41" s="111"/>
      <c r="K41" s="111"/>
      <c r="L41" s="106"/>
      <c r="M41" s="111"/>
      <c r="N41" s="74"/>
      <c r="P41" s="76"/>
      <c r="Q41" s="76"/>
      <c r="R41" s="76"/>
      <c r="S41" s="76"/>
      <c r="T41" s="76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</row>
    <row r="42" spans="1:32" s="63" customFormat="1" ht="15" customHeight="1">
      <c r="A42" s="96" t="s">
        <v>39</v>
      </c>
      <c r="B42" s="192">
        <f ca="1">IF((ISNUMBER('FIRE0508c raw'!B42)),ROUND('FIRE0508c raw'!B42,0),"..")</f>
        <v>8</v>
      </c>
      <c r="C42" s="91"/>
      <c r="D42" s="192">
        <f ca="1">IF((ISNUMBER('FIRE0508c raw'!D42)),ROUND('FIRE0508c raw'!D42,0),"..")</f>
        <v>2</v>
      </c>
      <c r="E42" s="192">
        <f ca="1">IF((ISNUMBER('FIRE0508c raw'!E42)),ROUND('FIRE0508c raw'!E42,0),"..")</f>
        <v>0</v>
      </c>
      <c r="F42" s="91"/>
      <c r="G42" s="192">
        <f ca="1">IF((ISNUMBER('FIRE0508c raw'!G42)),ROUND('FIRE0508c raw'!G42,0),"..")</f>
        <v>0</v>
      </c>
      <c r="H42" s="96"/>
      <c r="I42" s="106"/>
      <c r="J42" s="111"/>
      <c r="K42" s="111"/>
      <c r="L42" s="106"/>
      <c r="M42" s="111"/>
      <c r="N42" s="74"/>
      <c r="P42" s="76"/>
      <c r="Q42" s="76"/>
      <c r="R42" s="76"/>
      <c r="S42" s="76"/>
      <c r="T42" s="76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</row>
    <row r="43" spans="1:32" s="63" customFormat="1" ht="15" customHeight="1">
      <c r="A43" s="96" t="s">
        <v>40</v>
      </c>
      <c r="B43" s="192">
        <f ca="1">IF((ISNUMBER('FIRE0508c raw'!B43)),ROUND('FIRE0508c raw'!B43,0),"..")</f>
        <v>19</v>
      </c>
      <c r="C43" s="91"/>
      <c r="D43" s="192">
        <f ca="1">IF((ISNUMBER('FIRE0508c raw'!D43)),ROUND('FIRE0508c raw'!D43,0),"..")</f>
        <v>0</v>
      </c>
      <c r="E43" s="192">
        <f ca="1">IF((ISNUMBER('FIRE0508c raw'!E43)),ROUND('FIRE0508c raw'!E43,0),"..")</f>
        <v>1</v>
      </c>
      <c r="F43" s="91"/>
      <c r="G43" s="192">
        <f ca="1">IF((ISNUMBER('FIRE0508c raw'!G43)),ROUND('FIRE0508c raw'!G43,0),"..")</f>
        <v>0</v>
      </c>
      <c r="H43" s="96"/>
      <c r="I43" s="106"/>
      <c r="J43" s="111"/>
      <c r="K43" s="111"/>
      <c r="L43" s="106"/>
      <c r="M43" s="111"/>
      <c r="N43" s="74"/>
      <c r="P43" s="76"/>
      <c r="Q43" s="76"/>
      <c r="R43" s="76"/>
      <c r="S43" s="76"/>
      <c r="T43" s="76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</row>
    <row r="44" spans="1:32" s="63" customFormat="1" ht="15" customHeight="1">
      <c r="A44" s="96" t="s">
        <v>41</v>
      </c>
      <c r="B44" s="192">
        <f ca="1">IF((ISNUMBER('FIRE0508c raw'!B44)),ROUND('FIRE0508c raw'!B44,0),"..")</f>
        <v>32</v>
      </c>
      <c r="C44" s="91"/>
      <c r="D44" s="192">
        <f ca="1">IF((ISNUMBER('FIRE0508c raw'!D44)),ROUND('FIRE0508c raw'!D44,0),"..")</f>
        <v>6</v>
      </c>
      <c r="E44" s="192">
        <f ca="1">IF((ISNUMBER('FIRE0508c raw'!E44)),ROUND('FIRE0508c raw'!E44,0),"..")</f>
        <v>0</v>
      </c>
      <c r="F44" s="91"/>
      <c r="G44" s="192">
        <f ca="1">IF((ISNUMBER('FIRE0508c raw'!G44)),ROUND('FIRE0508c raw'!G44,0),"..")</f>
        <v>0</v>
      </c>
      <c r="H44" s="96"/>
      <c r="I44" s="106"/>
      <c r="J44" s="111"/>
      <c r="K44" s="111"/>
      <c r="L44" s="106"/>
      <c r="M44" s="111"/>
      <c r="N44" s="74"/>
      <c r="P44" s="76"/>
      <c r="Q44" s="76"/>
      <c r="R44" s="76"/>
      <c r="S44" s="76"/>
      <c r="T44" s="76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</row>
    <row r="45" spans="1:32" s="63" customFormat="1" ht="15" customHeight="1">
      <c r="A45" s="96" t="s">
        <v>42</v>
      </c>
      <c r="B45" s="192">
        <f ca="1">IF((ISNUMBER('FIRE0508c raw'!B45)),ROUND('FIRE0508c raw'!B45,0),"..")</f>
        <v>16</v>
      </c>
      <c r="C45" s="91"/>
      <c r="D45" s="192">
        <f ca="1">IF((ISNUMBER('FIRE0508c raw'!D45)),ROUND('FIRE0508c raw'!D45,0),"..")</f>
        <v>1</v>
      </c>
      <c r="E45" s="192">
        <f ca="1">IF((ISNUMBER('FIRE0508c raw'!E45)),ROUND('FIRE0508c raw'!E45,0),"..")</f>
        <v>0</v>
      </c>
      <c r="F45" s="91"/>
      <c r="G45" s="192">
        <f ca="1">IF((ISNUMBER('FIRE0508c raw'!G45)),ROUND('FIRE0508c raw'!G45,0),"..")</f>
        <v>0</v>
      </c>
      <c r="H45" s="96"/>
      <c r="I45" s="106"/>
      <c r="J45" s="111"/>
      <c r="K45" s="111"/>
      <c r="L45" s="106"/>
      <c r="M45" s="111"/>
      <c r="N45" s="74"/>
      <c r="P45" s="76"/>
      <c r="Q45" s="76"/>
      <c r="R45" s="76"/>
      <c r="S45" s="76"/>
      <c r="T45" s="76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</row>
    <row r="46" spans="1:32" s="63" customFormat="1" ht="15" customHeight="1">
      <c r="A46" s="96" t="s">
        <v>43</v>
      </c>
      <c r="B46" s="192">
        <f ca="1">IF((ISNUMBER('FIRE0508c raw'!B46)),ROUND('FIRE0508c raw'!B46,0),"..")</f>
        <v>8</v>
      </c>
      <c r="C46" s="91"/>
      <c r="D46" s="192">
        <f ca="1">IF((ISNUMBER('FIRE0508c raw'!D46)),ROUND('FIRE0508c raw'!D46,0),"..")</f>
        <v>2</v>
      </c>
      <c r="E46" s="192">
        <f ca="1">IF((ISNUMBER('FIRE0508c raw'!E46)),ROUND('FIRE0508c raw'!E46,0),"..")</f>
        <v>0</v>
      </c>
      <c r="F46" s="91"/>
      <c r="G46" s="192">
        <f ca="1">IF((ISNUMBER('FIRE0508c raw'!G46)),ROUND('FIRE0508c raw'!G46,0),"..")</f>
        <v>0</v>
      </c>
      <c r="H46" s="96"/>
      <c r="I46" s="106"/>
      <c r="J46" s="111"/>
      <c r="K46" s="111"/>
      <c r="L46" s="106"/>
      <c r="M46" s="111"/>
      <c r="N46" s="74"/>
      <c r="P46" s="76"/>
      <c r="Q46" s="76"/>
      <c r="R46" s="76"/>
      <c r="S46" s="76"/>
      <c r="T46" s="76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</row>
    <row r="47" spans="1:32" s="63" customFormat="1" ht="15" customHeight="1">
      <c r="A47" s="96" t="s">
        <v>44</v>
      </c>
      <c r="B47" s="192">
        <f ca="1">IF((ISNUMBER('FIRE0508c raw'!B47)),ROUND('FIRE0508c raw'!B47,0),"..")</f>
        <v>13</v>
      </c>
      <c r="C47" s="91"/>
      <c r="D47" s="192">
        <f ca="1">IF((ISNUMBER('FIRE0508c raw'!D47)),ROUND('FIRE0508c raw'!D47,0),"..")</f>
        <v>0</v>
      </c>
      <c r="E47" s="192">
        <f ca="1">IF((ISNUMBER('FIRE0508c raw'!E47)),ROUND('FIRE0508c raw'!E47,0),"..")</f>
        <v>0</v>
      </c>
      <c r="F47" s="91"/>
      <c r="G47" s="192">
        <f ca="1">IF((ISNUMBER('FIRE0508c raw'!G47)),ROUND('FIRE0508c raw'!G47,0),"..")</f>
        <v>0</v>
      </c>
      <c r="H47" s="96"/>
      <c r="I47" s="106"/>
      <c r="J47" s="111"/>
      <c r="K47" s="111"/>
      <c r="L47" s="106"/>
      <c r="M47" s="111"/>
      <c r="N47" s="74"/>
      <c r="P47" s="76"/>
      <c r="Q47" s="76"/>
      <c r="R47" s="76"/>
      <c r="S47" s="76"/>
      <c r="T47" s="76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</row>
    <row r="48" spans="1:32" s="63" customFormat="1" ht="15" customHeight="1">
      <c r="A48" s="96" t="s">
        <v>45</v>
      </c>
      <c r="B48" s="192" t="str">
        <f ca="1">IF((ISNUMBER('FIRE0508c raw'!B48)),ROUND('FIRE0508c raw'!B48,0),"..")</f>
        <v>..</v>
      </c>
      <c r="C48" s="91"/>
      <c r="D48" s="192" t="str">
        <f ca="1">IF((ISNUMBER('FIRE0508c raw'!D48)),ROUND('FIRE0508c raw'!D48,0),"..")</f>
        <v>..</v>
      </c>
      <c r="E48" s="192" t="str">
        <f ca="1">IF((ISNUMBER('FIRE0508c raw'!E48)),ROUND('FIRE0508c raw'!E48,0),"..")</f>
        <v>..</v>
      </c>
      <c r="F48" s="91"/>
      <c r="G48" s="192" t="str">
        <f ca="1">IF((ISNUMBER('FIRE0508c raw'!G48)),ROUND('FIRE0508c raw'!G48,0),"..")</f>
        <v>..</v>
      </c>
      <c r="H48" s="96"/>
      <c r="I48" s="106"/>
      <c r="J48" s="111"/>
      <c r="K48" s="111"/>
      <c r="L48" s="106"/>
      <c r="M48" s="111"/>
      <c r="N48" s="74"/>
      <c r="P48" s="76"/>
      <c r="Q48" s="76"/>
      <c r="R48" s="76"/>
      <c r="S48" s="76"/>
      <c r="T48" s="76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</row>
    <row r="49" spans="1:32" s="63" customFormat="1" ht="15" customHeight="1">
      <c r="A49" s="96" t="s">
        <v>46</v>
      </c>
      <c r="B49" s="192">
        <f ca="1">IF((ISNUMBER('FIRE0508c raw'!B49)),ROUND('FIRE0508c raw'!B49,0),"..")</f>
        <v>0</v>
      </c>
      <c r="C49" s="91"/>
      <c r="D49" s="192">
        <f ca="1">IF((ISNUMBER('FIRE0508c raw'!D49)),ROUND('FIRE0508c raw'!D49,0),"..")</f>
        <v>0</v>
      </c>
      <c r="E49" s="192">
        <f ca="1">IF((ISNUMBER('FIRE0508c raw'!E49)),ROUND('FIRE0508c raw'!E49,0),"..")</f>
        <v>0</v>
      </c>
      <c r="F49" s="91"/>
      <c r="G49" s="192">
        <f ca="1">IF((ISNUMBER('FIRE0508c raw'!G49)),ROUND('FIRE0508c raw'!G49,0),"..")</f>
        <v>0</v>
      </c>
      <c r="H49" s="96"/>
      <c r="I49" s="106"/>
      <c r="J49" s="111"/>
      <c r="K49" s="111"/>
      <c r="L49" s="106"/>
      <c r="M49" s="111"/>
      <c r="N49" s="74"/>
      <c r="P49" s="76"/>
      <c r="Q49" s="76"/>
      <c r="R49" s="76"/>
      <c r="S49" s="76"/>
      <c r="T49" s="76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spans="1:32" s="63" customFormat="1" ht="15" customHeight="1">
      <c r="A50" s="102" t="s">
        <v>69</v>
      </c>
      <c r="B50" s="73">
        <f ca="1">IF((ISNUMBER('FIRE0508c raw'!B50)),ROUND('FIRE0508c raw'!B50,0),"..")</f>
        <v>168</v>
      </c>
      <c r="C50" s="73"/>
      <c r="D50" s="73">
        <f ca="1">IF((ISNUMBER('FIRE0508c raw'!D50)),ROUND('FIRE0508c raw'!D50,0),"..")</f>
        <v>44</v>
      </c>
      <c r="E50" s="73">
        <f ca="1">IF((ISNUMBER('FIRE0508c raw'!E50)),ROUND('FIRE0508c raw'!E50,0),"..")</f>
        <v>6</v>
      </c>
      <c r="F50" s="73"/>
      <c r="G50" s="73">
        <f ca="1">IF((ISNUMBER('FIRE0508c raw'!G50)),ROUND('FIRE0508c raw'!G50,0),"..")</f>
        <v>0</v>
      </c>
      <c r="H50" s="96"/>
      <c r="I50" s="106"/>
      <c r="J50" s="111"/>
      <c r="K50" s="111"/>
      <c r="L50" s="106"/>
      <c r="M50" s="111"/>
      <c r="N50" s="74"/>
      <c r="P50" s="76"/>
      <c r="Q50" s="76"/>
      <c r="R50" s="76"/>
      <c r="S50" s="76"/>
      <c r="T50" s="76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</row>
    <row r="51" spans="1:32" s="63" customFormat="1" ht="15" customHeight="1">
      <c r="A51" s="96" t="s">
        <v>48</v>
      </c>
      <c r="B51" s="192">
        <f ca="1">IF((ISNUMBER('FIRE0508c raw'!B51)),ROUND('FIRE0508c raw'!B51,0),"..")</f>
        <v>21</v>
      </c>
      <c r="C51" s="91"/>
      <c r="D51" s="192">
        <f ca="1">IF((ISNUMBER('FIRE0508c raw'!D51)),ROUND('FIRE0508c raw'!D51,0),"..")</f>
        <v>4</v>
      </c>
      <c r="E51" s="192">
        <f ca="1">IF((ISNUMBER('FIRE0508c raw'!E51)),ROUND('FIRE0508c raw'!E51,0),"..")</f>
        <v>1</v>
      </c>
      <c r="F51" s="91"/>
      <c r="G51" s="192">
        <f ca="1">IF((ISNUMBER('FIRE0508c raw'!G51)),ROUND('FIRE0508c raw'!G51,0),"..")</f>
        <v>0</v>
      </c>
      <c r="H51" s="96"/>
      <c r="I51" s="106"/>
      <c r="J51" s="111"/>
      <c r="K51" s="111"/>
      <c r="L51" s="106"/>
      <c r="M51" s="111"/>
      <c r="N51" s="74"/>
      <c r="P51" s="76"/>
      <c r="Q51" s="76"/>
      <c r="R51" s="76"/>
      <c r="S51" s="76"/>
      <c r="T51" s="76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</row>
    <row r="52" spans="1:32" s="63" customFormat="1" ht="15" customHeight="1">
      <c r="A52" s="96" t="s">
        <v>49</v>
      </c>
      <c r="B52" s="192">
        <f ca="1">IF((ISNUMBER('FIRE0508c raw'!B52)),ROUND('FIRE0508c raw'!B52,0),"..")</f>
        <v>6</v>
      </c>
      <c r="C52" s="91"/>
      <c r="D52" s="192">
        <f ca="1">IF((ISNUMBER('FIRE0508c raw'!D52)),ROUND('FIRE0508c raw'!D52,0),"..")</f>
        <v>0</v>
      </c>
      <c r="E52" s="192">
        <f ca="1">IF((ISNUMBER('FIRE0508c raw'!E52)),ROUND('FIRE0508c raw'!E52,0),"..")</f>
        <v>0</v>
      </c>
      <c r="F52" s="91"/>
      <c r="G52" s="192">
        <f ca="1">IF((ISNUMBER('FIRE0508c raw'!G52)),ROUND('FIRE0508c raw'!G52,0),"..")</f>
        <v>0</v>
      </c>
      <c r="H52" s="96"/>
      <c r="I52" s="106"/>
      <c r="J52" s="111"/>
      <c r="K52" s="111"/>
      <c r="L52" s="106"/>
      <c r="M52" s="111"/>
      <c r="N52" s="74"/>
      <c r="P52" s="76"/>
      <c r="Q52" s="76"/>
      <c r="R52" s="76"/>
      <c r="S52" s="76"/>
      <c r="T52" s="76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</row>
    <row r="53" spans="1:32" s="63" customFormat="1" ht="15" customHeight="1">
      <c r="A53" s="96" t="s">
        <v>50</v>
      </c>
      <c r="B53" s="192">
        <f ca="1">IF((ISNUMBER('FIRE0508c raw'!B53)),ROUND('FIRE0508c raw'!B53,0),"..")</f>
        <v>13</v>
      </c>
      <c r="C53" s="91"/>
      <c r="D53" s="192">
        <f ca="1">IF((ISNUMBER('FIRE0508c raw'!D53)),ROUND('FIRE0508c raw'!D53,0),"..")</f>
        <v>2</v>
      </c>
      <c r="E53" s="192">
        <f ca="1">IF((ISNUMBER('FIRE0508c raw'!E53)),ROUND('FIRE0508c raw'!E53,0),"..")</f>
        <v>3</v>
      </c>
      <c r="F53" s="91"/>
      <c r="G53" s="192">
        <f ca="1">IF((ISNUMBER('FIRE0508c raw'!G53)),ROUND('FIRE0508c raw'!G53,0),"..")</f>
        <v>0</v>
      </c>
      <c r="H53" s="96"/>
      <c r="I53" s="106"/>
      <c r="J53" s="111"/>
      <c r="K53" s="111"/>
      <c r="L53" s="106"/>
      <c r="M53" s="111"/>
      <c r="N53" s="74"/>
      <c r="P53" s="76"/>
      <c r="Q53" s="76"/>
      <c r="R53" s="76"/>
      <c r="S53" s="76"/>
      <c r="T53" s="76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</row>
    <row r="54" spans="1:32" s="63" customFormat="1" ht="15" customHeight="1">
      <c r="A54" s="114" t="s">
        <v>51</v>
      </c>
      <c r="B54" s="192">
        <f ca="1">IF((ISNUMBER('FIRE0508c raw'!B54)),ROUND('FIRE0508c raw'!B54,0),"..")</f>
        <v>6</v>
      </c>
      <c r="C54" s="91"/>
      <c r="D54" s="192">
        <f ca="1">IF((ISNUMBER('FIRE0508c raw'!D54)),ROUND('FIRE0508c raw'!D54,0),"..")</f>
        <v>3</v>
      </c>
      <c r="E54" s="192">
        <f ca="1">IF((ISNUMBER('FIRE0508c raw'!E54)),ROUND('FIRE0508c raw'!E54,0),"..")</f>
        <v>0</v>
      </c>
      <c r="F54" s="91"/>
      <c r="G54" s="192">
        <f ca="1">IF((ISNUMBER('FIRE0508c raw'!G54)),ROUND('FIRE0508c raw'!G54,0),"..")</f>
        <v>0</v>
      </c>
      <c r="H54" s="96"/>
      <c r="I54" s="106"/>
      <c r="J54" s="111"/>
      <c r="K54" s="111"/>
      <c r="L54" s="106"/>
      <c r="M54" s="111"/>
      <c r="N54" s="74"/>
      <c r="P54" s="76"/>
      <c r="Q54" s="76"/>
      <c r="R54" s="76"/>
      <c r="S54" s="76"/>
      <c r="T54" s="76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</row>
    <row r="55" spans="1:32" s="63" customFormat="1" ht="15" customHeight="1">
      <c r="A55" s="114" t="s">
        <v>52</v>
      </c>
      <c r="B55" s="192">
        <f ca="1">IF((ISNUMBER('FIRE0508c raw'!B55)),ROUND('FIRE0508c raw'!B55,0),"..")</f>
        <v>20</v>
      </c>
      <c r="C55" s="91"/>
      <c r="D55" s="192">
        <f ca="1">IF((ISNUMBER('FIRE0508c raw'!D55)),ROUND('FIRE0508c raw'!D55,0),"..")</f>
        <v>5</v>
      </c>
      <c r="E55" s="192">
        <f ca="1">IF((ISNUMBER('FIRE0508c raw'!E55)),ROUND('FIRE0508c raw'!E55,0),"..")</f>
        <v>0</v>
      </c>
      <c r="F55" s="91"/>
      <c r="G55" s="192">
        <f ca="1">IF((ISNUMBER('FIRE0508c raw'!G55)),ROUND('FIRE0508c raw'!G55,0),"..")</f>
        <v>0</v>
      </c>
      <c r="H55" s="96"/>
      <c r="I55" s="106"/>
      <c r="J55" s="111"/>
      <c r="K55" s="111"/>
      <c r="L55" s="96"/>
      <c r="M55" s="111"/>
      <c r="N55" s="74"/>
      <c r="P55" s="76"/>
      <c r="Q55" s="76"/>
      <c r="R55" s="76"/>
      <c r="S55" s="76"/>
      <c r="T55" s="76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</row>
    <row r="56" spans="1:32" s="63" customFormat="1" ht="15" customHeight="1">
      <c r="A56" s="114" t="s">
        <v>53</v>
      </c>
      <c r="B56" s="192">
        <f ca="1">IF((ISNUMBER('FIRE0508c raw'!B56)),ROUND('FIRE0508c raw'!B56,0),"..")</f>
        <v>58</v>
      </c>
      <c r="C56" s="91"/>
      <c r="D56" s="192">
        <f ca="1">IF((ISNUMBER('FIRE0508c raw'!D56)),ROUND('FIRE0508c raw'!D56,0),"..")</f>
        <v>15</v>
      </c>
      <c r="E56" s="192">
        <f ca="1">IF((ISNUMBER('FIRE0508c raw'!E56)),ROUND('FIRE0508c raw'!E56,0),"..")</f>
        <v>2</v>
      </c>
      <c r="F56" s="91"/>
      <c r="G56" s="192">
        <f ca="1">IF((ISNUMBER('FIRE0508c raw'!G56)),ROUND('FIRE0508c raw'!G56,0),"..")</f>
        <v>0</v>
      </c>
      <c r="H56" s="96"/>
      <c r="I56" s="106"/>
      <c r="J56" s="111"/>
      <c r="K56" s="111"/>
      <c r="L56" s="96"/>
      <c r="M56" s="111"/>
      <c r="N56" s="74"/>
      <c r="P56" s="76"/>
      <c r="Q56" s="76"/>
      <c r="R56" s="76"/>
      <c r="S56" s="76"/>
      <c r="T56" s="76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</row>
    <row r="57" spans="1:32" s="63" customFormat="1" ht="15" customHeight="1" thickBot="1">
      <c r="A57" s="107" t="s">
        <v>54</v>
      </c>
      <c r="B57" s="193">
        <f ca="1">IF((ISNUMBER('FIRE0508c raw'!B57)),ROUND('FIRE0508c raw'!B57,0),"..")</f>
        <v>44</v>
      </c>
      <c r="C57" s="115"/>
      <c r="D57" s="193">
        <f ca="1">IF((ISNUMBER('FIRE0508c raw'!D57)),ROUND('FIRE0508c raw'!D57,0),"..")</f>
        <v>15</v>
      </c>
      <c r="E57" s="193">
        <f ca="1">IF((ISNUMBER('FIRE0508c raw'!E57)),ROUND('FIRE0508c raw'!E57,0),"..")</f>
        <v>0</v>
      </c>
      <c r="F57" s="115"/>
      <c r="G57" s="193">
        <f ca="1">IF((ISNUMBER('FIRE0508c raw'!G57)),ROUND('FIRE0508c raw'!G57,0),"..")</f>
        <v>0</v>
      </c>
      <c r="H57" s="96"/>
      <c r="I57" s="106"/>
      <c r="J57" s="111"/>
      <c r="K57" s="111"/>
      <c r="L57" s="96"/>
      <c r="M57" s="111"/>
      <c r="N57" s="74"/>
      <c r="P57" s="76"/>
      <c r="Q57" s="76"/>
      <c r="R57" s="76"/>
      <c r="S57" s="76"/>
      <c r="T57" s="76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</row>
    <row r="58" spans="1:32" ht="15">
      <c r="A58" s="96"/>
      <c r="B58" s="96"/>
      <c r="C58" s="96"/>
      <c r="D58" s="96"/>
      <c r="E58" s="96"/>
      <c r="F58" s="96"/>
      <c r="G58" s="96"/>
      <c r="H58" s="96"/>
      <c r="I58" s="96"/>
      <c r="J58" s="111"/>
      <c r="K58" s="111"/>
      <c r="L58" s="96"/>
      <c r="M58" s="111"/>
      <c r="N58" s="74"/>
      <c r="O58" s="74"/>
      <c r="P58" s="74"/>
      <c r="Q58" s="74"/>
      <c r="R58" s="74"/>
      <c r="S58" s="74"/>
      <c r="T58" s="74"/>
    </row>
    <row r="59" spans="1:32" s="63" customFormat="1" ht="15" customHeight="1">
      <c r="A59" s="243" t="s">
        <v>81</v>
      </c>
      <c r="B59" s="243"/>
      <c r="C59" s="243"/>
      <c r="D59" s="243"/>
      <c r="E59" s="243"/>
      <c r="F59" s="243"/>
      <c r="G59" s="243"/>
      <c r="H59" s="96"/>
      <c r="I59" s="96"/>
      <c r="J59" s="111"/>
      <c r="K59" s="111"/>
      <c r="L59" s="96"/>
      <c r="M59" s="111"/>
      <c r="N59" s="74"/>
      <c r="O59" s="74"/>
      <c r="P59" s="74"/>
      <c r="Q59" s="74"/>
      <c r="R59" s="74"/>
      <c r="S59" s="74"/>
      <c r="T59" s="74"/>
    </row>
    <row r="60" spans="1:32" s="63" customFormat="1" ht="120" customHeight="1">
      <c r="A60" s="243" t="s">
        <v>82</v>
      </c>
      <c r="B60" s="243"/>
      <c r="C60" s="243"/>
      <c r="D60" s="243"/>
      <c r="E60" s="243"/>
      <c r="F60" s="243"/>
      <c r="G60" s="243"/>
      <c r="H60" s="96"/>
      <c r="I60" s="96"/>
      <c r="J60" s="111"/>
      <c r="K60" s="111"/>
      <c r="L60" s="96"/>
      <c r="M60" s="111"/>
      <c r="N60" s="74"/>
      <c r="O60" s="74"/>
      <c r="P60" s="74"/>
      <c r="Q60" s="74"/>
      <c r="R60" s="74"/>
      <c r="S60" s="74"/>
      <c r="T60" s="74"/>
    </row>
    <row r="61" spans="1:32" s="63" customFormat="1" ht="15" customHeight="1">
      <c r="A61" s="109"/>
      <c r="B61" s="96"/>
      <c r="C61" s="96"/>
      <c r="D61" s="96"/>
      <c r="E61" s="96"/>
      <c r="F61" s="96"/>
      <c r="G61" s="96"/>
      <c r="H61" s="96"/>
      <c r="I61" s="96"/>
      <c r="J61" s="111"/>
      <c r="K61" s="111"/>
      <c r="L61" s="96"/>
      <c r="M61" s="111"/>
      <c r="N61" s="74"/>
      <c r="O61" s="74"/>
      <c r="P61" s="74"/>
      <c r="Q61" s="74"/>
      <c r="R61" s="74"/>
      <c r="S61" s="74"/>
      <c r="T61" s="74"/>
    </row>
    <row r="62" spans="1:32" s="63" customFormat="1" ht="15">
      <c r="A62" s="96" t="s">
        <v>83</v>
      </c>
      <c r="B62" s="113"/>
      <c r="C62" s="113"/>
      <c r="D62" s="113"/>
      <c r="E62" s="113"/>
      <c r="F62" s="113"/>
      <c r="G62" s="113"/>
      <c r="H62" s="96"/>
      <c r="I62" s="96"/>
      <c r="J62" s="111"/>
      <c r="K62" s="111"/>
      <c r="L62" s="96"/>
      <c r="M62" s="111"/>
      <c r="N62" s="74"/>
      <c r="O62" s="74"/>
      <c r="P62" s="74"/>
      <c r="Q62" s="74"/>
      <c r="R62" s="74"/>
      <c r="S62" s="74"/>
      <c r="T62" s="74"/>
    </row>
    <row r="63" spans="1:32" s="63" customFormat="1" ht="15" customHeight="1">
      <c r="A63" s="110" t="s">
        <v>84</v>
      </c>
      <c r="B63" s="112"/>
      <c r="C63" s="112"/>
      <c r="D63" s="112"/>
      <c r="E63" s="112"/>
      <c r="F63" s="112"/>
      <c r="G63" s="112"/>
      <c r="H63" s="96"/>
      <c r="I63" s="96"/>
      <c r="J63" s="111"/>
      <c r="K63" s="111"/>
      <c r="L63" s="96"/>
      <c r="M63" s="111"/>
      <c r="N63" s="74"/>
      <c r="O63" s="74"/>
      <c r="P63" s="74"/>
      <c r="Q63" s="74"/>
      <c r="R63" s="74"/>
      <c r="S63" s="74"/>
      <c r="T63" s="74"/>
    </row>
    <row r="64" spans="1:32" s="63" customFormat="1" ht="15" customHeight="1">
      <c r="A64" s="110"/>
      <c r="B64" s="113"/>
      <c r="C64" s="113"/>
      <c r="D64" s="113"/>
      <c r="E64" s="113"/>
      <c r="F64" s="113"/>
      <c r="G64" s="113"/>
      <c r="H64" s="106"/>
      <c r="I64" s="106"/>
      <c r="J64" s="106"/>
      <c r="K64" s="106"/>
      <c r="L64" s="96"/>
      <c r="M64" s="106"/>
    </row>
    <row r="65" spans="1:13" s="63" customFormat="1" ht="15" customHeight="1">
      <c r="A65" s="112" t="s">
        <v>85</v>
      </c>
      <c r="B65" s="113"/>
      <c r="C65" s="113"/>
      <c r="D65" s="113"/>
      <c r="E65" s="113"/>
      <c r="F65" s="113"/>
      <c r="G65" s="113"/>
      <c r="H65" s="106"/>
      <c r="I65" s="106"/>
      <c r="J65" s="106"/>
      <c r="K65" s="106"/>
      <c r="L65" s="96"/>
      <c r="M65" s="106"/>
    </row>
    <row r="66" spans="1:13" s="63" customFormat="1" ht="15" customHeight="1">
      <c r="A66" s="96"/>
      <c r="B66" s="113"/>
      <c r="C66" s="113"/>
      <c r="D66" s="113"/>
      <c r="E66" s="113"/>
      <c r="F66" s="113"/>
      <c r="G66" s="106"/>
      <c r="H66" s="106"/>
      <c r="I66" s="106"/>
      <c r="J66" s="106"/>
      <c r="K66" s="106"/>
      <c r="L66" s="96"/>
      <c r="M66" s="106"/>
    </row>
    <row r="67" spans="1:13" s="63" customFormat="1" ht="15">
      <c r="A67" s="96" t="s">
        <v>86</v>
      </c>
      <c r="B67" s="113"/>
      <c r="C67" s="113"/>
      <c r="D67" s="113"/>
      <c r="E67" s="113"/>
      <c r="F67" s="113"/>
      <c r="G67" s="113"/>
      <c r="H67" s="106"/>
      <c r="I67" s="106"/>
      <c r="J67" s="106"/>
      <c r="K67" s="106"/>
      <c r="L67" s="96"/>
      <c r="M67" s="106"/>
    </row>
    <row r="68" spans="1:13" ht="15">
      <c r="A68" s="110" t="s">
        <v>87</v>
      </c>
      <c r="B68" s="96"/>
      <c r="C68" s="96"/>
      <c r="D68" s="96"/>
      <c r="E68" s="96"/>
      <c r="F68" s="96"/>
      <c r="G68" s="194" t="s">
        <v>131</v>
      </c>
      <c r="H68" s="96"/>
      <c r="I68" s="96"/>
      <c r="J68" s="96"/>
      <c r="K68" s="96"/>
      <c r="L68" s="96"/>
      <c r="M68" s="96"/>
    </row>
    <row r="69" spans="1:13" s="63" customFormat="1" ht="15">
      <c r="A69" s="96"/>
      <c r="B69" s="96"/>
      <c r="C69" s="96"/>
      <c r="D69" s="96"/>
      <c r="E69" s="96"/>
      <c r="F69" s="96"/>
      <c r="G69" s="195" t="s">
        <v>128</v>
      </c>
      <c r="H69" s="106"/>
      <c r="I69" s="106"/>
      <c r="J69" s="106"/>
      <c r="K69" s="106"/>
      <c r="L69" s="96"/>
      <c r="M69" s="106"/>
    </row>
    <row r="70" spans="1:13" s="63" customFormat="1" ht="15">
      <c r="A70" s="110"/>
      <c r="B70" s="96"/>
      <c r="C70" s="96"/>
      <c r="D70" s="96"/>
      <c r="E70" s="96"/>
      <c r="F70" s="96"/>
      <c r="G70" s="96"/>
      <c r="H70" s="106"/>
      <c r="I70" s="106"/>
      <c r="J70" s="106"/>
      <c r="K70" s="106"/>
      <c r="L70" s="96"/>
      <c r="M70" s="106"/>
    </row>
    <row r="71" spans="1:13" ht="15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</row>
    <row r="72" spans="1:13" ht="1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</row>
    <row r="73" spans="1:13" ht="1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</row>
    <row r="74" spans="1:13" ht="15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</row>
    <row r="75" spans="1:13" ht="1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</row>
    <row r="76" spans="1:13" ht="15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</row>
    <row r="77" spans="1:13" ht="15">
      <c r="A77" s="96"/>
      <c r="B77" s="96"/>
      <c r="C77" s="96"/>
      <c r="D77" s="96"/>
      <c r="E77" s="96"/>
      <c r="F77" s="96"/>
      <c r="G77" s="96"/>
      <c r="H77" s="96"/>
      <c r="I77" s="96"/>
      <c r="J77" s="96" t="s">
        <v>70</v>
      </c>
      <c r="K77" s="106"/>
      <c r="L77" s="96"/>
      <c r="M77" s="96"/>
    </row>
    <row r="78" spans="1:13" ht="15">
      <c r="A78" s="96"/>
      <c r="B78" s="96"/>
      <c r="C78" s="96"/>
      <c r="D78" s="96"/>
      <c r="E78" s="96"/>
      <c r="F78" s="96"/>
      <c r="G78" s="96"/>
      <c r="H78" s="96"/>
      <c r="I78" s="96"/>
      <c r="J78" s="96" t="s">
        <v>71</v>
      </c>
      <c r="K78" s="96"/>
      <c r="L78" s="96"/>
      <c r="M78" s="96"/>
    </row>
    <row r="79" spans="1:13" ht="15">
      <c r="A79" s="96"/>
      <c r="B79" s="96"/>
      <c r="C79" s="96"/>
      <c r="D79" s="96"/>
      <c r="E79" s="96"/>
      <c r="F79" s="96"/>
      <c r="G79" s="96"/>
      <c r="H79" s="96"/>
      <c r="I79" s="96"/>
      <c r="J79" s="96" t="s">
        <v>72</v>
      </c>
      <c r="K79" s="96"/>
      <c r="L79" s="96"/>
      <c r="M79" s="96"/>
    </row>
    <row r="80" spans="1:13" ht="15">
      <c r="A80" s="96"/>
      <c r="B80" s="96"/>
      <c r="C80" s="96"/>
      <c r="D80" s="96"/>
      <c r="E80" s="96"/>
      <c r="F80" s="96"/>
      <c r="G80" s="96"/>
      <c r="H80" s="96"/>
      <c r="I80" s="96"/>
      <c r="J80" s="96" t="s">
        <v>73</v>
      </c>
      <c r="K80" s="96"/>
      <c r="L80" s="96"/>
      <c r="M80" s="96"/>
    </row>
    <row r="81" spans="1:13" ht="15">
      <c r="A81" s="96"/>
      <c r="B81" s="96"/>
      <c r="C81" s="96"/>
      <c r="D81" s="96"/>
      <c r="E81" s="96"/>
      <c r="F81" s="96"/>
      <c r="G81" s="96"/>
      <c r="H81" s="96"/>
      <c r="I81" s="96"/>
      <c r="J81" s="96" t="s">
        <v>74</v>
      </c>
      <c r="K81" s="96"/>
      <c r="L81" s="96"/>
      <c r="M81" s="96"/>
    </row>
    <row r="82" spans="1:13" ht="15">
      <c r="A82" s="96"/>
      <c r="B82" s="96"/>
      <c r="C82" s="96"/>
      <c r="D82" s="96"/>
      <c r="E82" s="96"/>
      <c r="F82" s="96"/>
      <c r="G82" s="96"/>
      <c r="H82" s="96"/>
      <c r="I82" s="96"/>
      <c r="J82" s="96" t="s">
        <v>75</v>
      </c>
      <c r="K82" s="96"/>
      <c r="L82" s="96"/>
      <c r="M82" s="96"/>
    </row>
    <row r="83" spans="1:13" ht="15">
      <c r="A83" s="96"/>
      <c r="B83" s="96"/>
      <c r="C83" s="96"/>
      <c r="D83" s="96"/>
      <c r="E83" s="96"/>
      <c r="F83" s="96"/>
      <c r="G83" s="96"/>
      <c r="H83" s="96"/>
      <c r="I83" s="96"/>
      <c r="J83" s="96" t="s">
        <v>76</v>
      </c>
      <c r="K83" s="96"/>
      <c r="L83" s="96"/>
      <c r="M83" s="96"/>
    </row>
    <row r="84" spans="1:13" ht="15">
      <c r="A84" s="96"/>
      <c r="B84" s="96"/>
      <c r="C84" s="96"/>
      <c r="D84" s="96"/>
      <c r="E84" s="96"/>
      <c r="F84" s="96"/>
      <c r="G84" s="96"/>
      <c r="H84" s="96"/>
      <c r="I84" s="96"/>
      <c r="J84" s="96" t="s">
        <v>127</v>
      </c>
      <c r="K84" s="96"/>
      <c r="L84" s="96"/>
      <c r="M84" s="96"/>
    </row>
    <row r="85" spans="1:13" ht="15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</row>
    <row r="86" spans="1:13" ht="1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</row>
    <row r="87" spans="1:13" ht="1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</row>
    <row r="88" spans="1:13" ht="15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</row>
  </sheetData>
  <mergeCells count="7">
    <mergeCell ref="A60:G60"/>
    <mergeCell ref="A1:G1"/>
    <mergeCell ref="A4:G4"/>
    <mergeCell ref="B6:B7"/>
    <mergeCell ref="D6:E6"/>
    <mergeCell ref="G6:G7"/>
    <mergeCell ref="A59:G59"/>
  </mergeCells>
  <dataValidations count="1">
    <dataValidation type="list" allowBlank="1" showInputMessage="1" showErrorMessage="1" sqref="A4:G4">
      <formula1>$J$77:$J$84</formula1>
    </dataValidation>
  </dataValidations>
  <hyperlinks>
    <hyperlink ref="A63" r:id="rId1"/>
    <hyperlink ref="A68" r:id="rId2"/>
    <hyperlink ref="G68" r:id="rId3"/>
  </hyperlinks>
  <pageMargins left="0.7" right="0.7" top="0.75" bottom="0.75" header="0.3" footer="0.3"/>
  <pageSetup paperSize="9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B1:F66"/>
  <sheetViews>
    <sheetView showGridLines="0" zoomScale="85" workbookViewId="0">
      <pane xSplit="2" ySplit="3" topLeftCell="C4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RowHeight="12.75"/>
  <cols>
    <col min="1" max="1" width="9.140625" style="124"/>
    <col min="2" max="2" width="24.7109375" style="124" customWidth="1"/>
    <col min="3" max="4" width="15.28515625" style="124" customWidth="1"/>
    <col min="5" max="5" width="16.5703125" style="124" customWidth="1"/>
    <col min="6" max="6" width="15" style="124" customWidth="1"/>
    <col min="7" max="257" width="9.140625" style="124"/>
    <col min="258" max="258" width="24.7109375" style="124" customWidth="1"/>
    <col min="259" max="260" width="15.28515625" style="124" customWidth="1"/>
    <col min="261" max="261" width="16.5703125" style="124" customWidth="1"/>
    <col min="262" max="262" width="15" style="124" customWidth="1"/>
    <col min="263" max="513" width="9.140625" style="124"/>
    <col min="514" max="514" width="24.7109375" style="124" customWidth="1"/>
    <col min="515" max="516" width="15.28515625" style="124" customWidth="1"/>
    <col min="517" max="517" width="16.5703125" style="124" customWidth="1"/>
    <col min="518" max="518" width="15" style="124" customWidth="1"/>
    <col min="519" max="769" width="9.140625" style="124"/>
    <col min="770" max="770" width="24.7109375" style="124" customWidth="1"/>
    <col min="771" max="772" width="15.28515625" style="124" customWidth="1"/>
    <col min="773" max="773" width="16.5703125" style="124" customWidth="1"/>
    <col min="774" max="774" width="15" style="124" customWidth="1"/>
    <col min="775" max="1025" width="9.140625" style="124"/>
    <col min="1026" max="1026" width="24.7109375" style="124" customWidth="1"/>
    <col min="1027" max="1028" width="15.28515625" style="124" customWidth="1"/>
    <col min="1029" max="1029" width="16.5703125" style="124" customWidth="1"/>
    <col min="1030" max="1030" width="15" style="124" customWidth="1"/>
    <col min="1031" max="1281" width="9.140625" style="124"/>
    <col min="1282" max="1282" width="24.7109375" style="124" customWidth="1"/>
    <col min="1283" max="1284" width="15.28515625" style="124" customWidth="1"/>
    <col min="1285" max="1285" width="16.5703125" style="124" customWidth="1"/>
    <col min="1286" max="1286" width="15" style="124" customWidth="1"/>
    <col min="1287" max="1537" width="9.140625" style="124"/>
    <col min="1538" max="1538" width="24.7109375" style="124" customWidth="1"/>
    <col min="1539" max="1540" width="15.28515625" style="124" customWidth="1"/>
    <col min="1541" max="1541" width="16.5703125" style="124" customWidth="1"/>
    <col min="1542" max="1542" width="15" style="124" customWidth="1"/>
    <col min="1543" max="1793" width="9.140625" style="124"/>
    <col min="1794" max="1794" width="24.7109375" style="124" customWidth="1"/>
    <col min="1795" max="1796" width="15.28515625" style="124" customWidth="1"/>
    <col min="1797" max="1797" width="16.5703125" style="124" customWidth="1"/>
    <col min="1798" max="1798" width="15" style="124" customWidth="1"/>
    <col min="1799" max="2049" width="9.140625" style="124"/>
    <col min="2050" max="2050" width="24.7109375" style="124" customWidth="1"/>
    <col min="2051" max="2052" width="15.28515625" style="124" customWidth="1"/>
    <col min="2053" max="2053" width="16.5703125" style="124" customWidth="1"/>
    <col min="2054" max="2054" width="15" style="124" customWidth="1"/>
    <col min="2055" max="2305" width="9.140625" style="124"/>
    <col min="2306" max="2306" width="24.7109375" style="124" customWidth="1"/>
    <col min="2307" max="2308" width="15.28515625" style="124" customWidth="1"/>
    <col min="2309" max="2309" width="16.5703125" style="124" customWidth="1"/>
    <col min="2310" max="2310" width="15" style="124" customWidth="1"/>
    <col min="2311" max="2561" width="9.140625" style="124"/>
    <col min="2562" max="2562" width="24.7109375" style="124" customWidth="1"/>
    <col min="2563" max="2564" width="15.28515625" style="124" customWidth="1"/>
    <col min="2565" max="2565" width="16.5703125" style="124" customWidth="1"/>
    <col min="2566" max="2566" width="15" style="124" customWidth="1"/>
    <col min="2567" max="2817" width="9.140625" style="124"/>
    <col min="2818" max="2818" width="24.7109375" style="124" customWidth="1"/>
    <col min="2819" max="2820" width="15.28515625" style="124" customWidth="1"/>
    <col min="2821" max="2821" width="16.5703125" style="124" customWidth="1"/>
    <col min="2822" max="2822" width="15" style="124" customWidth="1"/>
    <col min="2823" max="3073" width="9.140625" style="124"/>
    <col min="3074" max="3074" width="24.7109375" style="124" customWidth="1"/>
    <col min="3075" max="3076" width="15.28515625" style="124" customWidth="1"/>
    <col min="3077" max="3077" width="16.5703125" style="124" customWidth="1"/>
    <col min="3078" max="3078" width="15" style="124" customWidth="1"/>
    <col min="3079" max="3329" width="9.140625" style="124"/>
    <col min="3330" max="3330" width="24.7109375" style="124" customWidth="1"/>
    <col min="3331" max="3332" width="15.28515625" style="124" customWidth="1"/>
    <col min="3333" max="3333" width="16.5703125" style="124" customWidth="1"/>
    <col min="3334" max="3334" width="15" style="124" customWidth="1"/>
    <col min="3335" max="3585" width="9.140625" style="124"/>
    <col min="3586" max="3586" width="24.7109375" style="124" customWidth="1"/>
    <col min="3587" max="3588" width="15.28515625" style="124" customWidth="1"/>
    <col min="3589" max="3589" width="16.5703125" style="124" customWidth="1"/>
    <col min="3590" max="3590" width="15" style="124" customWidth="1"/>
    <col min="3591" max="3841" width="9.140625" style="124"/>
    <col min="3842" max="3842" width="24.7109375" style="124" customWidth="1"/>
    <col min="3843" max="3844" width="15.28515625" style="124" customWidth="1"/>
    <col min="3845" max="3845" width="16.5703125" style="124" customWidth="1"/>
    <col min="3846" max="3846" width="15" style="124" customWidth="1"/>
    <col min="3847" max="4097" width="9.140625" style="124"/>
    <col min="4098" max="4098" width="24.7109375" style="124" customWidth="1"/>
    <col min="4099" max="4100" width="15.28515625" style="124" customWidth="1"/>
    <col min="4101" max="4101" width="16.5703125" style="124" customWidth="1"/>
    <col min="4102" max="4102" width="15" style="124" customWidth="1"/>
    <col min="4103" max="4353" width="9.140625" style="124"/>
    <col min="4354" max="4354" width="24.7109375" style="124" customWidth="1"/>
    <col min="4355" max="4356" width="15.28515625" style="124" customWidth="1"/>
    <col min="4357" max="4357" width="16.5703125" style="124" customWidth="1"/>
    <col min="4358" max="4358" width="15" style="124" customWidth="1"/>
    <col min="4359" max="4609" width="9.140625" style="124"/>
    <col min="4610" max="4610" width="24.7109375" style="124" customWidth="1"/>
    <col min="4611" max="4612" width="15.28515625" style="124" customWidth="1"/>
    <col min="4613" max="4613" width="16.5703125" style="124" customWidth="1"/>
    <col min="4614" max="4614" width="15" style="124" customWidth="1"/>
    <col min="4615" max="4865" width="9.140625" style="124"/>
    <col min="4866" max="4866" width="24.7109375" style="124" customWidth="1"/>
    <col min="4867" max="4868" width="15.28515625" style="124" customWidth="1"/>
    <col min="4869" max="4869" width="16.5703125" style="124" customWidth="1"/>
    <col min="4870" max="4870" width="15" style="124" customWidth="1"/>
    <col min="4871" max="5121" width="9.140625" style="124"/>
    <col min="5122" max="5122" width="24.7109375" style="124" customWidth="1"/>
    <col min="5123" max="5124" width="15.28515625" style="124" customWidth="1"/>
    <col min="5125" max="5125" width="16.5703125" style="124" customWidth="1"/>
    <col min="5126" max="5126" width="15" style="124" customWidth="1"/>
    <col min="5127" max="5377" width="9.140625" style="124"/>
    <col min="5378" max="5378" width="24.7109375" style="124" customWidth="1"/>
    <col min="5379" max="5380" width="15.28515625" style="124" customWidth="1"/>
    <col min="5381" max="5381" width="16.5703125" style="124" customWidth="1"/>
    <col min="5382" max="5382" width="15" style="124" customWidth="1"/>
    <col min="5383" max="5633" width="9.140625" style="124"/>
    <col min="5634" max="5634" width="24.7109375" style="124" customWidth="1"/>
    <col min="5635" max="5636" width="15.28515625" style="124" customWidth="1"/>
    <col min="5637" max="5637" width="16.5703125" style="124" customWidth="1"/>
    <col min="5638" max="5638" width="15" style="124" customWidth="1"/>
    <col min="5639" max="5889" width="9.140625" style="124"/>
    <col min="5890" max="5890" width="24.7109375" style="124" customWidth="1"/>
    <col min="5891" max="5892" width="15.28515625" style="124" customWidth="1"/>
    <col min="5893" max="5893" width="16.5703125" style="124" customWidth="1"/>
    <col min="5894" max="5894" width="15" style="124" customWidth="1"/>
    <col min="5895" max="6145" width="9.140625" style="124"/>
    <col min="6146" max="6146" width="24.7109375" style="124" customWidth="1"/>
    <col min="6147" max="6148" width="15.28515625" style="124" customWidth="1"/>
    <col min="6149" max="6149" width="16.5703125" style="124" customWidth="1"/>
    <col min="6150" max="6150" width="15" style="124" customWidth="1"/>
    <col min="6151" max="6401" width="9.140625" style="124"/>
    <col min="6402" max="6402" width="24.7109375" style="124" customWidth="1"/>
    <col min="6403" max="6404" width="15.28515625" style="124" customWidth="1"/>
    <col min="6405" max="6405" width="16.5703125" style="124" customWidth="1"/>
    <col min="6406" max="6406" width="15" style="124" customWidth="1"/>
    <col min="6407" max="6657" width="9.140625" style="124"/>
    <col min="6658" max="6658" width="24.7109375" style="124" customWidth="1"/>
    <col min="6659" max="6660" width="15.28515625" style="124" customWidth="1"/>
    <col min="6661" max="6661" width="16.5703125" style="124" customWidth="1"/>
    <col min="6662" max="6662" width="15" style="124" customWidth="1"/>
    <col min="6663" max="6913" width="9.140625" style="124"/>
    <col min="6914" max="6914" width="24.7109375" style="124" customWidth="1"/>
    <col min="6915" max="6916" width="15.28515625" style="124" customWidth="1"/>
    <col min="6917" max="6917" width="16.5703125" style="124" customWidth="1"/>
    <col min="6918" max="6918" width="15" style="124" customWidth="1"/>
    <col min="6919" max="7169" width="9.140625" style="124"/>
    <col min="7170" max="7170" width="24.7109375" style="124" customWidth="1"/>
    <col min="7171" max="7172" width="15.28515625" style="124" customWidth="1"/>
    <col min="7173" max="7173" width="16.5703125" style="124" customWidth="1"/>
    <col min="7174" max="7174" width="15" style="124" customWidth="1"/>
    <col min="7175" max="7425" width="9.140625" style="124"/>
    <col min="7426" max="7426" width="24.7109375" style="124" customWidth="1"/>
    <col min="7427" max="7428" width="15.28515625" style="124" customWidth="1"/>
    <col min="7429" max="7429" width="16.5703125" style="124" customWidth="1"/>
    <col min="7430" max="7430" width="15" style="124" customWidth="1"/>
    <col min="7431" max="7681" width="9.140625" style="124"/>
    <col min="7682" max="7682" width="24.7109375" style="124" customWidth="1"/>
    <col min="7683" max="7684" width="15.28515625" style="124" customWidth="1"/>
    <col min="7685" max="7685" width="16.5703125" style="124" customWidth="1"/>
    <col min="7686" max="7686" width="15" style="124" customWidth="1"/>
    <col min="7687" max="7937" width="9.140625" style="124"/>
    <col min="7938" max="7938" width="24.7109375" style="124" customWidth="1"/>
    <col min="7939" max="7940" width="15.28515625" style="124" customWidth="1"/>
    <col min="7941" max="7941" width="16.5703125" style="124" customWidth="1"/>
    <col min="7942" max="7942" width="15" style="124" customWidth="1"/>
    <col min="7943" max="8193" width="9.140625" style="124"/>
    <col min="8194" max="8194" width="24.7109375" style="124" customWidth="1"/>
    <col min="8195" max="8196" width="15.28515625" style="124" customWidth="1"/>
    <col min="8197" max="8197" width="16.5703125" style="124" customWidth="1"/>
    <col min="8198" max="8198" width="15" style="124" customWidth="1"/>
    <col min="8199" max="8449" width="9.140625" style="124"/>
    <col min="8450" max="8450" width="24.7109375" style="124" customWidth="1"/>
    <col min="8451" max="8452" width="15.28515625" style="124" customWidth="1"/>
    <col min="8453" max="8453" width="16.5703125" style="124" customWidth="1"/>
    <col min="8454" max="8454" width="15" style="124" customWidth="1"/>
    <col min="8455" max="8705" width="9.140625" style="124"/>
    <col min="8706" max="8706" width="24.7109375" style="124" customWidth="1"/>
    <col min="8707" max="8708" width="15.28515625" style="124" customWidth="1"/>
    <col min="8709" max="8709" width="16.5703125" style="124" customWidth="1"/>
    <col min="8710" max="8710" width="15" style="124" customWidth="1"/>
    <col min="8711" max="8961" width="9.140625" style="124"/>
    <col min="8962" max="8962" width="24.7109375" style="124" customWidth="1"/>
    <col min="8963" max="8964" width="15.28515625" style="124" customWidth="1"/>
    <col min="8965" max="8965" width="16.5703125" style="124" customWidth="1"/>
    <col min="8966" max="8966" width="15" style="124" customWidth="1"/>
    <col min="8967" max="9217" width="9.140625" style="124"/>
    <col min="9218" max="9218" width="24.7109375" style="124" customWidth="1"/>
    <col min="9219" max="9220" width="15.28515625" style="124" customWidth="1"/>
    <col min="9221" max="9221" width="16.5703125" style="124" customWidth="1"/>
    <col min="9222" max="9222" width="15" style="124" customWidth="1"/>
    <col min="9223" max="9473" width="9.140625" style="124"/>
    <col min="9474" max="9474" width="24.7109375" style="124" customWidth="1"/>
    <col min="9475" max="9476" width="15.28515625" style="124" customWidth="1"/>
    <col min="9477" max="9477" width="16.5703125" style="124" customWidth="1"/>
    <col min="9478" max="9478" width="15" style="124" customWidth="1"/>
    <col min="9479" max="9729" width="9.140625" style="124"/>
    <col min="9730" max="9730" width="24.7109375" style="124" customWidth="1"/>
    <col min="9731" max="9732" width="15.28515625" style="124" customWidth="1"/>
    <col min="9733" max="9733" width="16.5703125" style="124" customWidth="1"/>
    <col min="9734" max="9734" width="15" style="124" customWidth="1"/>
    <col min="9735" max="9985" width="9.140625" style="124"/>
    <col min="9986" max="9986" width="24.7109375" style="124" customWidth="1"/>
    <col min="9987" max="9988" width="15.28515625" style="124" customWidth="1"/>
    <col min="9989" max="9989" width="16.5703125" style="124" customWidth="1"/>
    <col min="9990" max="9990" width="15" style="124" customWidth="1"/>
    <col min="9991" max="10241" width="9.140625" style="124"/>
    <col min="10242" max="10242" width="24.7109375" style="124" customWidth="1"/>
    <col min="10243" max="10244" width="15.28515625" style="124" customWidth="1"/>
    <col min="10245" max="10245" width="16.5703125" style="124" customWidth="1"/>
    <col min="10246" max="10246" width="15" style="124" customWidth="1"/>
    <col min="10247" max="10497" width="9.140625" style="124"/>
    <col min="10498" max="10498" width="24.7109375" style="124" customWidth="1"/>
    <col min="10499" max="10500" width="15.28515625" style="124" customWidth="1"/>
    <col min="10501" max="10501" width="16.5703125" style="124" customWidth="1"/>
    <col min="10502" max="10502" width="15" style="124" customWidth="1"/>
    <col min="10503" max="10753" width="9.140625" style="124"/>
    <col min="10754" max="10754" width="24.7109375" style="124" customWidth="1"/>
    <col min="10755" max="10756" width="15.28515625" style="124" customWidth="1"/>
    <col min="10757" max="10757" width="16.5703125" style="124" customWidth="1"/>
    <col min="10758" max="10758" width="15" style="124" customWidth="1"/>
    <col min="10759" max="11009" width="9.140625" style="124"/>
    <col min="11010" max="11010" width="24.7109375" style="124" customWidth="1"/>
    <col min="11011" max="11012" width="15.28515625" style="124" customWidth="1"/>
    <col min="11013" max="11013" width="16.5703125" style="124" customWidth="1"/>
    <col min="11014" max="11014" width="15" style="124" customWidth="1"/>
    <col min="11015" max="11265" width="9.140625" style="124"/>
    <col min="11266" max="11266" width="24.7109375" style="124" customWidth="1"/>
    <col min="11267" max="11268" width="15.28515625" style="124" customWidth="1"/>
    <col min="11269" max="11269" width="16.5703125" style="124" customWidth="1"/>
    <col min="11270" max="11270" width="15" style="124" customWidth="1"/>
    <col min="11271" max="11521" width="9.140625" style="124"/>
    <col min="11522" max="11522" width="24.7109375" style="124" customWidth="1"/>
    <col min="11523" max="11524" width="15.28515625" style="124" customWidth="1"/>
    <col min="11525" max="11525" width="16.5703125" style="124" customWidth="1"/>
    <col min="11526" max="11526" width="15" style="124" customWidth="1"/>
    <col min="11527" max="11777" width="9.140625" style="124"/>
    <col min="11778" max="11778" width="24.7109375" style="124" customWidth="1"/>
    <col min="11779" max="11780" width="15.28515625" style="124" customWidth="1"/>
    <col min="11781" max="11781" width="16.5703125" style="124" customWidth="1"/>
    <col min="11782" max="11782" width="15" style="124" customWidth="1"/>
    <col min="11783" max="12033" width="9.140625" style="124"/>
    <col min="12034" max="12034" width="24.7109375" style="124" customWidth="1"/>
    <col min="12035" max="12036" width="15.28515625" style="124" customWidth="1"/>
    <col min="12037" max="12037" width="16.5703125" style="124" customWidth="1"/>
    <col min="12038" max="12038" width="15" style="124" customWidth="1"/>
    <col min="12039" max="12289" width="9.140625" style="124"/>
    <col min="12290" max="12290" width="24.7109375" style="124" customWidth="1"/>
    <col min="12291" max="12292" width="15.28515625" style="124" customWidth="1"/>
    <col min="12293" max="12293" width="16.5703125" style="124" customWidth="1"/>
    <col min="12294" max="12294" width="15" style="124" customWidth="1"/>
    <col min="12295" max="12545" width="9.140625" style="124"/>
    <col min="12546" max="12546" width="24.7109375" style="124" customWidth="1"/>
    <col min="12547" max="12548" width="15.28515625" style="124" customWidth="1"/>
    <col min="12549" max="12549" width="16.5703125" style="124" customWidth="1"/>
    <col min="12550" max="12550" width="15" style="124" customWidth="1"/>
    <col min="12551" max="12801" width="9.140625" style="124"/>
    <col min="12802" max="12802" width="24.7109375" style="124" customWidth="1"/>
    <col min="12803" max="12804" width="15.28515625" style="124" customWidth="1"/>
    <col min="12805" max="12805" width="16.5703125" style="124" customWidth="1"/>
    <col min="12806" max="12806" width="15" style="124" customWidth="1"/>
    <col min="12807" max="13057" width="9.140625" style="124"/>
    <col min="13058" max="13058" width="24.7109375" style="124" customWidth="1"/>
    <col min="13059" max="13060" width="15.28515625" style="124" customWidth="1"/>
    <col min="13061" max="13061" width="16.5703125" style="124" customWidth="1"/>
    <col min="13062" max="13062" width="15" style="124" customWidth="1"/>
    <col min="13063" max="13313" width="9.140625" style="124"/>
    <col min="13314" max="13314" width="24.7109375" style="124" customWidth="1"/>
    <col min="13315" max="13316" width="15.28515625" style="124" customWidth="1"/>
    <col min="13317" max="13317" width="16.5703125" style="124" customWidth="1"/>
    <col min="13318" max="13318" width="15" style="124" customWidth="1"/>
    <col min="13319" max="13569" width="9.140625" style="124"/>
    <col min="13570" max="13570" width="24.7109375" style="124" customWidth="1"/>
    <col min="13571" max="13572" width="15.28515625" style="124" customWidth="1"/>
    <col min="13573" max="13573" width="16.5703125" style="124" customWidth="1"/>
    <col min="13574" max="13574" width="15" style="124" customWidth="1"/>
    <col min="13575" max="13825" width="9.140625" style="124"/>
    <col min="13826" max="13826" width="24.7109375" style="124" customWidth="1"/>
    <col min="13827" max="13828" width="15.28515625" style="124" customWidth="1"/>
    <col min="13829" max="13829" width="16.5703125" style="124" customWidth="1"/>
    <col min="13830" max="13830" width="15" style="124" customWidth="1"/>
    <col min="13831" max="14081" width="9.140625" style="124"/>
    <col min="14082" max="14082" width="24.7109375" style="124" customWidth="1"/>
    <col min="14083" max="14084" width="15.28515625" style="124" customWidth="1"/>
    <col min="14085" max="14085" width="16.5703125" style="124" customWidth="1"/>
    <col min="14086" max="14086" width="15" style="124" customWidth="1"/>
    <col min="14087" max="14337" width="9.140625" style="124"/>
    <col min="14338" max="14338" width="24.7109375" style="124" customWidth="1"/>
    <col min="14339" max="14340" width="15.28515625" style="124" customWidth="1"/>
    <col min="14341" max="14341" width="16.5703125" style="124" customWidth="1"/>
    <col min="14342" max="14342" width="15" style="124" customWidth="1"/>
    <col min="14343" max="14593" width="9.140625" style="124"/>
    <col min="14594" max="14594" width="24.7109375" style="124" customWidth="1"/>
    <col min="14595" max="14596" width="15.28515625" style="124" customWidth="1"/>
    <col min="14597" max="14597" width="16.5703125" style="124" customWidth="1"/>
    <col min="14598" max="14598" width="15" style="124" customWidth="1"/>
    <col min="14599" max="14849" width="9.140625" style="124"/>
    <col min="14850" max="14850" width="24.7109375" style="124" customWidth="1"/>
    <col min="14851" max="14852" width="15.28515625" style="124" customWidth="1"/>
    <col min="14853" max="14853" width="16.5703125" style="124" customWidth="1"/>
    <col min="14854" max="14854" width="15" style="124" customWidth="1"/>
    <col min="14855" max="15105" width="9.140625" style="124"/>
    <col min="15106" max="15106" width="24.7109375" style="124" customWidth="1"/>
    <col min="15107" max="15108" width="15.28515625" style="124" customWidth="1"/>
    <col min="15109" max="15109" width="16.5703125" style="124" customWidth="1"/>
    <col min="15110" max="15110" width="15" style="124" customWidth="1"/>
    <col min="15111" max="15361" width="9.140625" style="124"/>
    <col min="15362" max="15362" width="24.7109375" style="124" customWidth="1"/>
    <col min="15363" max="15364" width="15.28515625" style="124" customWidth="1"/>
    <col min="15365" max="15365" width="16.5703125" style="124" customWidth="1"/>
    <col min="15366" max="15366" width="15" style="124" customWidth="1"/>
    <col min="15367" max="15617" width="9.140625" style="124"/>
    <col min="15618" max="15618" width="24.7109375" style="124" customWidth="1"/>
    <col min="15619" max="15620" width="15.28515625" style="124" customWidth="1"/>
    <col min="15621" max="15621" width="16.5703125" style="124" customWidth="1"/>
    <col min="15622" max="15622" width="15" style="124" customWidth="1"/>
    <col min="15623" max="15873" width="9.140625" style="124"/>
    <col min="15874" max="15874" width="24.7109375" style="124" customWidth="1"/>
    <col min="15875" max="15876" width="15.28515625" style="124" customWidth="1"/>
    <col min="15877" max="15877" width="16.5703125" style="124" customWidth="1"/>
    <col min="15878" max="15878" width="15" style="124" customWidth="1"/>
    <col min="15879" max="16129" width="9.140625" style="124"/>
    <col min="16130" max="16130" width="24.7109375" style="124" customWidth="1"/>
    <col min="16131" max="16132" width="15.28515625" style="124" customWidth="1"/>
    <col min="16133" max="16133" width="16.5703125" style="124" customWidth="1"/>
    <col min="16134" max="16134" width="15" style="124" customWidth="1"/>
    <col min="16135" max="16384" width="9.140625" style="124"/>
  </cols>
  <sheetData>
    <row r="1" spans="2:6" ht="50.25" customHeight="1">
      <c r="B1" s="196" t="s">
        <v>118</v>
      </c>
      <c r="C1" s="196"/>
      <c r="D1" s="196"/>
      <c r="E1" s="196"/>
      <c r="F1" s="196"/>
    </row>
    <row r="2" spans="2:6" ht="15.75" customHeight="1">
      <c r="B2" s="197"/>
      <c r="C2" s="207" t="s">
        <v>1</v>
      </c>
      <c r="D2" s="204" t="s">
        <v>2</v>
      </c>
      <c r="E2" s="204"/>
      <c r="F2" s="207" t="s">
        <v>5</v>
      </c>
    </row>
    <row r="3" spans="2:6" ht="39" customHeight="1">
      <c r="B3" s="197"/>
      <c r="C3" s="199"/>
      <c r="D3" s="145" t="s">
        <v>3</v>
      </c>
      <c r="E3" s="145" t="s">
        <v>108</v>
      </c>
      <c r="F3" s="199"/>
    </row>
    <row r="4" spans="2:6" ht="28.5" customHeight="1">
      <c r="B4" s="129" t="s">
        <v>6</v>
      </c>
      <c r="C4" s="161">
        <v>1060</v>
      </c>
      <c r="D4" s="161">
        <v>191</v>
      </c>
      <c r="E4" s="161">
        <v>25</v>
      </c>
      <c r="F4" s="161">
        <v>1</v>
      </c>
    </row>
    <row r="5" spans="2:6" s="154" customFormat="1" ht="26.25" customHeight="1">
      <c r="B5" s="129" t="s">
        <v>7</v>
      </c>
      <c r="C5" s="148">
        <v>656</v>
      </c>
      <c r="D5" s="148">
        <v>101</v>
      </c>
      <c r="E5" s="148">
        <v>15</v>
      </c>
      <c r="F5" s="148">
        <v>1</v>
      </c>
    </row>
    <row r="6" spans="2:6">
      <c r="B6" s="124" t="s">
        <v>8</v>
      </c>
      <c r="C6" s="149">
        <v>25</v>
      </c>
      <c r="D6" s="149">
        <v>3</v>
      </c>
      <c r="E6" s="149">
        <v>0</v>
      </c>
      <c r="F6" s="149">
        <v>0</v>
      </c>
    </row>
    <row r="7" spans="2:6">
      <c r="B7" s="124" t="s">
        <v>9</v>
      </c>
      <c r="C7" s="149">
        <v>22</v>
      </c>
      <c r="D7" s="149">
        <v>5</v>
      </c>
      <c r="E7" s="149">
        <v>0</v>
      </c>
      <c r="F7" s="149">
        <v>0</v>
      </c>
    </row>
    <row r="8" spans="2:6">
      <c r="B8" s="124" t="s">
        <v>10</v>
      </c>
      <c r="C8" s="149">
        <v>34</v>
      </c>
      <c r="D8" s="149">
        <v>1</v>
      </c>
      <c r="E8" s="149">
        <v>0</v>
      </c>
      <c r="F8" s="149">
        <v>0</v>
      </c>
    </row>
    <row r="9" spans="2:6">
      <c r="B9" s="124" t="s">
        <v>11</v>
      </c>
      <c r="C9" s="149">
        <v>20</v>
      </c>
      <c r="D9" s="149">
        <v>2</v>
      </c>
      <c r="E9" s="149">
        <v>0</v>
      </c>
      <c r="F9" s="149">
        <v>0</v>
      </c>
    </row>
    <row r="10" spans="2:6">
      <c r="B10" s="124" t="s">
        <v>12</v>
      </c>
      <c r="C10" s="149">
        <v>33</v>
      </c>
      <c r="D10" s="149">
        <v>5</v>
      </c>
      <c r="E10" s="149">
        <v>0</v>
      </c>
      <c r="F10" s="149">
        <v>0</v>
      </c>
    </row>
    <row r="11" spans="2:6">
      <c r="B11" s="124" t="s">
        <v>13</v>
      </c>
      <c r="C11" s="149">
        <v>2</v>
      </c>
      <c r="D11" s="149">
        <v>0</v>
      </c>
      <c r="E11" s="149">
        <v>0</v>
      </c>
      <c r="F11" s="149">
        <v>0</v>
      </c>
    </row>
    <row r="12" spans="2:6">
      <c r="B12" s="124" t="s">
        <v>14</v>
      </c>
      <c r="C12" s="149">
        <v>10</v>
      </c>
      <c r="D12" s="149">
        <v>1</v>
      </c>
      <c r="E12" s="149">
        <v>0</v>
      </c>
      <c r="F12" s="149">
        <v>0</v>
      </c>
    </row>
    <row r="13" spans="2:6">
      <c r="B13" s="124" t="s">
        <v>15</v>
      </c>
      <c r="C13" s="149">
        <v>7</v>
      </c>
      <c r="D13" s="149">
        <v>0</v>
      </c>
      <c r="E13" s="149">
        <v>0</v>
      </c>
      <c r="F13" s="149">
        <v>0</v>
      </c>
    </row>
    <row r="14" spans="2:6">
      <c r="B14" s="124" t="s">
        <v>16</v>
      </c>
      <c r="C14" s="149">
        <v>10</v>
      </c>
      <c r="D14" s="149">
        <v>1</v>
      </c>
      <c r="E14" s="149">
        <v>0</v>
      </c>
      <c r="F14" s="149">
        <v>1</v>
      </c>
    </row>
    <row r="15" spans="2:6">
      <c r="B15" s="124" t="s">
        <v>17</v>
      </c>
      <c r="C15" s="149">
        <v>14</v>
      </c>
      <c r="D15" s="149">
        <v>3</v>
      </c>
      <c r="E15" s="149">
        <v>0</v>
      </c>
      <c r="F15" s="149">
        <v>0</v>
      </c>
    </row>
    <row r="16" spans="2:6">
      <c r="B16" s="151" t="s">
        <v>18</v>
      </c>
      <c r="C16" s="149">
        <v>31</v>
      </c>
      <c r="D16" s="149">
        <v>6</v>
      </c>
      <c r="E16" s="149">
        <v>0</v>
      </c>
      <c r="F16" s="149">
        <v>0</v>
      </c>
    </row>
    <row r="17" spans="2:6" s="184" customFormat="1">
      <c r="B17" s="132" t="s">
        <v>125</v>
      </c>
      <c r="C17" s="165" t="s">
        <v>126</v>
      </c>
      <c r="D17" s="165" t="s">
        <v>126</v>
      </c>
      <c r="E17" s="165" t="s">
        <v>126</v>
      </c>
      <c r="F17" s="165" t="s">
        <v>126</v>
      </c>
    </row>
    <row r="18" spans="2:6">
      <c r="B18" s="124" t="s">
        <v>19</v>
      </c>
      <c r="C18" s="149">
        <v>21</v>
      </c>
      <c r="D18" s="149">
        <v>1</v>
      </c>
      <c r="E18" s="149">
        <v>1</v>
      </c>
      <c r="F18" s="149">
        <v>0</v>
      </c>
    </row>
    <row r="19" spans="2:6">
      <c r="B19" s="124" t="s">
        <v>20</v>
      </c>
      <c r="C19" s="149">
        <v>12</v>
      </c>
      <c r="D19" s="149">
        <v>1</v>
      </c>
      <c r="E19" s="149">
        <v>0</v>
      </c>
      <c r="F19" s="149">
        <v>0</v>
      </c>
    </row>
    <row r="20" spans="2:6">
      <c r="B20" s="124" t="s">
        <v>21</v>
      </c>
      <c r="C20" s="149">
        <v>27</v>
      </c>
      <c r="D20" s="149">
        <v>4</v>
      </c>
      <c r="E20" s="149">
        <v>1</v>
      </c>
      <c r="F20" s="149">
        <v>0</v>
      </c>
    </row>
    <row r="21" spans="2:6">
      <c r="B21" s="124" t="s">
        <v>22</v>
      </c>
      <c r="C21" s="149">
        <v>35</v>
      </c>
      <c r="D21" s="149">
        <v>10</v>
      </c>
      <c r="E21" s="149">
        <v>0</v>
      </c>
      <c r="F21" s="149">
        <v>0</v>
      </c>
    </row>
    <row r="22" spans="2:6">
      <c r="B22" s="124" t="s">
        <v>23</v>
      </c>
      <c r="C22" s="149">
        <v>12</v>
      </c>
      <c r="D22" s="149">
        <v>1</v>
      </c>
      <c r="E22" s="149">
        <v>0</v>
      </c>
      <c r="F22" s="149">
        <v>0</v>
      </c>
    </row>
    <row r="23" spans="2:6" ht="14.25">
      <c r="B23" s="124" t="s">
        <v>109</v>
      </c>
      <c r="C23" s="149">
        <v>18</v>
      </c>
      <c r="D23" s="149">
        <v>2</v>
      </c>
      <c r="E23" s="149">
        <v>2</v>
      </c>
      <c r="F23" s="149">
        <v>0</v>
      </c>
    </row>
    <row r="24" spans="2:6">
      <c r="B24" s="124" t="s">
        <v>25</v>
      </c>
      <c r="C24" s="149">
        <v>20</v>
      </c>
      <c r="D24" s="149">
        <v>3</v>
      </c>
      <c r="E24" s="149">
        <v>1</v>
      </c>
      <c r="F24" s="149">
        <v>0</v>
      </c>
    </row>
    <row r="25" spans="2:6">
      <c r="B25" s="124" t="s">
        <v>26</v>
      </c>
      <c r="C25" s="149">
        <v>20</v>
      </c>
      <c r="D25" s="149">
        <v>3</v>
      </c>
      <c r="E25" s="149">
        <v>2</v>
      </c>
      <c r="F25" s="149">
        <v>0</v>
      </c>
    </row>
    <row r="26" spans="2:6">
      <c r="B26" s="124" t="s">
        <v>27</v>
      </c>
      <c r="C26" s="149">
        <v>22</v>
      </c>
      <c r="D26" s="149">
        <v>4</v>
      </c>
      <c r="E26" s="149">
        <v>0</v>
      </c>
      <c r="F26" s="149">
        <v>0</v>
      </c>
    </row>
    <row r="27" spans="2:6">
      <c r="B27" s="152" t="s">
        <v>28</v>
      </c>
      <c r="C27" s="149">
        <v>1</v>
      </c>
      <c r="D27" s="149">
        <v>0</v>
      </c>
      <c r="E27" s="149">
        <v>0</v>
      </c>
      <c r="F27" s="149">
        <v>0</v>
      </c>
    </row>
    <row r="28" spans="2:6">
      <c r="B28" s="124" t="s">
        <v>29</v>
      </c>
      <c r="C28" s="149">
        <v>20</v>
      </c>
      <c r="D28" s="149">
        <v>3</v>
      </c>
      <c r="E28" s="149">
        <v>0</v>
      </c>
      <c r="F28" s="149">
        <v>0</v>
      </c>
    </row>
    <row r="29" spans="2:6">
      <c r="B29" s="124" t="s">
        <v>30</v>
      </c>
      <c r="C29" s="149">
        <v>23</v>
      </c>
      <c r="D29" s="149">
        <v>6</v>
      </c>
      <c r="E29" s="149">
        <v>0</v>
      </c>
      <c r="F29" s="149">
        <v>0</v>
      </c>
    </row>
    <row r="30" spans="2:6">
      <c r="B30" s="124" t="s">
        <v>31</v>
      </c>
      <c r="C30" s="149">
        <v>8</v>
      </c>
      <c r="D30" s="149">
        <v>1</v>
      </c>
      <c r="E30" s="149">
        <v>0</v>
      </c>
      <c r="F30" s="149">
        <v>0</v>
      </c>
    </row>
    <row r="31" spans="2:6">
      <c r="B31" s="124" t="s">
        <v>32</v>
      </c>
      <c r="C31" s="149">
        <v>6</v>
      </c>
      <c r="D31" s="149">
        <v>3</v>
      </c>
      <c r="E31" s="149">
        <v>0</v>
      </c>
      <c r="F31" s="149">
        <v>0</v>
      </c>
    </row>
    <row r="32" spans="2:6">
      <c r="B32" s="124" t="s">
        <v>33</v>
      </c>
      <c r="C32" s="149">
        <v>19</v>
      </c>
      <c r="D32" s="149">
        <v>2</v>
      </c>
      <c r="E32" s="149">
        <v>0</v>
      </c>
      <c r="F32" s="149">
        <v>0</v>
      </c>
    </row>
    <row r="33" spans="2:6">
      <c r="B33" s="124" t="s">
        <v>34</v>
      </c>
      <c r="C33" s="149">
        <v>15</v>
      </c>
      <c r="D33" s="149">
        <v>1</v>
      </c>
      <c r="E33" s="149">
        <v>0</v>
      </c>
      <c r="F33" s="149">
        <v>0</v>
      </c>
    </row>
    <row r="34" spans="2:6">
      <c r="B34" s="124" t="s">
        <v>35</v>
      </c>
      <c r="C34" s="149">
        <v>27</v>
      </c>
      <c r="D34" s="149">
        <v>4</v>
      </c>
      <c r="E34" s="149">
        <v>0</v>
      </c>
      <c r="F34" s="149">
        <v>0</v>
      </c>
    </row>
    <row r="35" spans="2:6">
      <c r="B35" s="124" t="s">
        <v>36</v>
      </c>
      <c r="C35" s="149">
        <v>10</v>
      </c>
      <c r="D35" s="149">
        <v>5</v>
      </c>
      <c r="E35" s="149">
        <v>5</v>
      </c>
      <c r="F35" s="149">
        <v>0</v>
      </c>
    </row>
    <row r="36" spans="2:6">
      <c r="B36" s="124" t="s">
        <v>37</v>
      </c>
      <c r="C36" s="149">
        <v>15</v>
      </c>
      <c r="D36" s="149">
        <v>6</v>
      </c>
      <c r="E36" s="149">
        <v>0</v>
      </c>
      <c r="F36" s="149">
        <v>0</v>
      </c>
    </row>
    <row r="37" spans="2:6">
      <c r="B37" s="124" t="s">
        <v>38</v>
      </c>
      <c r="C37" s="149">
        <v>7</v>
      </c>
      <c r="D37" s="149">
        <v>1</v>
      </c>
      <c r="E37" s="149">
        <v>0</v>
      </c>
      <c r="F37" s="149">
        <v>0</v>
      </c>
    </row>
    <row r="38" spans="2:6">
      <c r="B38" s="124" t="s">
        <v>39</v>
      </c>
      <c r="C38" s="149">
        <v>13</v>
      </c>
      <c r="D38" s="149">
        <v>0</v>
      </c>
      <c r="E38" s="149">
        <v>1</v>
      </c>
      <c r="F38" s="149">
        <v>0</v>
      </c>
    </row>
    <row r="39" spans="2:6">
      <c r="B39" s="124" t="s">
        <v>40</v>
      </c>
      <c r="C39" s="149">
        <v>20</v>
      </c>
      <c r="D39" s="149">
        <v>1</v>
      </c>
      <c r="E39" s="149">
        <v>0</v>
      </c>
      <c r="F39" s="149">
        <v>0</v>
      </c>
    </row>
    <row r="40" spans="2:6">
      <c r="B40" s="124" t="s">
        <v>41</v>
      </c>
      <c r="C40" s="149">
        <v>14</v>
      </c>
      <c r="D40" s="149">
        <v>3</v>
      </c>
      <c r="E40" s="149">
        <v>1</v>
      </c>
      <c r="F40" s="149">
        <v>0</v>
      </c>
    </row>
    <row r="41" spans="2:6">
      <c r="B41" s="124" t="s">
        <v>42</v>
      </c>
      <c r="C41" s="149">
        <v>29</v>
      </c>
      <c r="D41" s="149">
        <v>2</v>
      </c>
      <c r="E41" s="149">
        <v>1</v>
      </c>
      <c r="F41" s="149">
        <v>0</v>
      </c>
    </row>
    <row r="42" spans="2:6">
      <c r="B42" s="124" t="s">
        <v>43</v>
      </c>
      <c r="C42" s="149">
        <v>7</v>
      </c>
      <c r="D42" s="149">
        <v>3</v>
      </c>
      <c r="E42" s="149">
        <v>0</v>
      </c>
      <c r="F42" s="149">
        <v>0</v>
      </c>
    </row>
    <row r="43" spans="2:6">
      <c r="B43" s="124" t="s">
        <v>44</v>
      </c>
      <c r="C43" s="149">
        <v>20</v>
      </c>
      <c r="D43" s="149">
        <v>2</v>
      </c>
      <c r="E43" s="149">
        <v>0</v>
      </c>
      <c r="F43" s="149">
        <v>0</v>
      </c>
    </row>
    <row r="44" spans="2:6">
      <c r="B44" s="124" t="s">
        <v>45</v>
      </c>
      <c r="C44" s="149">
        <v>7</v>
      </c>
      <c r="D44" s="149">
        <v>2</v>
      </c>
      <c r="E44" s="149">
        <v>0</v>
      </c>
      <c r="F44" s="149">
        <v>0</v>
      </c>
    </row>
    <row r="45" spans="2:6">
      <c r="B45" s="152" t="s">
        <v>46</v>
      </c>
      <c r="C45" s="149">
        <v>0</v>
      </c>
      <c r="D45" s="149">
        <v>0</v>
      </c>
      <c r="E45" s="149">
        <v>0</v>
      </c>
      <c r="F45" s="149">
        <v>0</v>
      </c>
    </row>
    <row r="46" spans="2:6" s="154" customFormat="1" ht="26.25" customHeight="1">
      <c r="B46" s="129" t="s">
        <v>47</v>
      </c>
      <c r="C46" s="148">
        <v>404</v>
      </c>
      <c r="D46" s="148">
        <v>90</v>
      </c>
      <c r="E46" s="148">
        <v>10</v>
      </c>
      <c r="F46" s="148">
        <v>0</v>
      </c>
    </row>
    <row r="47" spans="2:6">
      <c r="B47" s="124" t="s">
        <v>48</v>
      </c>
      <c r="C47" s="149">
        <v>24</v>
      </c>
      <c r="D47" s="149">
        <v>6</v>
      </c>
      <c r="E47" s="149">
        <v>0</v>
      </c>
      <c r="F47" s="149">
        <v>0</v>
      </c>
    </row>
    <row r="48" spans="2:6">
      <c r="B48" s="124" t="s">
        <v>49</v>
      </c>
      <c r="C48" s="150">
        <v>28</v>
      </c>
      <c r="D48" s="150">
        <v>1</v>
      </c>
      <c r="E48" s="150">
        <v>0</v>
      </c>
      <c r="F48" s="150">
        <v>0</v>
      </c>
    </row>
    <row r="49" spans="2:6">
      <c r="B49" s="124" t="s">
        <v>50</v>
      </c>
      <c r="C49" s="150">
        <v>43</v>
      </c>
      <c r="D49" s="150">
        <v>8</v>
      </c>
      <c r="E49" s="150">
        <v>0</v>
      </c>
      <c r="F49" s="150">
        <v>0</v>
      </c>
    </row>
    <row r="50" spans="2:6">
      <c r="B50" s="124" t="s">
        <v>51</v>
      </c>
      <c r="C50" s="150">
        <v>11</v>
      </c>
      <c r="D50" s="150">
        <v>1</v>
      </c>
      <c r="E50" s="150">
        <v>1</v>
      </c>
      <c r="F50" s="150">
        <v>0</v>
      </c>
    </row>
    <row r="51" spans="2:6">
      <c r="B51" s="124" t="s">
        <v>52</v>
      </c>
      <c r="C51" s="150">
        <v>59</v>
      </c>
      <c r="D51" s="150">
        <v>7</v>
      </c>
      <c r="E51" s="150">
        <v>0</v>
      </c>
      <c r="F51" s="150">
        <v>0</v>
      </c>
    </row>
    <row r="52" spans="2:6">
      <c r="B52" s="124" t="s">
        <v>53</v>
      </c>
      <c r="C52" s="150">
        <v>57</v>
      </c>
      <c r="D52" s="150">
        <v>2</v>
      </c>
      <c r="E52" s="150">
        <v>1</v>
      </c>
      <c r="F52" s="150">
        <v>0</v>
      </c>
    </row>
    <row r="53" spans="2:6">
      <c r="B53" s="156" t="s">
        <v>54</v>
      </c>
      <c r="C53" s="158">
        <v>182</v>
      </c>
      <c r="D53" s="158">
        <v>65</v>
      </c>
      <c r="E53" s="158">
        <v>8</v>
      </c>
      <c r="F53" s="158">
        <v>0</v>
      </c>
    </row>
    <row r="54" spans="2:6">
      <c r="C54" s="141"/>
      <c r="D54" s="141"/>
      <c r="E54" s="141"/>
      <c r="F54" s="141"/>
    </row>
    <row r="55" spans="2:6">
      <c r="B55" s="12" t="s">
        <v>55</v>
      </c>
    </row>
    <row r="56" spans="2:6" ht="13.5" customHeight="1">
      <c r="B56" s="124" t="s">
        <v>110</v>
      </c>
    </row>
    <row r="57" spans="2:6" ht="31.5" customHeight="1">
      <c r="B57" s="201" t="s">
        <v>119</v>
      </c>
      <c r="C57" s="202"/>
      <c r="D57" s="202"/>
      <c r="E57" s="202"/>
      <c r="F57" s="202"/>
    </row>
    <row r="58" spans="2:6" ht="15" customHeight="1">
      <c r="B58" s="202"/>
      <c r="C58" s="202"/>
      <c r="D58" s="202"/>
      <c r="E58" s="202"/>
      <c r="F58" s="202"/>
    </row>
    <row r="59" spans="2:6" ht="13.5" customHeight="1">
      <c r="B59" s="202"/>
      <c r="C59" s="202"/>
      <c r="D59" s="202"/>
      <c r="E59" s="202"/>
      <c r="F59" s="202"/>
    </row>
    <row r="60" spans="2:6" ht="12.75" customHeight="1">
      <c r="B60" s="202"/>
      <c r="C60" s="202"/>
      <c r="D60" s="202"/>
      <c r="E60" s="202"/>
      <c r="F60" s="202"/>
    </row>
    <row r="61" spans="2:6" ht="15.75" customHeight="1">
      <c r="B61" s="202"/>
      <c r="C61" s="202"/>
      <c r="D61" s="202"/>
      <c r="E61" s="202"/>
      <c r="F61" s="202"/>
    </row>
    <row r="62" spans="2:6" ht="39" customHeight="1">
      <c r="B62" s="202"/>
      <c r="C62" s="202"/>
      <c r="D62" s="202"/>
      <c r="E62" s="202"/>
      <c r="F62" s="202"/>
    </row>
    <row r="63" spans="2:6" ht="15" customHeight="1">
      <c r="B63" s="57"/>
      <c r="C63" s="57"/>
      <c r="D63" s="57"/>
      <c r="E63" s="57"/>
      <c r="F63" s="57"/>
    </row>
    <row r="64" spans="2:6">
      <c r="B64" s="140" t="s">
        <v>112</v>
      </c>
    </row>
    <row r="66" spans="2:2">
      <c r="B66" s="143"/>
    </row>
  </sheetData>
  <mergeCells count="6">
    <mergeCell ref="B57:F62"/>
    <mergeCell ref="B1:F1"/>
    <mergeCell ref="B2:B3"/>
    <mergeCell ref="C2:C3"/>
    <mergeCell ref="D2:E2"/>
    <mergeCell ref="F2:F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</sheetPr>
  <dimension ref="A1:AF139"/>
  <sheetViews>
    <sheetView workbookViewId="0">
      <pane ySplit="8" topLeftCell="A9" activePane="bottomLeft" state="frozen"/>
      <selection pane="bottomLeft" activeCell="A4" sqref="A4:G4"/>
    </sheetView>
  </sheetViews>
  <sheetFormatPr defaultRowHeight="12.75"/>
  <cols>
    <col min="1" max="1" width="43.28515625" style="62" customWidth="1"/>
    <col min="2" max="2" width="17.7109375" style="62" customWidth="1"/>
    <col min="3" max="3" width="5.7109375" style="62" customWidth="1"/>
    <col min="4" max="5" width="17.7109375" style="62" customWidth="1"/>
    <col min="6" max="6" width="5.7109375" style="62" customWidth="1"/>
    <col min="7" max="7" width="17.7109375" style="62" customWidth="1"/>
    <col min="8" max="8" width="9.140625" style="62" customWidth="1"/>
    <col min="9" max="11" width="9.140625" style="62" hidden="1" customWidth="1"/>
    <col min="12" max="12" width="10" style="62" customWidth="1"/>
    <col min="13" max="13" width="11.85546875" style="62" customWidth="1"/>
    <col min="14" max="18" width="9.140625" style="62"/>
    <col min="19" max="19" width="11" style="62" customWidth="1"/>
    <col min="20" max="16384" width="9.140625" style="62"/>
  </cols>
  <sheetData>
    <row r="1" spans="1:32" s="61" customFormat="1" ht="37.5" customHeight="1">
      <c r="A1" s="235" t="s">
        <v>121</v>
      </c>
      <c r="B1" s="235"/>
      <c r="C1" s="235"/>
      <c r="D1" s="235"/>
      <c r="E1" s="235"/>
      <c r="F1" s="235"/>
      <c r="G1" s="235"/>
      <c r="H1" s="59"/>
      <c r="I1" s="59"/>
      <c r="J1" s="60"/>
      <c r="K1" s="60"/>
    </row>
    <row r="2" spans="1:32" s="63" customFormat="1" ht="1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32" s="63" customFormat="1" ht="15" customHeight="1">
      <c r="A3" s="64" t="s">
        <v>66</v>
      </c>
      <c r="B3" s="65"/>
      <c r="C3" s="65"/>
      <c r="D3" s="65"/>
      <c r="E3" s="65"/>
      <c r="F3" s="65"/>
      <c r="G3" s="65"/>
      <c r="H3" s="62"/>
      <c r="I3" s="62"/>
      <c r="J3" s="62"/>
      <c r="K3" s="62"/>
    </row>
    <row r="4" spans="1:32" s="63" customFormat="1" ht="15" customHeight="1">
      <c r="A4" s="236" t="s">
        <v>127</v>
      </c>
      <c r="B4" s="236"/>
      <c r="C4" s="236"/>
      <c r="D4" s="236"/>
      <c r="E4" s="236"/>
      <c r="F4" s="236"/>
      <c r="G4" s="236"/>
      <c r="H4" s="62"/>
      <c r="I4" s="62"/>
      <c r="J4" s="62"/>
      <c r="K4" s="62"/>
      <c r="L4" s="62"/>
    </row>
    <row r="5" spans="1:32" s="63" customFormat="1" ht="15.75" thickBot="1">
      <c r="A5" s="96"/>
      <c r="B5" s="117"/>
      <c r="C5" s="117"/>
      <c r="D5" s="117"/>
      <c r="E5" s="117"/>
      <c r="F5" s="117"/>
      <c r="G5" s="117"/>
      <c r="H5" s="96"/>
      <c r="I5" s="96"/>
      <c r="J5" s="121"/>
      <c r="K5" s="121"/>
      <c r="L5" s="106"/>
      <c r="M5" s="121"/>
      <c r="N5" s="121"/>
      <c r="O5" s="106"/>
      <c r="P5" s="121"/>
      <c r="Q5" s="68"/>
      <c r="R5" s="68"/>
      <c r="S5" s="68"/>
      <c r="T5" s="68"/>
      <c r="W5" s="69"/>
    </row>
    <row r="6" spans="1:32" s="63" customFormat="1" ht="18" thickBot="1">
      <c r="A6" s="96"/>
      <c r="B6" s="241" t="s">
        <v>1</v>
      </c>
      <c r="C6" s="97"/>
      <c r="D6" s="240" t="s">
        <v>79</v>
      </c>
      <c r="E6" s="240"/>
      <c r="F6" s="98"/>
      <c r="G6" s="241" t="s">
        <v>120</v>
      </c>
      <c r="H6" s="96"/>
      <c r="I6" s="96"/>
      <c r="J6" s="121"/>
      <c r="K6" s="121"/>
      <c r="L6" s="106"/>
      <c r="M6" s="121"/>
      <c r="N6" s="121"/>
      <c r="O6" s="106"/>
      <c r="P6" s="121"/>
      <c r="Q6" s="68"/>
      <c r="R6" s="68"/>
      <c r="S6" s="68"/>
      <c r="T6" s="68"/>
      <c r="W6" s="69"/>
    </row>
    <row r="7" spans="1:32" s="72" customFormat="1" ht="33" thickBot="1">
      <c r="A7" s="99" t="s">
        <v>67</v>
      </c>
      <c r="B7" s="242"/>
      <c r="C7" s="100"/>
      <c r="D7" s="101" t="s">
        <v>3</v>
      </c>
      <c r="E7" s="101" t="s">
        <v>80</v>
      </c>
      <c r="F7" s="100"/>
      <c r="G7" s="242"/>
      <c r="H7" s="122"/>
      <c r="I7" s="122"/>
      <c r="J7" s="122"/>
      <c r="K7" s="122"/>
      <c r="L7" s="96"/>
      <c r="M7" s="122"/>
      <c r="N7" s="122"/>
      <c r="O7" s="122"/>
      <c r="P7" s="122"/>
    </row>
    <row r="8" spans="1:32" s="63" customFormat="1" ht="15" customHeight="1">
      <c r="A8" s="77" t="s">
        <v>6</v>
      </c>
      <c r="B8" s="73">
        <f ca="1">IF((ISNUMBER('FIRE0508d raw'!B8)),ROUND('FIRE0508d raw'!B8,0),"..")</f>
        <v>530</v>
      </c>
      <c r="C8" s="73"/>
      <c r="D8" s="73">
        <f ca="1">IF((ISNUMBER('FIRE0508d raw'!D8)),ROUND('FIRE0508d raw'!D8,0),"..")</f>
        <v>72</v>
      </c>
      <c r="E8" s="73">
        <f ca="1">IF((ISNUMBER('FIRE0508d raw'!E8)),ROUND('FIRE0508d raw'!E8,0),"..")</f>
        <v>18</v>
      </c>
      <c r="F8" s="73"/>
      <c r="G8" s="73">
        <f ca="1">IF((ISNUMBER('FIRE0508d raw'!G8)),ROUND('FIRE0508d raw'!G8,0),"..")</f>
        <v>0</v>
      </c>
      <c r="H8" s="96"/>
      <c r="I8" s="106"/>
      <c r="J8" s="111"/>
      <c r="K8" s="111"/>
      <c r="L8" s="106"/>
      <c r="M8" s="111"/>
      <c r="N8" s="111"/>
      <c r="O8" s="106"/>
      <c r="P8" s="123"/>
      <c r="Q8" s="76"/>
      <c r="R8" s="76"/>
      <c r="S8" s="76"/>
      <c r="T8" s="76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</row>
    <row r="9" spans="1:32" s="63" customFormat="1" ht="15" customHeight="1">
      <c r="A9" s="102" t="s">
        <v>68</v>
      </c>
      <c r="B9" s="73">
        <f ca="1">IF((ISNUMBER('FIRE0508d raw'!B9)),ROUND('FIRE0508d raw'!B9,0),"..")</f>
        <v>412</v>
      </c>
      <c r="C9" s="73"/>
      <c r="D9" s="73">
        <f ca="1">IF((ISNUMBER('FIRE0508d raw'!D9)),ROUND('FIRE0508d raw'!D9,0),"..")</f>
        <v>57</v>
      </c>
      <c r="E9" s="73">
        <f ca="1">IF((ISNUMBER('FIRE0508d raw'!E9)),ROUND('FIRE0508d raw'!E9,0),"..")</f>
        <v>13</v>
      </c>
      <c r="F9" s="73"/>
      <c r="G9" s="73">
        <f ca="1">IF((ISNUMBER('FIRE0508d raw'!G9)),ROUND('FIRE0508d raw'!G9,0),"..")</f>
        <v>0</v>
      </c>
      <c r="H9" s="96"/>
      <c r="I9" s="106"/>
      <c r="J9" s="111"/>
      <c r="K9" s="111"/>
      <c r="L9" s="106"/>
      <c r="M9" s="111"/>
      <c r="N9" s="111"/>
      <c r="O9" s="106"/>
      <c r="P9" s="123"/>
      <c r="Q9" s="76"/>
      <c r="R9" s="76"/>
      <c r="S9" s="76"/>
      <c r="T9" s="76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</row>
    <row r="10" spans="1:32" s="63" customFormat="1" ht="15" customHeight="1">
      <c r="A10" s="96" t="s">
        <v>8</v>
      </c>
      <c r="B10" s="192">
        <f ca="1">IF((ISNUMBER('FIRE0508d raw'!B10)),ROUND('FIRE0508d raw'!B10,0),"..")</f>
        <v>19</v>
      </c>
      <c r="C10" s="91"/>
      <c r="D10" s="192">
        <f ca="1">IF((ISNUMBER('FIRE0508d raw'!D10)),ROUND('FIRE0508d raw'!D10,0),"..")</f>
        <v>8</v>
      </c>
      <c r="E10" s="192">
        <f ca="1">IF((ISNUMBER('FIRE0508d raw'!E10)),ROUND('FIRE0508d raw'!E10,0),"..")</f>
        <v>0</v>
      </c>
      <c r="F10" s="91"/>
      <c r="G10" s="192">
        <f ca="1">IF((ISNUMBER('FIRE0508d raw'!G10)),ROUND('FIRE0508d raw'!G10,0),"..")</f>
        <v>0</v>
      </c>
      <c r="H10" s="96"/>
      <c r="I10" s="106"/>
      <c r="J10" s="111"/>
      <c r="K10" s="111"/>
      <c r="L10" s="106"/>
      <c r="M10" s="111"/>
      <c r="N10" s="111"/>
      <c r="O10" s="106"/>
      <c r="P10" s="123"/>
      <c r="Q10" s="76"/>
      <c r="R10" s="76"/>
      <c r="S10" s="76"/>
      <c r="T10" s="76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</row>
    <row r="11" spans="1:32" s="63" customFormat="1" ht="15" customHeight="1">
      <c r="A11" s="96" t="s">
        <v>9</v>
      </c>
      <c r="B11" s="192">
        <f ca="1">IF((ISNUMBER('FIRE0508d raw'!B11)),ROUND('FIRE0508d raw'!B11,0),"..")</f>
        <v>6</v>
      </c>
      <c r="C11" s="91"/>
      <c r="D11" s="192">
        <f ca="1">IF((ISNUMBER('FIRE0508d raw'!D11)),ROUND('FIRE0508d raw'!D11,0),"..")</f>
        <v>0</v>
      </c>
      <c r="E11" s="192">
        <f ca="1">IF((ISNUMBER('FIRE0508d raw'!E11)),ROUND('FIRE0508d raw'!E11,0),"..")</f>
        <v>0</v>
      </c>
      <c r="F11" s="91"/>
      <c r="G11" s="192">
        <f ca="1">IF((ISNUMBER('FIRE0508d raw'!G11)),ROUND('FIRE0508d raw'!G11,0),"..")</f>
        <v>0</v>
      </c>
      <c r="H11" s="96"/>
      <c r="I11" s="106"/>
      <c r="J11" s="111"/>
      <c r="K11" s="111"/>
      <c r="L11" s="106"/>
      <c r="M11" s="111"/>
      <c r="N11" s="111"/>
      <c r="O11" s="106"/>
      <c r="P11" s="123"/>
      <c r="Q11" s="76"/>
      <c r="R11" s="76"/>
      <c r="S11" s="76"/>
      <c r="T11" s="76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</row>
    <row r="12" spans="1:32" s="63" customFormat="1" ht="15" customHeight="1">
      <c r="A12" s="96" t="s">
        <v>10</v>
      </c>
      <c r="B12" s="192">
        <f ca="1">IF((ISNUMBER('FIRE0508d raw'!B12)),ROUND('FIRE0508d raw'!B12,0),"..")</f>
        <v>9</v>
      </c>
      <c r="C12" s="91"/>
      <c r="D12" s="192">
        <f ca="1">IF((ISNUMBER('FIRE0508d raw'!D12)),ROUND('FIRE0508d raw'!D12,0),"..")</f>
        <v>1</v>
      </c>
      <c r="E12" s="192">
        <f ca="1">IF((ISNUMBER('FIRE0508d raw'!E12)),ROUND('FIRE0508d raw'!E12,0),"..")</f>
        <v>0</v>
      </c>
      <c r="F12" s="91"/>
      <c r="G12" s="192">
        <f ca="1">IF((ISNUMBER('FIRE0508d raw'!G12)),ROUND('FIRE0508d raw'!G12,0),"..")</f>
        <v>0</v>
      </c>
      <c r="H12" s="96"/>
      <c r="I12" s="106"/>
      <c r="J12" s="111"/>
      <c r="K12" s="111"/>
      <c r="L12" s="106"/>
      <c r="M12" s="111"/>
      <c r="N12" s="111"/>
      <c r="O12" s="106"/>
      <c r="P12" s="123"/>
      <c r="Q12" s="76"/>
      <c r="R12" s="76"/>
      <c r="S12" s="76"/>
      <c r="T12" s="76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</row>
    <row r="13" spans="1:32" s="63" customFormat="1" ht="15" customHeight="1">
      <c r="A13" s="96" t="s">
        <v>11</v>
      </c>
      <c r="B13" s="192">
        <f ca="1">IF((ISNUMBER('FIRE0508d raw'!B13)),ROUND('FIRE0508d raw'!B13,0),"..")</f>
        <v>11</v>
      </c>
      <c r="C13" s="91"/>
      <c r="D13" s="192">
        <f ca="1">IF((ISNUMBER('FIRE0508d raw'!D13)),ROUND('FIRE0508d raw'!D13,0),"..")</f>
        <v>3</v>
      </c>
      <c r="E13" s="192">
        <f ca="1">IF((ISNUMBER('FIRE0508d raw'!E13)),ROUND('FIRE0508d raw'!E13,0),"..")</f>
        <v>0</v>
      </c>
      <c r="F13" s="91"/>
      <c r="G13" s="192">
        <f ca="1">IF((ISNUMBER('FIRE0508d raw'!G13)),ROUND('FIRE0508d raw'!G13,0),"..")</f>
        <v>0</v>
      </c>
      <c r="H13" s="96"/>
      <c r="I13" s="106"/>
      <c r="J13" s="111"/>
      <c r="K13" s="111"/>
      <c r="L13" s="106"/>
      <c r="M13" s="111"/>
      <c r="N13" s="111"/>
      <c r="O13" s="106"/>
      <c r="P13" s="123"/>
      <c r="Q13" s="76"/>
      <c r="R13" s="76"/>
      <c r="S13" s="76"/>
      <c r="T13" s="76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1:32" s="63" customFormat="1" ht="15" customHeight="1">
      <c r="A14" s="96" t="s">
        <v>12</v>
      </c>
      <c r="B14" s="192">
        <f ca="1">IF((ISNUMBER('FIRE0508d raw'!B14)),ROUND('FIRE0508d raw'!B14,0),"..")</f>
        <v>21</v>
      </c>
      <c r="C14" s="91"/>
      <c r="D14" s="192">
        <f ca="1">IF((ISNUMBER('FIRE0508d raw'!D14)),ROUND('FIRE0508d raw'!D14,0),"..")</f>
        <v>0</v>
      </c>
      <c r="E14" s="192">
        <f ca="1">IF((ISNUMBER('FIRE0508d raw'!E14)),ROUND('FIRE0508d raw'!E14,0),"..")</f>
        <v>1</v>
      </c>
      <c r="F14" s="91"/>
      <c r="G14" s="192">
        <f ca="1">IF((ISNUMBER('FIRE0508d raw'!G14)),ROUND('FIRE0508d raw'!G14,0),"..")</f>
        <v>0</v>
      </c>
      <c r="H14" s="96"/>
      <c r="I14" s="106"/>
      <c r="J14" s="111"/>
      <c r="K14" s="111"/>
      <c r="L14" s="106"/>
      <c r="M14" s="111"/>
      <c r="N14" s="111"/>
      <c r="O14" s="106"/>
      <c r="P14" s="123"/>
      <c r="Q14" s="76"/>
      <c r="R14" s="76"/>
      <c r="S14" s="76"/>
      <c r="T14" s="76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1:32" s="63" customFormat="1" ht="15" customHeight="1">
      <c r="A15" s="96" t="s">
        <v>13</v>
      </c>
      <c r="B15" s="192">
        <f ca="1">IF((ISNUMBER('FIRE0508d raw'!B15)),ROUND('FIRE0508d raw'!B15,0),"..")</f>
        <v>0</v>
      </c>
      <c r="C15" s="91"/>
      <c r="D15" s="192">
        <f ca="1">IF((ISNUMBER('FIRE0508d raw'!D15)),ROUND('FIRE0508d raw'!D15,0),"..")</f>
        <v>0</v>
      </c>
      <c r="E15" s="192">
        <f ca="1">IF((ISNUMBER('FIRE0508d raw'!E15)),ROUND('FIRE0508d raw'!E15,0),"..")</f>
        <v>0</v>
      </c>
      <c r="F15" s="91"/>
      <c r="G15" s="192">
        <f ca="1">IF((ISNUMBER('FIRE0508d raw'!G15)),ROUND('FIRE0508d raw'!G15,0),"..")</f>
        <v>0</v>
      </c>
      <c r="H15" s="96"/>
      <c r="I15" s="106"/>
      <c r="J15" s="111"/>
      <c r="K15" s="111"/>
      <c r="L15" s="106"/>
      <c r="M15" s="111"/>
      <c r="N15" s="111"/>
      <c r="O15" s="106"/>
      <c r="P15" s="123"/>
      <c r="Q15" s="76"/>
      <c r="R15" s="76"/>
      <c r="S15" s="76"/>
      <c r="T15" s="76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</row>
    <row r="16" spans="1:32" s="63" customFormat="1" ht="15" customHeight="1">
      <c r="A16" s="96" t="s">
        <v>14</v>
      </c>
      <c r="B16" s="192">
        <f ca="1">IF((ISNUMBER('FIRE0508d raw'!B16)),ROUND('FIRE0508d raw'!B16,0),"..")</f>
        <v>2</v>
      </c>
      <c r="C16" s="91"/>
      <c r="D16" s="192">
        <f ca="1">IF((ISNUMBER('FIRE0508d raw'!D16)),ROUND('FIRE0508d raw'!D16,0),"..")</f>
        <v>1</v>
      </c>
      <c r="E16" s="192">
        <f ca="1">IF((ISNUMBER('FIRE0508d raw'!E16)),ROUND('FIRE0508d raw'!E16,0),"..")</f>
        <v>1</v>
      </c>
      <c r="F16" s="91"/>
      <c r="G16" s="192">
        <f ca="1">IF((ISNUMBER('FIRE0508d raw'!G16)),ROUND('FIRE0508d raw'!G16,0),"..")</f>
        <v>0</v>
      </c>
      <c r="H16" s="96"/>
      <c r="I16" s="106"/>
      <c r="J16" s="111"/>
      <c r="K16" s="111"/>
      <c r="L16" s="106"/>
      <c r="M16" s="111"/>
      <c r="N16" s="111"/>
      <c r="O16" s="106"/>
      <c r="P16" s="123"/>
      <c r="Q16" s="76"/>
      <c r="R16" s="76"/>
      <c r="S16" s="76"/>
      <c r="T16" s="76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</row>
    <row r="17" spans="1:32" s="63" customFormat="1" ht="15" customHeight="1">
      <c r="A17" s="96" t="s">
        <v>15</v>
      </c>
      <c r="B17" s="192">
        <f ca="1">IF((ISNUMBER('FIRE0508d raw'!B17)),ROUND('FIRE0508d raw'!B17,0),"..")</f>
        <v>14</v>
      </c>
      <c r="C17" s="91"/>
      <c r="D17" s="192">
        <f ca="1">IF((ISNUMBER('FIRE0508d raw'!D17)),ROUND('FIRE0508d raw'!D17,0),"..")</f>
        <v>2</v>
      </c>
      <c r="E17" s="192">
        <f ca="1">IF((ISNUMBER('FIRE0508d raw'!E17)),ROUND('FIRE0508d raw'!E17,0),"..")</f>
        <v>2</v>
      </c>
      <c r="F17" s="91"/>
      <c r="G17" s="192">
        <f ca="1">IF((ISNUMBER('FIRE0508d raw'!G17)),ROUND('FIRE0508d raw'!G17,0),"..")</f>
        <v>0</v>
      </c>
      <c r="H17" s="96"/>
      <c r="I17" s="106"/>
      <c r="J17" s="111"/>
      <c r="K17" s="111"/>
      <c r="L17" s="106"/>
      <c r="M17" s="111"/>
      <c r="N17" s="111"/>
      <c r="O17" s="106"/>
      <c r="P17" s="123"/>
      <c r="Q17" s="76"/>
      <c r="R17" s="76"/>
      <c r="S17" s="76"/>
      <c r="T17" s="76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</row>
    <row r="18" spans="1:32" s="63" customFormat="1" ht="15" customHeight="1">
      <c r="A18" s="105" t="s">
        <v>16</v>
      </c>
      <c r="B18" s="192">
        <f ca="1">IF((ISNUMBER('FIRE0508d raw'!B18)),ROUND('FIRE0508d raw'!B18,0),"..")</f>
        <v>5</v>
      </c>
      <c r="C18" s="91"/>
      <c r="D18" s="192">
        <f ca="1">IF((ISNUMBER('FIRE0508d raw'!D18)),ROUND('FIRE0508d raw'!D18,0),"..")</f>
        <v>1</v>
      </c>
      <c r="E18" s="192">
        <f ca="1">IF((ISNUMBER('FIRE0508d raw'!E18)),ROUND('FIRE0508d raw'!E18,0),"..")</f>
        <v>0</v>
      </c>
      <c r="F18" s="91"/>
      <c r="G18" s="192">
        <f ca="1">IF((ISNUMBER('FIRE0508d raw'!G18)),ROUND('FIRE0508d raw'!G18,0),"..")</f>
        <v>0</v>
      </c>
      <c r="H18" s="96"/>
      <c r="I18" s="106"/>
      <c r="J18" s="111"/>
      <c r="K18" s="111"/>
      <c r="L18" s="106"/>
      <c r="M18" s="111"/>
      <c r="N18" s="111"/>
      <c r="O18" s="106"/>
      <c r="P18" s="123"/>
      <c r="Q18" s="76"/>
      <c r="R18" s="76"/>
      <c r="S18" s="76"/>
      <c r="T18" s="76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</row>
    <row r="19" spans="1:32" s="63" customFormat="1" ht="15" customHeight="1">
      <c r="A19" s="105" t="s">
        <v>17</v>
      </c>
      <c r="B19" s="192">
        <f ca="1">IF((ISNUMBER('FIRE0508d raw'!B19)),ROUND('FIRE0508d raw'!B19,0),"..")</f>
        <v>5</v>
      </c>
      <c r="C19" s="91"/>
      <c r="D19" s="192">
        <f ca="1">IF((ISNUMBER('FIRE0508d raw'!D19)),ROUND('FIRE0508d raw'!D19,0),"..")</f>
        <v>0</v>
      </c>
      <c r="E19" s="192">
        <f ca="1">IF((ISNUMBER('FIRE0508d raw'!E19)),ROUND('FIRE0508d raw'!E19,0),"..")</f>
        <v>0</v>
      </c>
      <c r="F19" s="91"/>
      <c r="G19" s="192">
        <f ca="1">IF((ISNUMBER('FIRE0508d raw'!G19)),ROUND('FIRE0508d raw'!G19,0),"..")</f>
        <v>0</v>
      </c>
      <c r="H19" s="96"/>
      <c r="I19" s="106"/>
      <c r="J19" s="111"/>
      <c r="K19" s="111"/>
      <c r="L19" s="106"/>
      <c r="M19" s="111"/>
      <c r="N19" s="111"/>
      <c r="O19" s="106"/>
      <c r="P19" s="123"/>
      <c r="Q19" s="76"/>
      <c r="R19" s="76"/>
      <c r="S19" s="76"/>
      <c r="T19" s="76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</row>
    <row r="20" spans="1:32" s="63" customFormat="1" ht="15" customHeight="1">
      <c r="A20" s="96" t="s">
        <v>18</v>
      </c>
      <c r="B20" s="192">
        <f ca="1">IF((ISNUMBER('FIRE0508d raw'!B20)),ROUND('FIRE0508d raw'!B20,0),"..")</f>
        <v>6</v>
      </c>
      <c r="C20" s="91"/>
      <c r="D20" s="192">
        <f ca="1">IF((ISNUMBER('FIRE0508d raw'!D20)),ROUND('FIRE0508d raw'!D20,0),"..")</f>
        <v>1</v>
      </c>
      <c r="E20" s="192">
        <f ca="1">IF((ISNUMBER('FIRE0508d raw'!E20)),ROUND('FIRE0508d raw'!E20,0),"..")</f>
        <v>0</v>
      </c>
      <c r="F20" s="91"/>
      <c r="G20" s="192">
        <f ca="1">IF((ISNUMBER('FIRE0508d raw'!G20)),ROUND('FIRE0508d raw'!G20,0),"..")</f>
        <v>0</v>
      </c>
      <c r="H20" s="96"/>
      <c r="I20" s="106"/>
      <c r="J20" s="111"/>
      <c r="K20" s="111"/>
      <c r="L20" s="106"/>
      <c r="M20" s="111"/>
      <c r="N20" s="111"/>
      <c r="O20" s="106"/>
      <c r="P20" s="123"/>
      <c r="Q20" s="76"/>
      <c r="R20" s="76"/>
      <c r="S20" s="76"/>
      <c r="T20" s="76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</row>
    <row r="21" spans="1:32" s="63" customFormat="1" ht="15" customHeight="1">
      <c r="A21" s="96" t="s">
        <v>125</v>
      </c>
      <c r="B21" s="192">
        <f ca="1">IF((ISNUMBER('FIRE0508d raw'!B21)),ROUND('FIRE0508d raw'!B21,0),"..")</f>
        <v>13</v>
      </c>
      <c r="C21" s="91"/>
      <c r="D21" s="192">
        <f ca="1">IF((ISNUMBER('FIRE0508d raw'!D21)),ROUND('FIRE0508d raw'!D21,0),"..")</f>
        <v>0</v>
      </c>
      <c r="E21" s="192">
        <f ca="1">IF((ISNUMBER('FIRE0508d raw'!E21)),ROUND('FIRE0508d raw'!E21,0),"..")</f>
        <v>0</v>
      </c>
      <c r="F21" s="91"/>
      <c r="G21" s="192">
        <f ca="1">IF((ISNUMBER('FIRE0508d raw'!G21)),ROUND('FIRE0508d raw'!G21,0),"..")</f>
        <v>0</v>
      </c>
      <c r="H21" s="96"/>
      <c r="I21" s="106"/>
      <c r="J21" s="111"/>
      <c r="K21" s="111"/>
      <c r="L21" s="106"/>
      <c r="M21" s="111"/>
      <c r="N21" s="111"/>
      <c r="O21" s="106"/>
      <c r="P21" s="123"/>
      <c r="Q21" s="76"/>
      <c r="R21" s="76"/>
      <c r="S21" s="76"/>
      <c r="T21" s="76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</row>
    <row r="22" spans="1:32" s="63" customFormat="1" ht="15" customHeight="1">
      <c r="A22" s="96" t="s">
        <v>19</v>
      </c>
      <c r="B22" s="192" t="str">
        <f ca="1">IF((ISNUMBER('FIRE0508d raw'!B22)),ROUND('FIRE0508d raw'!B22,0),"..")</f>
        <v>..</v>
      </c>
      <c r="C22" s="91"/>
      <c r="D22" s="192" t="str">
        <f ca="1">IF((ISNUMBER('FIRE0508d raw'!D22)),ROUND('FIRE0508d raw'!D22,0),"..")</f>
        <v>..</v>
      </c>
      <c r="E22" s="192" t="str">
        <f ca="1">IF((ISNUMBER('FIRE0508d raw'!E22)),ROUND('FIRE0508d raw'!E22,0),"..")</f>
        <v>..</v>
      </c>
      <c r="F22" s="91"/>
      <c r="G22" s="192" t="str">
        <f ca="1">IF((ISNUMBER('FIRE0508d raw'!G22)),ROUND('FIRE0508d raw'!G22,0),"..")</f>
        <v>..</v>
      </c>
      <c r="H22" s="96"/>
      <c r="I22" s="106"/>
      <c r="J22" s="111"/>
      <c r="K22" s="111"/>
      <c r="L22" s="106"/>
      <c r="M22" s="111"/>
      <c r="N22" s="111"/>
      <c r="O22" s="106"/>
      <c r="P22" s="123"/>
      <c r="Q22" s="76"/>
      <c r="R22" s="76"/>
      <c r="S22" s="76"/>
      <c r="T22" s="76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</row>
    <row r="23" spans="1:32" s="63" customFormat="1" ht="15" customHeight="1">
      <c r="A23" s="96" t="s">
        <v>20</v>
      </c>
      <c r="B23" s="192">
        <f ca="1">IF((ISNUMBER('FIRE0508d raw'!B23)),ROUND('FIRE0508d raw'!B23,0),"..")</f>
        <v>3</v>
      </c>
      <c r="C23" s="91"/>
      <c r="D23" s="192">
        <f ca="1">IF((ISNUMBER('FIRE0508d raw'!D23)),ROUND('FIRE0508d raw'!D23,0),"..")</f>
        <v>0</v>
      </c>
      <c r="E23" s="192">
        <f ca="1">IF((ISNUMBER('FIRE0508d raw'!E23)),ROUND('FIRE0508d raw'!E23,0),"..")</f>
        <v>0</v>
      </c>
      <c r="F23" s="91"/>
      <c r="G23" s="192">
        <f ca="1">IF((ISNUMBER('FIRE0508d raw'!G23)),ROUND('FIRE0508d raw'!G23,0),"..")</f>
        <v>0</v>
      </c>
      <c r="H23" s="96"/>
      <c r="I23" s="106"/>
      <c r="J23" s="111"/>
      <c r="K23" s="111"/>
      <c r="L23" s="106"/>
      <c r="M23" s="111"/>
      <c r="N23" s="111"/>
      <c r="O23" s="106"/>
      <c r="P23" s="123"/>
      <c r="Q23" s="76"/>
      <c r="R23" s="76"/>
      <c r="S23" s="76"/>
      <c r="T23" s="76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</row>
    <row r="24" spans="1:32" s="63" customFormat="1" ht="15" customHeight="1">
      <c r="A24" s="96" t="s">
        <v>21</v>
      </c>
      <c r="B24" s="192">
        <f ca="1">IF((ISNUMBER('FIRE0508d raw'!B24)),ROUND('FIRE0508d raw'!B24,0),"..")</f>
        <v>20</v>
      </c>
      <c r="C24" s="91"/>
      <c r="D24" s="192">
        <f ca="1">IF((ISNUMBER('FIRE0508d raw'!D24)),ROUND('FIRE0508d raw'!D24,0),"..")</f>
        <v>3</v>
      </c>
      <c r="E24" s="192">
        <f ca="1">IF((ISNUMBER('FIRE0508d raw'!E24)),ROUND('FIRE0508d raw'!E24,0),"..")</f>
        <v>2</v>
      </c>
      <c r="F24" s="91"/>
      <c r="G24" s="192">
        <f ca="1">IF((ISNUMBER('FIRE0508d raw'!G24)),ROUND('FIRE0508d raw'!G24,0),"..")</f>
        <v>0</v>
      </c>
      <c r="H24" s="96"/>
      <c r="I24" s="106"/>
      <c r="J24" s="111"/>
      <c r="K24" s="111"/>
      <c r="L24" s="106"/>
      <c r="M24" s="111"/>
      <c r="N24" s="111"/>
      <c r="O24" s="106"/>
      <c r="P24" s="123"/>
      <c r="Q24" s="76"/>
      <c r="R24" s="76"/>
      <c r="S24" s="76"/>
      <c r="T24" s="76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</row>
    <row r="25" spans="1:32" s="63" customFormat="1" ht="15" customHeight="1">
      <c r="A25" s="96" t="s">
        <v>22</v>
      </c>
      <c r="B25" s="192">
        <f ca="1">IF((ISNUMBER('FIRE0508d raw'!B25)),ROUND('FIRE0508d raw'!B25,0),"..")</f>
        <v>19</v>
      </c>
      <c r="C25" s="91"/>
      <c r="D25" s="192">
        <f ca="1">IF((ISNUMBER('FIRE0508d raw'!D25)),ROUND('FIRE0508d raw'!D25,0),"..")</f>
        <v>1</v>
      </c>
      <c r="E25" s="192">
        <f ca="1">IF((ISNUMBER('FIRE0508d raw'!E25)),ROUND('FIRE0508d raw'!E25,0),"..")</f>
        <v>0</v>
      </c>
      <c r="F25" s="91"/>
      <c r="G25" s="192">
        <f ca="1">IF((ISNUMBER('FIRE0508d raw'!G25)),ROUND('FIRE0508d raw'!G25,0),"..")</f>
        <v>0</v>
      </c>
      <c r="H25" s="96"/>
      <c r="I25" s="106"/>
      <c r="J25" s="111"/>
      <c r="K25" s="111"/>
      <c r="L25" s="106"/>
      <c r="M25" s="111"/>
      <c r="N25" s="111"/>
      <c r="O25" s="106"/>
      <c r="P25" s="123"/>
      <c r="Q25" s="76"/>
      <c r="R25" s="76"/>
      <c r="S25" s="76"/>
      <c r="T25" s="76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1:32" s="63" customFormat="1" ht="15" customHeight="1">
      <c r="A26" s="96" t="s">
        <v>23</v>
      </c>
      <c r="B26" s="192">
        <f ca="1">IF((ISNUMBER('FIRE0508d raw'!B26)),ROUND('FIRE0508d raw'!B26,0),"..")</f>
        <v>10</v>
      </c>
      <c r="C26" s="91"/>
      <c r="D26" s="192">
        <f ca="1">IF((ISNUMBER('FIRE0508d raw'!D26)),ROUND('FIRE0508d raw'!D26,0),"..")</f>
        <v>0</v>
      </c>
      <c r="E26" s="192">
        <f ca="1">IF((ISNUMBER('FIRE0508d raw'!E26)),ROUND('FIRE0508d raw'!E26,0),"..")</f>
        <v>0</v>
      </c>
      <c r="F26" s="91"/>
      <c r="G26" s="192">
        <f ca="1">IF((ISNUMBER('FIRE0508d raw'!G26)),ROUND('FIRE0508d raw'!G26,0),"..")</f>
        <v>0</v>
      </c>
      <c r="H26" s="96"/>
      <c r="I26" s="106"/>
      <c r="J26" s="111"/>
      <c r="K26" s="111"/>
      <c r="L26" s="106"/>
      <c r="M26" s="111"/>
      <c r="N26" s="111"/>
      <c r="O26" s="106"/>
      <c r="P26" s="123"/>
      <c r="Q26" s="76"/>
      <c r="R26" s="76"/>
      <c r="S26" s="76"/>
      <c r="T26" s="76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1:32" s="63" customFormat="1" ht="15" customHeight="1">
      <c r="A27" s="96" t="s">
        <v>24</v>
      </c>
      <c r="B27" s="192">
        <f ca="1">IF((ISNUMBER('FIRE0508d raw'!B27)),ROUND('FIRE0508d raw'!B27,0),"..")</f>
        <v>14</v>
      </c>
      <c r="C27" s="91"/>
      <c r="D27" s="192">
        <f ca="1">IF((ISNUMBER('FIRE0508d raw'!D27)),ROUND('FIRE0508d raw'!D27,0),"..")</f>
        <v>0</v>
      </c>
      <c r="E27" s="192">
        <f ca="1">IF((ISNUMBER('FIRE0508d raw'!E27)),ROUND('FIRE0508d raw'!E27,0),"..")</f>
        <v>0</v>
      </c>
      <c r="F27" s="91"/>
      <c r="G27" s="192">
        <f ca="1">IF((ISNUMBER('FIRE0508d raw'!G27)),ROUND('FIRE0508d raw'!G27,0),"..")</f>
        <v>0</v>
      </c>
      <c r="H27" s="96"/>
      <c r="I27" s="106"/>
      <c r="J27" s="111"/>
      <c r="K27" s="111"/>
      <c r="L27" s="106"/>
      <c r="M27" s="111"/>
      <c r="N27" s="111"/>
      <c r="O27" s="106"/>
      <c r="P27" s="123"/>
      <c r="Q27" s="76"/>
      <c r="R27" s="76"/>
      <c r="S27" s="76"/>
      <c r="T27" s="76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1:32" s="63" customFormat="1" ht="15" customHeight="1">
      <c r="A28" s="96" t="s">
        <v>25</v>
      </c>
      <c r="B28" s="192">
        <f ca="1">IF((ISNUMBER('FIRE0508d raw'!B28)),ROUND('FIRE0508d raw'!B28,0),"..")</f>
        <v>7</v>
      </c>
      <c r="C28" s="91"/>
      <c r="D28" s="192">
        <f ca="1">IF((ISNUMBER('FIRE0508d raw'!D28)),ROUND('FIRE0508d raw'!D28,0),"..")</f>
        <v>0</v>
      </c>
      <c r="E28" s="192">
        <f ca="1">IF((ISNUMBER('FIRE0508d raw'!E28)),ROUND('FIRE0508d raw'!E28,0),"..")</f>
        <v>0</v>
      </c>
      <c r="F28" s="91"/>
      <c r="G28" s="192">
        <f ca="1">IF((ISNUMBER('FIRE0508d raw'!G28)),ROUND('FIRE0508d raw'!G28,0),"..")</f>
        <v>0</v>
      </c>
      <c r="H28" s="96"/>
      <c r="I28" s="106"/>
      <c r="J28" s="111"/>
      <c r="K28" s="111"/>
      <c r="L28" s="106"/>
      <c r="M28" s="111"/>
      <c r="N28" s="111"/>
      <c r="O28" s="106"/>
      <c r="P28" s="123"/>
      <c r="Q28" s="76"/>
      <c r="R28" s="76"/>
      <c r="S28" s="76"/>
      <c r="T28" s="76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</row>
    <row r="29" spans="1:32" s="63" customFormat="1" ht="15" customHeight="1">
      <c r="A29" s="96" t="s">
        <v>26</v>
      </c>
      <c r="B29" s="192">
        <f ca="1">IF((ISNUMBER('FIRE0508d raw'!B29)),ROUND('FIRE0508d raw'!B29,0),"..")</f>
        <v>19</v>
      </c>
      <c r="C29" s="91"/>
      <c r="D29" s="192">
        <f ca="1">IF((ISNUMBER('FIRE0508d raw'!D29)),ROUND('FIRE0508d raw'!D29,0),"..")</f>
        <v>3</v>
      </c>
      <c r="E29" s="192">
        <f ca="1">IF((ISNUMBER('FIRE0508d raw'!E29)),ROUND('FIRE0508d raw'!E29,0),"..")</f>
        <v>0</v>
      </c>
      <c r="F29" s="91"/>
      <c r="G29" s="192">
        <f ca="1">IF((ISNUMBER('FIRE0508d raw'!G29)),ROUND('FIRE0508d raw'!G29,0),"..")</f>
        <v>0</v>
      </c>
      <c r="H29" s="96"/>
      <c r="I29" s="106"/>
      <c r="J29" s="111"/>
      <c r="K29" s="111"/>
      <c r="L29" s="106"/>
      <c r="M29" s="111"/>
      <c r="N29" s="111"/>
      <c r="O29" s="106"/>
      <c r="P29" s="123"/>
      <c r="Q29" s="76"/>
      <c r="R29" s="76"/>
      <c r="S29" s="76"/>
      <c r="T29" s="76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</row>
    <row r="30" spans="1:32" s="63" customFormat="1" ht="15" customHeight="1">
      <c r="A30" s="96" t="s">
        <v>27</v>
      </c>
      <c r="B30" s="192">
        <f ca="1">IF((ISNUMBER('FIRE0508d raw'!B30)),ROUND('FIRE0508d raw'!B30,0),"..")</f>
        <v>15</v>
      </c>
      <c r="C30" s="91"/>
      <c r="D30" s="192">
        <f ca="1">IF((ISNUMBER('FIRE0508d raw'!D30)),ROUND('FIRE0508d raw'!D30,0),"..")</f>
        <v>2</v>
      </c>
      <c r="E30" s="192">
        <f ca="1">IF((ISNUMBER('FIRE0508d raw'!E30)),ROUND('FIRE0508d raw'!E30,0),"..")</f>
        <v>0</v>
      </c>
      <c r="F30" s="91"/>
      <c r="G30" s="192">
        <f ca="1">IF((ISNUMBER('FIRE0508d raw'!G30)),ROUND('FIRE0508d raw'!G30,0),"..")</f>
        <v>0</v>
      </c>
      <c r="H30" s="96"/>
      <c r="I30" s="106"/>
      <c r="J30" s="111"/>
      <c r="K30" s="111"/>
      <c r="L30" s="106"/>
      <c r="M30" s="111"/>
      <c r="N30" s="111"/>
      <c r="O30" s="106"/>
      <c r="P30" s="123"/>
      <c r="Q30" s="76"/>
      <c r="R30" s="76"/>
      <c r="S30" s="76"/>
      <c r="T30" s="76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</row>
    <row r="31" spans="1:32" s="63" customFormat="1" ht="15" customHeight="1">
      <c r="A31" s="106" t="s">
        <v>28</v>
      </c>
      <c r="B31" s="192">
        <f ca="1">IF((ISNUMBER('FIRE0508d raw'!B31)),ROUND('FIRE0508d raw'!B31,0),"..")</f>
        <v>2</v>
      </c>
      <c r="C31" s="91"/>
      <c r="D31" s="192">
        <f ca="1">IF((ISNUMBER('FIRE0508d raw'!D31)),ROUND('FIRE0508d raw'!D31,0),"..")</f>
        <v>1</v>
      </c>
      <c r="E31" s="192">
        <f ca="1">IF((ISNUMBER('FIRE0508d raw'!E31)),ROUND('FIRE0508d raw'!E31,0),"..")</f>
        <v>0</v>
      </c>
      <c r="F31" s="91"/>
      <c r="G31" s="192">
        <f ca="1">IF((ISNUMBER('FIRE0508d raw'!G31)),ROUND('FIRE0508d raw'!G31,0),"..")</f>
        <v>0</v>
      </c>
      <c r="H31" s="96"/>
      <c r="I31" s="106"/>
      <c r="J31" s="111"/>
      <c r="K31" s="111"/>
      <c r="L31" s="106"/>
      <c r="M31" s="111"/>
      <c r="N31" s="111"/>
      <c r="O31" s="106"/>
      <c r="P31" s="123"/>
      <c r="Q31" s="76"/>
      <c r="R31" s="76"/>
      <c r="S31" s="76"/>
      <c r="T31" s="76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</row>
    <row r="32" spans="1:32" s="63" customFormat="1" ht="15" customHeight="1">
      <c r="A32" s="106" t="s">
        <v>29</v>
      </c>
      <c r="B32" s="192">
        <f ca="1">IF((ISNUMBER('FIRE0508d raw'!B32)),ROUND('FIRE0508d raw'!B32,0),"..")</f>
        <v>11</v>
      </c>
      <c r="C32" s="91"/>
      <c r="D32" s="192">
        <f ca="1">IF((ISNUMBER('FIRE0508d raw'!D32)),ROUND('FIRE0508d raw'!D32,0),"..")</f>
        <v>2</v>
      </c>
      <c r="E32" s="192">
        <f ca="1">IF((ISNUMBER('FIRE0508d raw'!E32)),ROUND('FIRE0508d raw'!E32,0),"..")</f>
        <v>1</v>
      </c>
      <c r="F32" s="91"/>
      <c r="G32" s="192">
        <f ca="1">IF((ISNUMBER('FIRE0508d raw'!G32)),ROUND('FIRE0508d raw'!G32,0),"..")</f>
        <v>0</v>
      </c>
      <c r="H32" s="96"/>
      <c r="I32" s="106"/>
      <c r="J32" s="111"/>
      <c r="K32" s="111"/>
      <c r="L32" s="106"/>
      <c r="M32" s="111"/>
      <c r="N32" s="111"/>
      <c r="O32" s="106"/>
      <c r="P32" s="123"/>
      <c r="Q32" s="76"/>
      <c r="R32" s="76"/>
      <c r="S32" s="76"/>
      <c r="T32" s="76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</row>
    <row r="33" spans="1:32" s="63" customFormat="1" ht="15" customHeight="1">
      <c r="A33" s="96" t="s">
        <v>30</v>
      </c>
      <c r="B33" s="192">
        <f ca="1">IF((ISNUMBER('FIRE0508d raw'!B33)),ROUND('FIRE0508d raw'!B33,0),"..")</f>
        <v>17</v>
      </c>
      <c r="C33" s="91"/>
      <c r="D33" s="192">
        <f ca="1">IF((ISNUMBER('FIRE0508d raw'!D33)),ROUND('FIRE0508d raw'!D33,0),"..")</f>
        <v>6</v>
      </c>
      <c r="E33" s="192">
        <f ca="1">IF((ISNUMBER('FIRE0508d raw'!E33)),ROUND('FIRE0508d raw'!E33,0),"..")</f>
        <v>1</v>
      </c>
      <c r="F33" s="91"/>
      <c r="G33" s="192">
        <f ca="1">IF((ISNUMBER('FIRE0508d raw'!G33)),ROUND('FIRE0508d raw'!G33,0),"..")</f>
        <v>0</v>
      </c>
      <c r="H33" s="96"/>
      <c r="I33" s="106"/>
      <c r="J33" s="111"/>
      <c r="K33" s="111"/>
      <c r="L33" s="106"/>
      <c r="M33" s="111"/>
      <c r="N33" s="111"/>
      <c r="O33" s="106"/>
      <c r="P33" s="123"/>
      <c r="Q33" s="76"/>
      <c r="R33" s="76"/>
      <c r="S33" s="76"/>
      <c r="T33" s="76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</row>
    <row r="34" spans="1:32" s="63" customFormat="1" ht="15" customHeight="1">
      <c r="A34" s="106" t="s">
        <v>31</v>
      </c>
      <c r="B34" s="192">
        <f ca="1">IF((ISNUMBER('FIRE0508d raw'!B34)),ROUND('FIRE0508d raw'!B34,0),"..")</f>
        <v>16</v>
      </c>
      <c r="C34" s="91"/>
      <c r="D34" s="192">
        <f ca="1">IF((ISNUMBER('FIRE0508d raw'!D34)),ROUND('FIRE0508d raw'!D34,0),"..")</f>
        <v>4</v>
      </c>
      <c r="E34" s="192">
        <f ca="1">IF((ISNUMBER('FIRE0508d raw'!E34)),ROUND('FIRE0508d raw'!E34,0),"..")</f>
        <v>2</v>
      </c>
      <c r="F34" s="91"/>
      <c r="G34" s="192">
        <f ca="1">IF((ISNUMBER('FIRE0508d raw'!G34)),ROUND('FIRE0508d raw'!G34,0),"..")</f>
        <v>0</v>
      </c>
      <c r="H34" s="96"/>
      <c r="I34" s="106"/>
      <c r="J34" s="111"/>
      <c r="K34" s="111"/>
      <c r="L34" s="106"/>
      <c r="M34" s="111"/>
      <c r="N34" s="111"/>
      <c r="O34" s="106"/>
      <c r="P34" s="123"/>
      <c r="Q34" s="76"/>
      <c r="R34" s="76"/>
      <c r="S34" s="76"/>
      <c r="T34" s="76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</row>
    <row r="35" spans="1:32" s="63" customFormat="1" ht="15" customHeight="1">
      <c r="A35" s="106" t="s">
        <v>32</v>
      </c>
      <c r="B35" s="192">
        <f ca="1">IF((ISNUMBER('FIRE0508d raw'!B35)),ROUND('FIRE0508d raw'!B35,0),"..")</f>
        <v>10</v>
      </c>
      <c r="C35" s="91"/>
      <c r="D35" s="192">
        <f ca="1">IF((ISNUMBER('FIRE0508d raw'!D35)),ROUND('FIRE0508d raw'!D35,0),"..")</f>
        <v>2</v>
      </c>
      <c r="E35" s="192">
        <f ca="1">IF((ISNUMBER('FIRE0508d raw'!E35)),ROUND('FIRE0508d raw'!E35,0),"..")</f>
        <v>0</v>
      </c>
      <c r="F35" s="91"/>
      <c r="G35" s="192">
        <f ca="1">IF((ISNUMBER('FIRE0508d raw'!G35)),ROUND('FIRE0508d raw'!G35,0),"..")</f>
        <v>0</v>
      </c>
      <c r="H35" s="96"/>
      <c r="I35" s="106"/>
      <c r="J35" s="111"/>
      <c r="K35" s="111"/>
      <c r="L35" s="106"/>
      <c r="M35" s="111"/>
      <c r="N35" s="111"/>
      <c r="O35" s="106"/>
      <c r="P35" s="123"/>
      <c r="Q35" s="76"/>
      <c r="R35" s="76"/>
      <c r="S35" s="76"/>
      <c r="T35" s="76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</row>
    <row r="36" spans="1:32" s="63" customFormat="1" ht="15" customHeight="1">
      <c r="A36" s="96" t="s">
        <v>33</v>
      </c>
      <c r="B36" s="192">
        <f ca="1">IF((ISNUMBER('FIRE0508d raw'!B36)),ROUND('FIRE0508d raw'!B36,0),"..")</f>
        <v>16</v>
      </c>
      <c r="C36" s="91"/>
      <c r="D36" s="192">
        <f ca="1">IF((ISNUMBER('FIRE0508d raw'!D36)),ROUND('FIRE0508d raw'!D36,0),"..")</f>
        <v>1</v>
      </c>
      <c r="E36" s="192">
        <f ca="1">IF((ISNUMBER('FIRE0508d raw'!E36)),ROUND('FIRE0508d raw'!E36,0),"..")</f>
        <v>0</v>
      </c>
      <c r="F36" s="91"/>
      <c r="G36" s="192">
        <f ca="1">IF((ISNUMBER('FIRE0508d raw'!G36)),ROUND('FIRE0508d raw'!G36,0),"..")</f>
        <v>0</v>
      </c>
      <c r="H36" s="96"/>
      <c r="I36" s="106"/>
      <c r="J36" s="111"/>
      <c r="K36" s="111"/>
      <c r="L36" s="106"/>
      <c r="M36" s="111"/>
      <c r="N36" s="111"/>
      <c r="O36" s="106"/>
      <c r="P36" s="123"/>
      <c r="Q36" s="76"/>
      <c r="R36" s="76"/>
      <c r="S36" s="76"/>
      <c r="T36" s="76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</row>
    <row r="37" spans="1:32" s="63" customFormat="1" ht="15" customHeight="1">
      <c r="A37" s="106" t="s">
        <v>34</v>
      </c>
      <c r="B37" s="192">
        <f ca="1">IF((ISNUMBER('FIRE0508d raw'!B37)),ROUND('FIRE0508d raw'!B37,0),"..")</f>
        <v>22</v>
      </c>
      <c r="C37" s="91"/>
      <c r="D37" s="192">
        <f ca="1">IF((ISNUMBER('FIRE0508d raw'!D37)),ROUND('FIRE0508d raw'!D37,0),"..")</f>
        <v>4</v>
      </c>
      <c r="E37" s="192">
        <f ca="1">IF((ISNUMBER('FIRE0508d raw'!E37)),ROUND('FIRE0508d raw'!E37,0),"..")</f>
        <v>2</v>
      </c>
      <c r="F37" s="91"/>
      <c r="G37" s="192">
        <f ca="1">IF((ISNUMBER('FIRE0508d raw'!G37)),ROUND('FIRE0508d raw'!G37,0),"..")</f>
        <v>0</v>
      </c>
      <c r="H37" s="96"/>
      <c r="I37" s="106"/>
      <c r="J37" s="111"/>
      <c r="K37" s="111"/>
      <c r="L37" s="106"/>
      <c r="M37" s="111"/>
      <c r="N37" s="111"/>
      <c r="O37" s="106"/>
      <c r="P37" s="123"/>
      <c r="Q37" s="76"/>
      <c r="R37" s="76"/>
      <c r="S37" s="76"/>
      <c r="T37" s="76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</row>
    <row r="38" spans="1:32" s="63" customFormat="1" ht="15" customHeight="1">
      <c r="A38" s="106" t="s">
        <v>35</v>
      </c>
      <c r="B38" s="192">
        <f ca="1">IF((ISNUMBER('FIRE0508d raw'!B38)),ROUND('FIRE0508d raw'!B38,0),"..")</f>
        <v>13</v>
      </c>
      <c r="C38" s="91"/>
      <c r="D38" s="192">
        <f ca="1">IF((ISNUMBER('FIRE0508d raw'!D38)),ROUND('FIRE0508d raw'!D38,0),"..")</f>
        <v>3</v>
      </c>
      <c r="E38" s="192">
        <f ca="1">IF((ISNUMBER('FIRE0508d raw'!E38)),ROUND('FIRE0508d raw'!E38,0),"..")</f>
        <v>0</v>
      </c>
      <c r="F38" s="91"/>
      <c r="G38" s="192">
        <f ca="1">IF((ISNUMBER('FIRE0508d raw'!G38)),ROUND('FIRE0508d raw'!G38,0),"..")</f>
        <v>0</v>
      </c>
      <c r="H38" s="96"/>
      <c r="I38" s="106"/>
      <c r="J38" s="111"/>
      <c r="K38" s="111"/>
      <c r="L38" s="106"/>
      <c r="M38" s="111"/>
      <c r="N38" s="111"/>
      <c r="O38" s="106"/>
      <c r="P38" s="123"/>
      <c r="Q38" s="76"/>
      <c r="R38" s="76"/>
      <c r="S38" s="76"/>
      <c r="T38" s="76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</row>
    <row r="39" spans="1:32" s="63" customFormat="1" ht="15" customHeight="1">
      <c r="A39" s="106" t="s">
        <v>36</v>
      </c>
      <c r="B39" s="192">
        <f ca="1">IF((ISNUMBER('FIRE0508d raw'!B39)),ROUND('FIRE0508d raw'!B39,0),"..")</f>
        <v>8</v>
      </c>
      <c r="C39" s="91"/>
      <c r="D39" s="192">
        <f ca="1">IF((ISNUMBER('FIRE0508d raw'!D39)),ROUND('FIRE0508d raw'!D39,0),"..")</f>
        <v>0</v>
      </c>
      <c r="E39" s="192">
        <f ca="1">IF((ISNUMBER('FIRE0508d raw'!E39)),ROUND('FIRE0508d raw'!E39,0),"..")</f>
        <v>0</v>
      </c>
      <c r="F39" s="91"/>
      <c r="G39" s="192">
        <f ca="1">IF((ISNUMBER('FIRE0508d raw'!G39)),ROUND('FIRE0508d raw'!G39,0),"..")</f>
        <v>0</v>
      </c>
      <c r="H39" s="96"/>
      <c r="I39" s="106"/>
      <c r="J39" s="111"/>
      <c r="K39" s="111"/>
      <c r="L39" s="106"/>
      <c r="M39" s="111"/>
      <c r="N39" s="111"/>
      <c r="O39" s="106"/>
      <c r="P39" s="123"/>
      <c r="Q39" s="76"/>
      <c r="R39" s="76"/>
      <c r="S39" s="76"/>
      <c r="T39" s="76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</row>
    <row r="40" spans="1:32" s="63" customFormat="1" ht="15" customHeight="1">
      <c r="A40" s="96" t="s">
        <v>37</v>
      </c>
      <c r="B40" s="192">
        <f ca="1">IF((ISNUMBER('FIRE0508d raw'!B40)),ROUND('FIRE0508d raw'!B40,0),"..")</f>
        <v>9</v>
      </c>
      <c r="C40" s="91"/>
      <c r="D40" s="192">
        <f ca="1">IF((ISNUMBER('FIRE0508d raw'!D40)),ROUND('FIRE0508d raw'!D40,0),"..")</f>
        <v>0</v>
      </c>
      <c r="E40" s="192">
        <f ca="1">IF((ISNUMBER('FIRE0508d raw'!E40)),ROUND('FIRE0508d raw'!E40,0),"..")</f>
        <v>0</v>
      </c>
      <c r="F40" s="91"/>
      <c r="G40" s="192">
        <f ca="1">IF((ISNUMBER('FIRE0508d raw'!G40)),ROUND('FIRE0508d raw'!G40,0),"..")</f>
        <v>0</v>
      </c>
      <c r="H40" s="96"/>
      <c r="I40" s="106"/>
      <c r="J40" s="111"/>
      <c r="K40" s="111"/>
      <c r="L40" s="106"/>
      <c r="M40" s="111"/>
      <c r="N40" s="111"/>
      <c r="O40" s="106"/>
      <c r="P40" s="123"/>
      <c r="Q40" s="76"/>
      <c r="R40" s="76"/>
      <c r="S40" s="76"/>
      <c r="T40" s="76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</row>
    <row r="41" spans="1:32" s="63" customFormat="1" ht="15" customHeight="1">
      <c r="A41" s="96" t="s">
        <v>38</v>
      </c>
      <c r="B41" s="192">
        <f ca="1">IF((ISNUMBER('FIRE0508d raw'!B41)),ROUND('FIRE0508d raw'!B41,0),"..")</f>
        <v>6</v>
      </c>
      <c r="C41" s="91"/>
      <c r="D41" s="192">
        <f ca="1">IF((ISNUMBER('FIRE0508d raw'!D41)),ROUND('FIRE0508d raw'!D41,0),"..")</f>
        <v>1</v>
      </c>
      <c r="E41" s="192">
        <f ca="1">IF((ISNUMBER('FIRE0508d raw'!E41)),ROUND('FIRE0508d raw'!E41,0),"..")</f>
        <v>0</v>
      </c>
      <c r="F41" s="91"/>
      <c r="G41" s="192">
        <f ca="1">IF((ISNUMBER('FIRE0508d raw'!G41)),ROUND('FIRE0508d raw'!G41,0),"..")</f>
        <v>0</v>
      </c>
      <c r="H41" s="96"/>
      <c r="I41" s="106"/>
      <c r="J41" s="111"/>
      <c r="K41" s="111"/>
      <c r="L41" s="106"/>
      <c r="M41" s="111"/>
      <c r="N41" s="111"/>
      <c r="O41" s="106"/>
      <c r="P41" s="123"/>
      <c r="Q41" s="76"/>
      <c r="R41" s="76"/>
      <c r="S41" s="76"/>
      <c r="T41" s="76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</row>
    <row r="42" spans="1:32" s="63" customFormat="1" ht="15" customHeight="1">
      <c r="A42" s="96" t="s">
        <v>39</v>
      </c>
      <c r="B42" s="192">
        <f ca="1">IF((ISNUMBER('FIRE0508d raw'!B42)),ROUND('FIRE0508d raw'!B42,0),"..")</f>
        <v>6</v>
      </c>
      <c r="C42" s="91"/>
      <c r="D42" s="192">
        <f ca="1">IF((ISNUMBER('FIRE0508d raw'!D42)),ROUND('FIRE0508d raw'!D42,0),"..")</f>
        <v>0</v>
      </c>
      <c r="E42" s="192">
        <f ca="1">IF((ISNUMBER('FIRE0508d raw'!E42)),ROUND('FIRE0508d raw'!E42,0),"..")</f>
        <v>1</v>
      </c>
      <c r="F42" s="91"/>
      <c r="G42" s="192">
        <f ca="1">IF((ISNUMBER('FIRE0508d raw'!G42)),ROUND('FIRE0508d raw'!G42,0),"..")</f>
        <v>0</v>
      </c>
      <c r="H42" s="96"/>
      <c r="I42" s="106"/>
      <c r="J42" s="111"/>
      <c r="K42" s="111"/>
      <c r="L42" s="106"/>
      <c r="M42" s="111"/>
      <c r="N42" s="111"/>
      <c r="O42" s="106"/>
      <c r="P42" s="123"/>
      <c r="Q42" s="76"/>
      <c r="R42" s="76"/>
      <c r="S42" s="76"/>
      <c r="T42" s="76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</row>
    <row r="43" spans="1:32" s="63" customFormat="1" ht="15" customHeight="1">
      <c r="A43" s="96" t="s">
        <v>40</v>
      </c>
      <c r="B43" s="192">
        <f ca="1">IF((ISNUMBER('FIRE0508d raw'!B43)),ROUND('FIRE0508d raw'!B43,0),"..")</f>
        <v>13</v>
      </c>
      <c r="C43" s="91"/>
      <c r="D43" s="192">
        <f ca="1">IF((ISNUMBER('FIRE0508d raw'!D43)),ROUND('FIRE0508d raw'!D43,0),"..")</f>
        <v>1</v>
      </c>
      <c r="E43" s="192">
        <f ca="1">IF((ISNUMBER('FIRE0508d raw'!E43)),ROUND('FIRE0508d raw'!E43,0),"..")</f>
        <v>0</v>
      </c>
      <c r="F43" s="91"/>
      <c r="G43" s="192">
        <f ca="1">IF((ISNUMBER('FIRE0508d raw'!G43)),ROUND('FIRE0508d raw'!G43,0),"..")</f>
        <v>0</v>
      </c>
      <c r="H43" s="96"/>
      <c r="I43" s="106"/>
      <c r="J43" s="111"/>
      <c r="K43" s="111"/>
      <c r="L43" s="106"/>
      <c r="M43" s="111"/>
      <c r="N43" s="111"/>
      <c r="O43" s="106"/>
      <c r="P43" s="123"/>
      <c r="Q43" s="76"/>
      <c r="R43" s="76"/>
      <c r="S43" s="76"/>
      <c r="T43" s="76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</row>
    <row r="44" spans="1:32" s="63" customFormat="1" ht="15" customHeight="1">
      <c r="A44" s="96" t="s">
        <v>41</v>
      </c>
      <c r="B44" s="192">
        <f ca="1">IF((ISNUMBER('FIRE0508d raw'!B44)),ROUND('FIRE0508d raw'!B44,0),"..")</f>
        <v>11</v>
      </c>
      <c r="C44" s="91"/>
      <c r="D44" s="192">
        <f ca="1">IF((ISNUMBER('FIRE0508d raw'!D44)),ROUND('FIRE0508d raw'!D44,0),"..")</f>
        <v>2</v>
      </c>
      <c r="E44" s="192">
        <f ca="1">IF((ISNUMBER('FIRE0508d raw'!E44)),ROUND('FIRE0508d raw'!E44,0),"..")</f>
        <v>0</v>
      </c>
      <c r="F44" s="91"/>
      <c r="G44" s="192">
        <f ca="1">IF((ISNUMBER('FIRE0508d raw'!G44)),ROUND('FIRE0508d raw'!G44,0),"..")</f>
        <v>0</v>
      </c>
      <c r="H44" s="96"/>
      <c r="I44" s="106"/>
      <c r="J44" s="111"/>
      <c r="K44" s="111"/>
      <c r="L44" s="106"/>
      <c r="M44" s="111"/>
      <c r="N44" s="111"/>
      <c r="O44" s="106"/>
      <c r="P44" s="123"/>
      <c r="Q44" s="76"/>
      <c r="R44" s="76"/>
      <c r="S44" s="76"/>
      <c r="T44" s="76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</row>
    <row r="45" spans="1:32" s="63" customFormat="1" ht="15" customHeight="1">
      <c r="A45" s="96" t="s">
        <v>42</v>
      </c>
      <c r="B45" s="192">
        <f ca="1">IF((ISNUMBER('FIRE0508d raw'!B45)),ROUND('FIRE0508d raw'!B45,0),"..")</f>
        <v>11</v>
      </c>
      <c r="C45" s="91"/>
      <c r="D45" s="192">
        <f ca="1">IF((ISNUMBER('FIRE0508d raw'!D45)),ROUND('FIRE0508d raw'!D45,0),"..")</f>
        <v>3</v>
      </c>
      <c r="E45" s="192">
        <f ca="1">IF((ISNUMBER('FIRE0508d raw'!E45)),ROUND('FIRE0508d raw'!E45,0),"..")</f>
        <v>0</v>
      </c>
      <c r="F45" s="91"/>
      <c r="G45" s="192">
        <f ca="1">IF((ISNUMBER('FIRE0508d raw'!G45)),ROUND('FIRE0508d raw'!G45,0),"..")</f>
        <v>0</v>
      </c>
      <c r="H45" s="96"/>
      <c r="I45" s="106"/>
      <c r="J45" s="111"/>
      <c r="K45" s="111"/>
      <c r="L45" s="106"/>
      <c r="M45" s="111"/>
      <c r="N45" s="111"/>
      <c r="O45" s="106"/>
      <c r="P45" s="123"/>
      <c r="Q45" s="76"/>
      <c r="R45" s="76"/>
      <c r="S45" s="76"/>
      <c r="T45" s="76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</row>
    <row r="46" spans="1:32" s="63" customFormat="1" ht="15" customHeight="1">
      <c r="A46" s="96" t="s">
        <v>43</v>
      </c>
      <c r="B46" s="192">
        <f ca="1">IF((ISNUMBER('FIRE0508d raw'!B46)),ROUND('FIRE0508d raw'!B46,0),"..")</f>
        <v>16</v>
      </c>
      <c r="C46" s="91"/>
      <c r="D46" s="192">
        <f ca="1">IF((ISNUMBER('FIRE0508d raw'!D46)),ROUND('FIRE0508d raw'!D46,0),"..")</f>
        <v>1</v>
      </c>
      <c r="E46" s="192">
        <f ca="1">IF((ISNUMBER('FIRE0508d raw'!E46)),ROUND('FIRE0508d raw'!E46,0),"..")</f>
        <v>0</v>
      </c>
      <c r="F46" s="91"/>
      <c r="G46" s="192">
        <f ca="1">IF((ISNUMBER('FIRE0508d raw'!G46)),ROUND('FIRE0508d raw'!G46,0),"..")</f>
        <v>0</v>
      </c>
      <c r="H46" s="96"/>
      <c r="I46" s="106"/>
      <c r="J46" s="111"/>
      <c r="K46" s="111"/>
      <c r="L46" s="106"/>
      <c r="M46" s="111"/>
      <c r="N46" s="111"/>
      <c r="O46" s="106"/>
      <c r="P46" s="123"/>
      <c r="Q46" s="76"/>
      <c r="R46" s="76"/>
      <c r="S46" s="76"/>
      <c r="T46" s="76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</row>
    <row r="47" spans="1:32" s="63" customFormat="1" ht="15" customHeight="1">
      <c r="A47" s="96" t="s">
        <v>44</v>
      </c>
      <c r="B47" s="192">
        <f ca="1">IF((ISNUMBER('FIRE0508d raw'!B47)),ROUND('FIRE0508d raw'!B47,0),"..")</f>
        <v>7</v>
      </c>
      <c r="C47" s="91"/>
      <c r="D47" s="192">
        <f ca="1">IF((ISNUMBER('FIRE0508d raw'!D47)),ROUND('FIRE0508d raw'!D47,0),"..")</f>
        <v>0</v>
      </c>
      <c r="E47" s="192">
        <f ca="1">IF((ISNUMBER('FIRE0508d raw'!E47)),ROUND('FIRE0508d raw'!E47,0),"..")</f>
        <v>0</v>
      </c>
      <c r="F47" s="91"/>
      <c r="G47" s="192">
        <f ca="1">IF((ISNUMBER('FIRE0508d raw'!G47)),ROUND('FIRE0508d raw'!G47,0),"..")</f>
        <v>0</v>
      </c>
      <c r="H47" s="96"/>
      <c r="I47" s="106"/>
      <c r="J47" s="111"/>
      <c r="K47" s="111"/>
      <c r="L47" s="106"/>
      <c r="M47" s="111"/>
      <c r="N47" s="111"/>
      <c r="O47" s="106"/>
      <c r="P47" s="123"/>
      <c r="Q47" s="76"/>
      <c r="R47" s="76"/>
      <c r="S47" s="76"/>
      <c r="T47" s="76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</row>
    <row r="48" spans="1:32" s="63" customFormat="1" ht="15" customHeight="1">
      <c r="A48" s="96" t="s">
        <v>45</v>
      </c>
      <c r="B48" s="192" t="str">
        <f ca="1">IF((ISNUMBER('FIRE0508d raw'!B48)),ROUND('FIRE0508d raw'!B48,0),"..")</f>
        <v>..</v>
      </c>
      <c r="C48" s="91"/>
      <c r="D48" s="192" t="str">
        <f ca="1">IF((ISNUMBER('FIRE0508d raw'!D48)),ROUND('FIRE0508d raw'!D48,0),"..")</f>
        <v>..</v>
      </c>
      <c r="E48" s="192" t="str">
        <f ca="1">IF((ISNUMBER('FIRE0508d raw'!E48)),ROUND('FIRE0508d raw'!E48,0),"..")</f>
        <v>..</v>
      </c>
      <c r="F48" s="91"/>
      <c r="G48" s="192" t="str">
        <f ca="1">IF((ISNUMBER('FIRE0508d raw'!G48)),ROUND('FIRE0508d raw'!G48,0),"..")</f>
        <v>..</v>
      </c>
      <c r="H48" s="96"/>
      <c r="I48" s="106"/>
      <c r="J48" s="111"/>
      <c r="K48" s="111"/>
      <c r="L48" s="106"/>
      <c r="M48" s="111"/>
      <c r="N48" s="111"/>
      <c r="O48" s="106"/>
      <c r="P48" s="123"/>
      <c r="Q48" s="76"/>
      <c r="R48" s="76"/>
      <c r="S48" s="76"/>
      <c r="T48" s="76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</row>
    <row r="49" spans="1:32" s="63" customFormat="1" ht="15" customHeight="1">
      <c r="A49" s="96" t="s">
        <v>46</v>
      </c>
      <c r="B49" s="192">
        <f ca="1">IF((ISNUMBER('FIRE0508d raw'!B49)),ROUND('FIRE0508d raw'!B49,0),"..")</f>
        <v>0</v>
      </c>
      <c r="C49" s="91"/>
      <c r="D49" s="192">
        <f ca="1">IF((ISNUMBER('FIRE0508d raw'!D49)),ROUND('FIRE0508d raw'!D49,0),"..")</f>
        <v>0</v>
      </c>
      <c r="E49" s="192">
        <f ca="1">IF((ISNUMBER('FIRE0508d raw'!E49)),ROUND('FIRE0508d raw'!E49,0),"..")</f>
        <v>0</v>
      </c>
      <c r="F49" s="91"/>
      <c r="G49" s="192">
        <f ca="1">IF((ISNUMBER('FIRE0508d raw'!G49)),ROUND('FIRE0508d raw'!G49,0),"..")</f>
        <v>0</v>
      </c>
      <c r="H49" s="96"/>
      <c r="I49" s="106"/>
      <c r="J49" s="111"/>
      <c r="K49" s="111"/>
      <c r="L49" s="106"/>
      <c r="M49" s="111"/>
      <c r="N49" s="111"/>
      <c r="O49" s="106"/>
      <c r="P49" s="123"/>
      <c r="Q49" s="76"/>
      <c r="R49" s="76"/>
      <c r="S49" s="76"/>
      <c r="T49" s="76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</row>
    <row r="50" spans="1:32" s="63" customFormat="1" ht="15" customHeight="1">
      <c r="A50" s="102" t="s">
        <v>69</v>
      </c>
      <c r="B50" s="73">
        <f ca="1">IF((ISNUMBER('FIRE0508d raw'!B50)),ROUND('FIRE0508d raw'!B50,0),"..")</f>
        <v>118</v>
      </c>
      <c r="C50" s="73"/>
      <c r="D50" s="73">
        <f ca="1">IF((ISNUMBER('FIRE0508d raw'!D50)),ROUND('FIRE0508d raw'!D50,0),"..")</f>
        <v>15</v>
      </c>
      <c r="E50" s="73">
        <f ca="1">IF((ISNUMBER('FIRE0508d raw'!E50)),ROUND('FIRE0508d raw'!E50,0),"..")</f>
        <v>5</v>
      </c>
      <c r="F50" s="73"/>
      <c r="G50" s="73">
        <f ca="1">IF((ISNUMBER('FIRE0508d raw'!G50)),ROUND('FIRE0508d raw'!G50,0),"..")</f>
        <v>0</v>
      </c>
      <c r="H50" s="96"/>
      <c r="I50" s="106"/>
      <c r="J50" s="111"/>
      <c r="K50" s="111"/>
      <c r="L50" s="106"/>
      <c r="M50" s="111"/>
      <c r="N50" s="111"/>
      <c r="O50" s="106"/>
      <c r="P50" s="123"/>
      <c r="Q50" s="76"/>
      <c r="R50" s="76"/>
      <c r="S50" s="76"/>
      <c r="T50" s="76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</row>
    <row r="51" spans="1:32" s="63" customFormat="1" ht="15" customHeight="1">
      <c r="A51" s="96" t="s">
        <v>48</v>
      </c>
      <c r="B51" s="192">
        <f ca="1">IF((ISNUMBER('FIRE0508d raw'!B51)),ROUND('FIRE0508d raw'!B51,0),"..")</f>
        <v>17</v>
      </c>
      <c r="C51" s="91"/>
      <c r="D51" s="192">
        <f ca="1">IF((ISNUMBER('FIRE0508d raw'!D51)),ROUND('FIRE0508d raw'!D51,0),"..")</f>
        <v>3</v>
      </c>
      <c r="E51" s="192">
        <f ca="1">IF((ISNUMBER('FIRE0508d raw'!E51)),ROUND('FIRE0508d raw'!E51,0),"..")</f>
        <v>2</v>
      </c>
      <c r="F51" s="91"/>
      <c r="G51" s="192">
        <f ca="1">IF((ISNUMBER('FIRE0508d raw'!G51)),ROUND('FIRE0508d raw'!G51,0),"..")</f>
        <v>0</v>
      </c>
      <c r="H51" s="96"/>
      <c r="I51" s="106"/>
      <c r="J51" s="111"/>
      <c r="K51" s="111"/>
      <c r="L51" s="106"/>
      <c r="M51" s="111"/>
      <c r="N51" s="111"/>
      <c r="O51" s="106"/>
      <c r="P51" s="123"/>
      <c r="Q51" s="76"/>
      <c r="R51" s="76"/>
      <c r="S51" s="76"/>
      <c r="T51" s="76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</row>
    <row r="52" spans="1:32" s="63" customFormat="1" ht="15" customHeight="1">
      <c r="A52" s="96" t="s">
        <v>49</v>
      </c>
      <c r="B52" s="192">
        <f ca="1">IF((ISNUMBER('FIRE0508d raw'!B52)),ROUND('FIRE0508d raw'!B52,0),"..")</f>
        <v>21</v>
      </c>
      <c r="C52" s="91"/>
      <c r="D52" s="192">
        <f ca="1">IF((ISNUMBER('FIRE0508d raw'!D52)),ROUND('FIRE0508d raw'!D52,0),"..")</f>
        <v>5</v>
      </c>
      <c r="E52" s="192">
        <f ca="1">IF((ISNUMBER('FIRE0508d raw'!E52)),ROUND('FIRE0508d raw'!E52,0),"..")</f>
        <v>1</v>
      </c>
      <c r="F52" s="91"/>
      <c r="G52" s="192">
        <f ca="1">IF((ISNUMBER('FIRE0508d raw'!G52)),ROUND('FIRE0508d raw'!G52,0),"..")</f>
        <v>0</v>
      </c>
      <c r="H52" s="96"/>
      <c r="I52" s="106"/>
      <c r="J52" s="111"/>
      <c r="K52" s="111"/>
      <c r="L52" s="106"/>
      <c r="M52" s="111"/>
      <c r="N52" s="111"/>
      <c r="O52" s="106"/>
      <c r="P52" s="123"/>
      <c r="Q52" s="76"/>
      <c r="R52" s="76"/>
      <c r="S52" s="76"/>
      <c r="T52" s="76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</row>
    <row r="53" spans="1:32" s="63" customFormat="1" ht="15" customHeight="1">
      <c r="A53" s="96" t="s">
        <v>50</v>
      </c>
      <c r="B53" s="192">
        <f ca="1">IF((ISNUMBER('FIRE0508d raw'!B53)),ROUND('FIRE0508d raw'!B53,0),"..")</f>
        <v>4</v>
      </c>
      <c r="C53" s="91"/>
      <c r="D53" s="192">
        <f ca="1">IF((ISNUMBER('FIRE0508d raw'!D53)),ROUND('FIRE0508d raw'!D53,0),"..")</f>
        <v>1</v>
      </c>
      <c r="E53" s="192">
        <f ca="1">IF((ISNUMBER('FIRE0508d raw'!E53)),ROUND('FIRE0508d raw'!E53,0),"..")</f>
        <v>2</v>
      </c>
      <c r="F53" s="91"/>
      <c r="G53" s="192">
        <f ca="1">IF((ISNUMBER('FIRE0508d raw'!G53)),ROUND('FIRE0508d raw'!G53,0),"..")</f>
        <v>0</v>
      </c>
      <c r="H53" s="96"/>
      <c r="I53" s="106"/>
      <c r="J53" s="111"/>
      <c r="K53" s="111"/>
      <c r="L53" s="106"/>
      <c r="M53" s="111"/>
      <c r="N53" s="111"/>
      <c r="O53" s="106"/>
      <c r="P53" s="123"/>
      <c r="Q53" s="76"/>
      <c r="R53" s="76"/>
      <c r="S53" s="76"/>
      <c r="T53" s="76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</row>
    <row r="54" spans="1:32" s="63" customFormat="1" ht="15" customHeight="1">
      <c r="A54" s="96" t="s">
        <v>51</v>
      </c>
      <c r="B54" s="192">
        <f ca="1">IF((ISNUMBER('FIRE0508d raw'!B54)),ROUND('FIRE0508d raw'!B54,0),"..")</f>
        <v>8</v>
      </c>
      <c r="C54" s="91"/>
      <c r="D54" s="192">
        <f ca="1">IF((ISNUMBER('FIRE0508d raw'!D54)),ROUND('FIRE0508d raw'!D54,0),"..")</f>
        <v>2</v>
      </c>
      <c r="E54" s="192">
        <f ca="1">IF((ISNUMBER('FIRE0508d raw'!E54)),ROUND('FIRE0508d raw'!E54,0),"..")</f>
        <v>0</v>
      </c>
      <c r="F54" s="91"/>
      <c r="G54" s="192">
        <f ca="1">IF((ISNUMBER('FIRE0508d raw'!G54)),ROUND('FIRE0508d raw'!G54,0),"..")</f>
        <v>0</v>
      </c>
      <c r="H54" s="96"/>
      <c r="I54" s="106"/>
      <c r="J54" s="111"/>
      <c r="K54" s="111"/>
      <c r="L54" s="106"/>
      <c r="M54" s="111"/>
      <c r="N54" s="111"/>
      <c r="O54" s="106"/>
      <c r="P54" s="123"/>
      <c r="Q54" s="76"/>
      <c r="R54" s="76"/>
      <c r="S54" s="76"/>
      <c r="T54" s="76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</row>
    <row r="55" spans="1:32" s="63" customFormat="1" ht="15" customHeight="1">
      <c r="A55" s="114" t="s">
        <v>52</v>
      </c>
      <c r="B55" s="192">
        <f ca="1">IF((ISNUMBER('FIRE0508d raw'!B55)),ROUND('FIRE0508d raw'!B55,0),"..")</f>
        <v>36</v>
      </c>
      <c r="C55" s="91"/>
      <c r="D55" s="192">
        <f ca="1">IF((ISNUMBER('FIRE0508d raw'!D55)),ROUND('FIRE0508d raw'!D55,0),"..")</f>
        <v>2</v>
      </c>
      <c r="E55" s="192">
        <f ca="1">IF((ISNUMBER('FIRE0508d raw'!E55)),ROUND('FIRE0508d raw'!E55,0),"..")</f>
        <v>0</v>
      </c>
      <c r="F55" s="91"/>
      <c r="G55" s="192">
        <f ca="1">IF((ISNUMBER('FIRE0508d raw'!G55)),ROUND('FIRE0508d raw'!G55,0),"..")</f>
        <v>0</v>
      </c>
      <c r="H55" s="96"/>
      <c r="I55" s="106"/>
      <c r="J55" s="111"/>
      <c r="K55" s="111"/>
      <c r="L55" s="96"/>
      <c r="M55" s="111"/>
      <c r="N55" s="111"/>
      <c r="O55" s="106"/>
      <c r="P55" s="123"/>
      <c r="Q55" s="76"/>
      <c r="R55" s="76"/>
      <c r="S55" s="76"/>
      <c r="T55" s="76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</row>
    <row r="56" spans="1:32" s="63" customFormat="1" ht="15" customHeight="1">
      <c r="A56" s="114" t="s">
        <v>53</v>
      </c>
      <c r="B56" s="192">
        <f ca="1">IF((ISNUMBER('FIRE0508d raw'!B56)),ROUND('FIRE0508d raw'!B56,0),"..")</f>
        <v>18</v>
      </c>
      <c r="C56" s="91"/>
      <c r="D56" s="192">
        <f ca="1">IF((ISNUMBER('FIRE0508d raw'!D56)),ROUND('FIRE0508d raw'!D56,0),"..")</f>
        <v>1</v>
      </c>
      <c r="E56" s="192">
        <f ca="1">IF((ISNUMBER('FIRE0508d raw'!E56)),ROUND('FIRE0508d raw'!E56,0),"..")</f>
        <v>0</v>
      </c>
      <c r="F56" s="91"/>
      <c r="G56" s="192">
        <f ca="1">IF((ISNUMBER('FIRE0508d raw'!G56)),ROUND('FIRE0508d raw'!G56,0),"..")</f>
        <v>0</v>
      </c>
      <c r="H56" s="96"/>
      <c r="I56" s="106"/>
      <c r="J56" s="111"/>
      <c r="K56" s="111"/>
      <c r="L56" s="96"/>
      <c r="M56" s="111"/>
      <c r="N56" s="111"/>
      <c r="O56" s="106"/>
      <c r="P56" s="123"/>
      <c r="Q56" s="76"/>
      <c r="R56" s="76"/>
      <c r="S56" s="76"/>
      <c r="T56" s="76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</row>
    <row r="57" spans="1:32" s="63" customFormat="1" ht="15" customHeight="1" thickBot="1">
      <c r="A57" s="107" t="s">
        <v>54</v>
      </c>
      <c r="B57" s="193">
        <f ca="1">IF((ISNUMBER('FIRE0508d raw'!B57)),ROUND('FIRE0508d raw'!B57,0),"..")</f>
        <v>14</v>
      </c>
      <c r="C57" s="115"/>
      <c r="D57" s="193">
        <f ca="1">IF((ISNUMBER('FIRE0508d raw'!D57)),ROUND('FIRE0508d raw'!D57,0),"..")</f>
        <v>1</v>
      </c>
      <c r="E57" s="193">
        <f ca="1">IF((ISNUMBER('FIRE0508d raw'!E57)),ROUND('FIRE0508d raw'!E57,0),"..")</f>
        <v>0</v>
      </c>
      <c r="F57" s="115"/>
      <c r="G57" s="193">
        <f ca="1">IF((ISNUMBER('FIRE0508d raw'!G57)),ROUND('FIRE0508d raw'!G57,0),"..")</f>
        <v>0</v>
      </c>
      <c r="H57" s="96"/>
      <c r="I57" s="106"/>
      <c r="J57" s="111"/>
      <c r="K57" s="111"/>
      <c r="L57" s="96"/>
      <c r="M57" s="111"/>
      <c r="N57" s="111"/>
      <c r="O57" s="106"/>
      <c r="P57" s="123"/>
      <c r="Q57" s="76"/>
      <c r="R57" s="76"/>
      <c r="S57" s="76"/>
      <c r="T57" s="76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</row>
    <row r="58" spans="1:32" ht="15">
      <c r="A58" s="96"/>
      <c r="B58" s="96"/>
      <c r="C58" s="96"/>
      <c r="D58" s="96"/>
      <c r="E58" s="96"/>
      <c r="F58" s="96"/>
      <c r="G58" s="96"/>
      <c r="H58" s="96"/>
      <c r="I58" s="96"/>
      <c r="J58" s="111"/>
      <c r="K58" s="111"/>
      <c r="L58" s="96"/>
      <c r="M58" s="111"/>
      <c r="N58" s="111"/>
      <c r="O58" s="111"/>
      <c r="P58" s="111"/>
      <c r="Q58" s="74"/>
      <c r="R58" s="74"/>
      <c r="S58" s="74"/>
      <c r="T58" s="74"/>
    </row>
    <row r="59" spans="1:32" s="63" customFormat="1" ht="15" customHeight="1">
      <c r="A59" s="243" t="s">
        <v>81</v>
      </c>
      <c r="B59" s="243"/>
      <c r="C59" s="243"/>
      <c r="D59" s="243"/>
      <c r="E59" s="243"/>
      <c r="F59" s="243"/>
      <c r="G59" s="243"/>
      <c r="H59" s="96"/>
      <c r="I59" s="96"/>
      <c r="J59" s="111"/>
      <c r="K59" s="111"/>
      <c r="L59" s="96"/>
      <c r="M59" s="111"/>
      <c r="N59" s="111"/>
      <c r="O59" s="111"/>
      <c r="P59" s="111"/>
      <c r="Q59" s="74"/>
      <c r="R59" s="74"/>
      <c r="S59" s="74"/>
      <c r="T59" s="74"/>
    </row>
    <row r="60" spans="1:32" s="63" customFormat="1" ht="120" customHeight="1">
      <c r="A60" s="243" t="s">
        <v>82</v>
      </c>
      <c r="B60" s="243"/>
      <c r="C60" s="243"/>
      <c r="D60" s="243"/>
      <c r="E60" s="243"/>
      <c r="F60" s="243"/>
      <c r="G60" s="243"/>
      <c r="H60" s="96"/>
      <c r="I60" s="96"/>
      <c r="J60" s="111"/>
      <c r="K60" s="111"/>
      <c r="L60" s="96"/>
      <c r="M60" s="111"/>
      <c r="N60" s="111"/>
      <c r="O60" s="111"/>
      <c r="P60" s="111"/>
      <c r="Q60" s="74"/>
      <c r="R60" s="74"/>
      <c r="S60" s="74"/>
      <c r="T60" s="74"/>
    </row>
    <row r="61" spans="1:32" s="63" customFormat="1" ht="15" customHeight="1">
      <c r="A61" s="109"/>
      <c r="B61" s="96"/>
      <c r="C61" s="96"/>
      <c r="D61" s="96"/>
      <c r="E61" s="96"/>
      <c r="F61" s="96"/>
      <c r="G61" s="96"/>
      <c r="H61" s="96"/>
      <c r="I61" s="96"/>
      <c r="J61" s="111"/>
      <c r="K61" s="111"/>
      <c r="L61" s="96"/>
      <c r="M61" s="111"/>
      <c r="N61" s="111"/>
      <c r="O61" s="111"/>
      <c r="P61" s="111"/>
      <c r="Q61" s="74"/>
      <c r="R61" s="74"/>
      <c r="S61" s="74"/>
      <c r="T61" s="74"/>
    </row>
    <row r="62" spans="1:32" s="63" customFormat="1" ht="15">
      <c r="A62" s="96" t="s">
        <v>83</v>
      </c>
      <c r="B62" s="113"/>
      <c r="C62" s="113"/>
      <c r="D62" s="113"/>
      <c r="E62" s="113"/>
      <c r="F62" s="113"/>
      <c r="G62" s="113"/>
      <c r="H62" s="96"/>
      <c r="I62" s="96"/>
      <c r="J62" s="111"/>
      <c r="K62" s="111"/>
      <c r="L62" s="96"/>
      <c r="M62" s="111"/>
      <c r="N62" s="111"/>
      <c r="O62" s="111"/>
      <c r="P62" s="111"/>
      <c r="Q62" s="74"/>
      <c r="R62" s="74"/>
      <c r="S62" s="74"/>
      <c r="T62" s="74"/>
    </row>
    <row r="63" spans="1:32" s="63" customFormat="1" ht="15" customHeight="1">
      <c r="A63" s="110" t="s">
        <v>84</v>
      </c>
      <c r="B63" s="112"/>
      <c r="C63" s="112"/>
      <c r="D63" s="112"/>
      <c r="E63" s="112"/>
      <c r="F63" s="112"/>
      <c r="G63" s="112"/>
      <c r="H63" s="96"/>
      <c r="I63" s="96"/>
      <c r="J63" s="111"/>
      <c r="K63" s="111"/>
      <c r="L63" s="96"/>
      <c r="M63" s="111"/>
      <c r="N63" s="111"/>
      <c r="O63" s="111"/>
      <c r="P63" s="111"/>
      <c r="Q63" s="74"/>
      <c r="R63" s="74"/>
      <c r="S63" s="74"/>
      <c r="T63" s="74"/>
    </row>
    <row r="64" spans="1:32" s="63" customFormat="1" ht="15" customHeight="1">
      <c r="A64" s="110"/>
      <c r="B64" s="113"/>
      <c r="C64" s="113"/>
      <c r="D64" s="113"/>
      <c r="E64" s="113"/>
      <c r="F64" s="113"/>
      <c r="G64" s="113"/>
      <c r="H64" s="106"/>
      <c r="I64" s="106"/>
      <c r="J64" s="106"/>
      <c r="K64" s="106"/>
      <c r="L64" s="96"/>
      <c r="M64" s="106"/>
      <c r="N64" s="106"/>
      <c r="O64" s="106"/>
      <c r="P64" s="106"/>
    </row>
    <row r="65" spans="1:16" s="63" customFormat="1" ht="15" customHeight="1">
      <c r="A65" s="112" t="s">
        <v>85</v>
      </c>
      <c r="B65" s="113"/>
      <c r="C65" s="113"/>
      <c r="D65" s="113"/>
      <c r="E65" s="113"/>
      <c r="F65" s="113"/>
      <c r="G65" s="113"/>
      <c r="H65" s="106"/>
      <c r="I65" s="106"/>
      <c r="J65" s="106"/>
      <c r="K65" s="106"/>
      <c r="L65" s="96"/>
      <c r="M65" s="106"/>
      <c r="N65" s="106"/>
      <c r="O65" s="106"/>
      <c r="P65" s="106"/>
    </row>
    <row r="66" spans="1:16" s="63" customFormat="1" ht="15" customHeight="1">
      <c r="A66" s="96"/>
      <c r="B66" s="113"/>
      <c r="C66" s="113"/>
      <c r="D66" s="113"/>
      <c r="E66" s="113"/>
      <c r="F66" s="113"/>
      <c r="G66" s="106"/>
      <c r="H66" s="106"/>
      <c r="I66" s="106"/>
      <c r="J66" s="106"/>
      <c r="K66" s="106"/>
      <c r="L66" s="96"/>
      <c r="M66" s="106"/>
      <c r="N66" s="106"/>
      <c r="O66" s="106"/>
      <c r="P66" s="106"/>
    </row>
    <row r="67" spans="1:16" s="63" customFormat="1" ht="15">
      <c r="A67" s="96" t="s">
        <v>86</v>
      </c>
      <c r="B67" s="113"/>
      <c r="C67" s="113"/>
      <c r="D67" s="113"/>
      <c r="E67" s="113"/>
      <c r="F67" s="113"/>
      <c r="G67" s="113"/>
      <c r="H67" s="106"/>
      <c r="I67" s="106"/>
      <c r="J67" s="106"/>
      <c r="K67" s="106"/>
      <c r="L67" s="96"/>
      <c r="M67" s="106"/>
      <c r="N67" s="106"/>
      <c r="O67" s="106"/>
      <c r="P67" s="106"/>
    </row>
    <row r="68" spans="1:16" ht="15">
      <c r="A68" s="110" t="s">
        <v>87</v>
      </c>
      <c r="B68" s="96"/>
      <c r="C68" s="96"/>
      <c r="D68" s="96"/>
      <c r="E68" s="96"/>
      <c r="F68" s="96"/>
      <c r="G68" s="194" t="s">
        <v>131</v>
      </c>
      <c r="H68" s="96"/>
      <c r="I68" s="96"/>
      <c r="J68" s="96"/>
      <c r="K68" s="96"/>
      <c r="L68" s="96"/>
      <c r="M68" s="96"/>
      <c r="N68" s="96"/>
      <c r="O68" s="96"/>
      <c r="P68" s="96"/>
    </row>
    <row r="69" spans="1:16" s="63" customFormat="1" ht="15">
      <c r="A69" s="96"/>
      <c r="B69" s="96"/>
      <c r="C69" s="96"/>
      <c r="D69" s="96"/>
      <c r="E69" s="96"/>
      <c r="F69" s="96"/>
      <c r="G69" s="195" t="s">
        <v>128</v>
      </c>
      <c r="H69" s="106"/>
      <c r="I69" s="106"/>
      <c r="J69" s="106"/>
      <c r="K69" s="106"/>
      <c r="L69" s="96"/>
      <c r="M69" s="106"/>
      <c r="N69" s="106"/>
      <c r="O69" s="106"/>
      <c r="P69" s="106"/>
    </row>
    <row r="70" spans="1:16" s="63" customFormat="1" ht="15">
      <c r="A70" s="110"/>
      <c r="B70" s="96"/>
      <c r="C70" s="96"/>
      <c r="D70" s="96"/>
      <c r="E70" s="96"/>
      <c r="F70" s="96"/>
      <c r="G70" s="96"/>
      <c r="H70" s="106"/>
      <c r="I70" s="106"/>
      <c r="J70" s="106"/>
      <c r="K70" s="106"/>
      <c r="L70" s="96"/>
      <c r="M70" s="106"/>
      <c r="N70" s="106"/>
      <c r="O70" s="106"/>
      <c r="P70" s="106"/>
    </row>
    <row r="71" spans="1:16" ht="15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</row>
    <row r="72" spans="1:16" ht="1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</row>
    <row r="73" spans="1:16" ht="1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</row>
    <row r="74" spans="1:16" ht="15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</row>
    <row r="75" spans="1:16" ht="1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</row>
    <row r="76" spans="1:16" ht="15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</row>
    <row r="77" spans="1:16" ht="15">
      <c r="A77" s="96"/>
      <c r="B77" s="96"/>
      <c r="C77" s="96"/>
      <c r="D77" s="96"/>
      <c r="E77" s="96"/>
      <c r="F77" s="96"/>
      <c r="G77" s="96"/>
      <c r="H77" s="96"/>
      <c r="I77" s="96"/>
      <c r="J77" s="96" t="s">
        <v>70</v>
      </c>
      <c r="K77" s="106"/>
      <c r="L77" s="96"/>
      <c r="M77" s="96"/>
      <c r="N77" s="96"/>
      <c r="O77" s="96"/>
      <c r="P77" s="96"/>
    </row>
    <row r="78" spans="1:16" ht="15">
      <c r="A78" s="96"/>
      <c r="B78" s="96"/>
      <c r="C78" s="96"/>
      <c r="D78" s="96"/>
      <c r="E78" s="96"/>
      <c r="F78" s="96"/>
      <c r="G78" s="96"/>
      <c r="H78" s="96"/>
      <c r="I78" s="96"/>
      <c r="J78" s="96" t="s">
        <v>71</v>
      </c>
      <c r="K78" s="96"/>
      <c r="L78" s="96"/>
      <c r="M78" s="96"/>
      <c r="N78" s="96"/>
      <c r="O78" s="96"/>
      <c r="P78" s="96"/>
    </row>
    <row r="79" spans="1:16" ht="15">
      <c r="A79" s="96"/>
      <c r="B79" s="96"/>
      <c r="C79" s="96"/>
      <c r="D79" s="96"/>
      <c r="E79" s="96"/>
      <c r="F79" s="96"/>
      <c r="G79" s="96"/>
      <c r="H79" s="96"/>
      <c r="I79" s="96"/>
      <c r="J79" s="96" t="s">
        <v>72</v>
      </c>
      <c r="K79" s="96"/>
      <c r="L79" s="96"/>
      <c r="M79" s="96"/>
      <c r="N79" s="96"/>
      <c r="O79" s="96"/>
      <c r="P79" s="96"/>
    </row>
    <row r="80" spans="1:16" ht="15">
      <c r="A80" s="96"/>
      <c r="B80" s="96"/>
      <c r="C80" s="96"/>
      <c r="D80" s="96"/>
      <c r="E80" s="96"/>
      <c r="F80" s="96"/>
      <c r="G80" s="96"/>
      <c r="H80" s="96"/>
      <c r="I80" s="96"/>
      <c r="J80" s="96" t="s">
        <v>73</v>
      </c>
      <c r="K80" s="96"/>
      <c r="L80" s="96"/>
      <c r="M80" s="96"/>
      <c r="N80" s="96"/>
      <c r="O80" s="96"/>
      <c r="P80" s="96"/>
    </row>
    <row r="81" spans="1:16" ht="15">
      <c r="A81" s="96"/>
      <c r="B81" s="96"/>
      <c r="C81" s="96"/>
      <c r="D81" s="96"/>
      <c r="E81" s="96"/>
      <c r="F81" s="96"/>
      <c r="G81" s="96"/>
      <c r="H81" s="96"/>
      <c r="I81" s="96"/>
      <c r="J81" s="96" t="s">
        <v>74</v>
      </c>
      <c r="K81" s="96"/>
      <c r="L81" s="96"/>
      <c r="M81" s="96"/>
      <c r="N81" s="96"/>
      <c r="O81" s="96"/>
      <c r="P81" s="96"/>
    </row>
    <row r="82" spans="1:16" ht="15">
      <c r="A82" s="96"/>
      <c r="B82" s="96"/>
      <c r="C82" s="96"/>
      <c r="D82" s="96"/>
      <c r="E82" s="96"/>
      <c r="F82" s="96"/>
      <c r="G82" s="96"/>
      <c r="H82" s="96"/>
      <c r="I82" s="96"/>
      <c r="J82" s="96" t="s">
        <v>75</v>
      </c>
      <c r="K82" s="96"/>
      <c r="L82" s="96"/>
      <c r="M82" s="96"/>
      <c r="N82" s="96"/>
      <c r="O82" s="96"/>
      <c r="P82" s="96"/>
    </row>
    <row r="83" spans="1:16" ht="15">
      <c r="A83" s="96"/>
      <c r="B83" s="96"/>
      <c r="C83" s="96"/>
      <c r="D83" s="96"/>
      <c r="E83" s="96"/>
      <c r="F83" s="96"/>
      <c r="G83" s="96"/>
      <c r="H83" s="96"/>
      <c r="I83" s="96"/>
      <c r="J83" s="96" t="s">
        <v>76</v>
      </c>
      <c r="K83" s="96"/>
      <c r="L83" s="96"/>
      <c r="M83" s="96"/>
      <c r="N83" s="96"/>
      <c r="O83" s="96"/>
      <c r="P83" s="96"/>
    </row>
    <row r="84" spans="1:16" ht="15">
      <c r="A84" s="96"/>
      <c r="B84" s="96"/>
      <c r="C84" s="96"/>
      <c r="D84" s="96"/>
      <c r="E84" s="96"/>
      <c r="F84" s="96"/>
      <c r="G84" s="96"/>
      <c r="H84" s="96"/>
      <c r="I84" s="96"/>
      <c r="J84" s="96" t="s">
        <v>127</v>
      </c>
      <c r="K84" s="96"/>
      <c r="L84" s="96"/>
      <c r="M84" s="96"/>
      <c r="N84" s="96"/>
      <c r="O84" s="96"/>
      <c r="P84" s="96"/>
    </row>
    <row r="85" spans="1:16" ht="15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</row>
    <row r="86" spans="1:16" ht="1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</row>
    <row r="87" spans="1:16" ht="1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</row>
    <row r="88" spans="1:16" ht="15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</row>
    <row r="89" spans="1:16" ht="15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</row>
    <row r="90" spans="1:16" ht="15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</row>
    <row r="91" spans="1:16" ht="1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</row>
    <row r="92" spans="1:16" ht="1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</row>
    <row r="93" spans="1:16" ht="1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</row>
    <row r="94" spans="1:16" ht="1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</row>
    <row r="95" spans="1:16" ht="1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</row>
    <row r="96" spans="1:16" ht="1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</row>
    <row r="97" spans="1:16" ht="1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</row>
    <row r="98" spans="1:16" ht="15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</row>
    <row r="99" spans="1:16" ht="1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</row>
    <row r="100" spans="1:16" ht="1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</row>
    <row r="101" spans="1:16" ht="15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1:16" ht="1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</row>
    <row r="103" spans="1:16" ht="1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</row>
    <row r="104" spans="1:16" ht="15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</row>
    <row r="105" spans="1:16" ht="15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</row>
    <row r="106" spans="1:16" ht="1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</row>
    <row r="107" spans="1:16" ht="1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</row>
    <row r="108" spans="1:16" ht="1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</row>
    <row r="109" spans="1:16" ht="1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</row>
    <row r="110" spans="1:16" ht="1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</row>
    <row r="111" spans="1:16" ht="1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</row>
    <row r="112" spans="1:16" ht="1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</row>
    <row r="113" spans="1:16" ht="15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</row>
    <row r="114" spans="1:16" ht="15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</row>
    <row r="115" spans="1:16" ht="15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</row>
    <row r="116" spans="1:16" ht="15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</row>
    <row r="117" spans="1:16" ht="15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</row>
    <row r="118" spans="1:16" ht="15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</row>
    <row r="119" spans="1:16" ht="15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</row>
    <row r="120" spans="1:16" ht="15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</row>
    <row r="121" spans="1:16" ht="15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</row>
    <row r="122" spans="1:16" ht="15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</row>
    <row r="123" spans="1:16" ht="15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</row>
    <row r="124" spans="1:16" ht="15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</row>
    <row r="125" spans="1:16" ht="15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</row>
    <row r="126" spans="1:16" ht="15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</row>
    <row r="127" spans="1:16" ht="15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</row>
    <row r="128" spans="1:16" ht="15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</row>
    <row r="129" spans="1:16" ht="15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</row>
    <row r="130" spans="1:16" ht="15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</row>
    <row r="131" spans="1:16" ht="15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</row>
    <row r="132" spans="1:16" ht="15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</row>
    <row r="133" spans="1:16" ht="15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</row>
    <row r="134" spans="1:16" ht="15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</row>
    <row r="135" spans="1:16" ht="15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</row>
    <row r="136" spans="1:16" ht="15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</row>
    <row r="137" spans="1:16" ht="15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</row>
    <row r="138" spans="1:16" ht="15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</row>
    <row r="139" spans="1:16" ht="15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</row>
  </sheetData>
  <mergeCells count="7">
    <mergeCell ref="A60:G60"/>
    <mergeCell ref="A1:G1"/>
    <mergeCell ref="A4:G4"/>
    <mergeCell ref="B6:B7"/>
    <mergeCell ref="D6:E6"/>
    <mergeCell ref="G6:G7"/>
    <mergeCell ref="A59:G59"/>
  </mergeCells>
  <dataValidations count="1">
    <dataValidation type="list" allowBlank="1" showInputMessage="1" showErrorMessage="1" sqref="A4:G4">
      <formula1>$J$77:$J$84</formula1>
    </dataValidation>
  </dataValidations>
  <hyperlinks>
    <hyperlink ref="A63" r:id="rId1"/>
    <hyperlink ref="A68" r:id="rId2"/>
    <hyperlink ref="G68" r:id="rId3"/>
  </hyperlinks>
  <pageMargins left="0.7" right="0.7" top="0.75" bottom="0.75" header="0.3" footer="0.3"/>
  <pageSetup paperSize="9" orientation="portrait"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I68"/>
  <sheetViews>
    <sheetView showGridLines="0" zoomScale="85" workbookViewId="0">
      <pane xSplit="2" ySplit="3" topLeftCell="C7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RowHeight="12.75"/>
  <cols>
    <col min="1" max="1" width="5.7109375" style="1" hidden="1" customWidth="1"/>
    <col min="2" max="2" width="28.7109375" style="55" customWidth="1"/>
    <col min="3" max="4" width="20" style="55" customWidth="1"/>
    <col min="5" max="5" width="15.140625" style="55" customWidth="1"/>
    <col min="6" max="6" width="17.7109375" style="55" customWidth="1"/>
    <col min="7" max="256" width="9.140625" style="55"/>
    <col min="257" max="257" width="0" style="55" hidden="1" customWidth="1"/>
    <col min="258" max="258" width="28.7109375" style="55" customWidth="1"/>
    <col min="259" max="260" width="20" style="55" customWidth="1"/>
    <col min="261" max="261" width="15.140625" style="55" customWidth="1"/>
    <col min="262" max="262" width="17.7109375" style="55" customWidth="1"/>
    <col min="263" max="512" width="9.140625" style="55"/>
    <col min="513" max="513" width="0" style="55" hidden="1" customWidth="1"/>
    <col min="514" max="514" width="28.7109375" style="55" customWidth="1"/>
    <col min="515" max="516" width="20" style="55" customWidth="1"/>
    <col min="517" max="517" width="15.140625" style="55" customWidth="1"/>
    <col min="518" max="518" width="17.7109375" style="55" customWidth="1"/>
    <col min="519" max="768" width="9.140625" style="55"/>
    <col min="769" max="769" width="0" style="55" hidden="1" customWidth="1"/>
    <col min="770" max="770" width="28.7109375" style="55" customWidth="1"/>
    <col min="771" max="772" width="20" style="55" customWidth="1"/>
    <col min="773" max="773" width="15.140625" style="55" customWidth="1"/>
    <col min="774" max="774" width="17.7109375" style="55" customWidth="1"/>
    <col min="775" max="1024" width="9.140625" style="55"/>
    <col min="1025" max="1025" width="0" style="55" hidden="1" customWidth="1"/>
    <col min="1026" max="1026" width="28.7109375" style="55" customWidth="1"/>
    <col min="1027" max="1028" width="20" style="55" customWidth="1"/>
    <col min="1029" max="1029" width="15.140625" style="55" customWidth="1"/>
    <col min="1030" max="1030" width="17.7109375" style="55" customWidth="1"/>
    <col min="1031" max="1280" width="9.140625" style="55"/>
    <col min="1281" max="1281" width="0" style="55" hidden="1" customWidth="1"/>
    <col min="1282" max="1282" width="28.7109375" style="55" customWidth="1"/>
    <col min="1283" max="1284" width="20" style="55" customWidth="1"/>
    <col min="1285" max="1285" width="15.140625" style="55" customWidth="1"/>
    <col min="1286" max="1286" width="17.7109375" style="55" customWidth="1"/>
    <col min="1287" max="1536" width="9.140625" style="55"/>
    <col min="1537" max="1537" width="0" style="55" hidden="1" customWidth="1"/>
    <col min="1538" max="1538" width="28.7109375" style="55" customWidth="1"/>
    <col min="1539" max="1540" width="20" style="55" customWidth="1"/>
    <col min="1541" max="1541" width="15.140625" style="55" customWidth="1"/>
    <col min="1542" max="1542" width="17.7109375" style="55" customWidth="1"/>
    <col min="1543" max="1792" width="9.140625" style="55"/>
    <col min="1793" max="1793" width="0" style="55" hidden="1" customWidth="1"/>
    <col min="1794" max="1794" width="28.7109375" style="55" customWidth="1"/>
    <col min="1795" max="1796" width="20" style="55" customWidth="1"/>
    <col min="1797" max="1797" width="15.140625" style="55" customWidth="1"/>
    <col min="1798" max="1798" width="17.7109375" style="55" customWidth="1"/>
    <col min="1799" max="2048" width="9.140625" style="55"/>
    <col min="2049" max="2049" width="0" style="55" hidden="1" customWidth="1"/>
    <col min="2050" max="2050" width="28.7109375" style="55" customWidth="1"/>
    <col min="2051" max="2052" width="20" style="55" customWidth="1"/>
    <col min="2053" max="2053" width="15.140625" style="55" customWidth="1"/>
    <col min="2054" max="2054" width="17.7109375" style="55" customWidth="1"/>
    <col min="2055" max="2304" width="9.140625" style="55"/>
    <col min="2305" max="2305" width="0" style="55" hidden="1" customWidth="1"/>
    <col min="2306" max="2306" width="28.7109375" style="55" customWidth="1"/>
    <col min="2307" max="2308" width="20" style="55" customWidth="1"/>
    <col min="2309" max="2309" width="15.140625" style="55" customWidth="1"/>
    <col min="2310" max="2310" width="17.7109375" style="55" customWidth="1"/>
    <col min="2311" max="2560" width="9.140625" style="55"/>
    <col min="2561" max="2561" width="0" style="55" hidden="1" customWidth="1"/>
    <col min="2562" max="2562" width="28.7109375" style="55" customWidth="1"/>
    <col min="2563" max="2564" width="20" style="55" customWidth="1"/>
    <col min="2565" max="2565" width="15.140625" style="55" customWidth="1"/>
    <col min="2566" max="2566" width="17.7109375" style="55" customWidth="1"/>
    <col min="2567" max="2816" width="9.140625" style="55"/>
    <col min="2817" max="2817" width="0" style="55" hidden="1" customWidth="1"/>
    <col min="2818" max="2818" width="28.7109375" style="55" customWidth="1"/>
    <col min="2819" max="2820" width="20" style="55" customWidth="1"/>
    <col min="2821" max="2821" width="15.140625" style="55" customWidth="1"/>
    <col min="2822" max="2822" width="17.7109375" style="55" customWidth="1"/>
    <col min="2823" max="3072" width="9.140625" style="55"/>
    <col min="3073" max="3073" width="0" style="55" hidden="1" customWidth="1"/>
    <col min="3074" max="3074" width="28.7109375" style="55" customWidth="1"/>
    <col min="3075" max="3076" width="20" style="55" customWidth="1"/>
    <col min="3077" max="3077" width="15.140625" style="55" customWidth="1"/>
    <col min="3078" max="3078" width="17.7109375" style="55" customWidth="1"/>
    <col min="3079" max="3328" width="9.140625" style="55"/>
    <col min="3329" max="3329" width="0" style="55" hidden="1" customWidth="1"/>
    <col min="3330" max="3330" width="28.7109375" style="55" customWidth="1"/>
    <col min="3331" max="3332" width="20" style="55" customWidth="1"/>
    <col min="3333" max="3333" width="15.140625" style="55" customWidth="1"/>
    <col min="3334" max="3334" width="17.7109375" style="55" customWidth="1"/>
    <col min="3335" max="3584" width="9.140625" style="55"/>
    <col min="3585" max="3585" width="0" style="55" hidden="1" customWidth="1"/>
    <col min="3586" max="3586" width="28.7109375" style="55" customWidth="1"/>
    <col min="3587" max="3588" width="20" style="55" customWidth="1"/>
    <col min="3589" max="3589" width="15.140625" style="55" customWidth="1"/>
    <col min="3590" max="3590" width="17.7109375" style="55" customWidth="1"/>
    <col min="3591" max="3840" width="9.140625" style="55"/>
    <col min="3841" max="3841" width="0" style="55" hidden="1" customWidth="1"/>
    <col min="3842" max="3842" width="28.7109375" style="55" customWidth="1"/>
    <col min="3843" max="3844" width="20" style="55" customWidth="1"/>
    <col min="3845" max="3845" width="15.140625" style="55" customWidth="1"/>
    <col min="3846" max="3846" width="17.7109375" style="55" customWidth="1"/>
    <col min="3847" max="4096" width="9.140625" style="55"/>
    <col min="4097" max="4097" width="0" style="55" hidden="1" customWidth="1"/>
    <col min="4098" max="4098" width="28.7109375" style="55" customWidth="1"/>
    <col min="4099" max="4100" width="20" style="55" customWidth="1"/>
    <col min="4101" max="4101" width="15.140625" style="55" customWidth="1"/>
    <col min="4102" max="4102" width="17.7109375" style="55" customWidth="1"/>
    <col min="4103" max="4352" width="9.140625" style="55"/>
    <col min="4353" max="4353" width="0" style="55" hidden="1" customWidth="1"/>
    <col min="4354" max="4354" width="28.7109375" style="55" customWidth="1"/>
    <col min="4355" max="4356" width="20" style="55" customWidth="1"/>
    <col min="4357" max="4357" width="15.140625" style="55" customWidth="1"/>
    <col min="4358" max="4358" width="17.7109375" style="55" customWidth="1"/>
    <col min="4359" max="4608" width="9.140625" style="55"/>
    <col min="4609" max="4609" width="0" style="55" hidden="1" customWidth="1"/>
    <col min="4610" max="4610" width="28.7109375" style="55" customWidth="1"/>
    <col min="4611" max="4612" width="20" style="55" customWidth="1"/>
    <col min="4613" max="4613" width="15.140625" style="55" customWidth="1"/>
    <col min="4614" max="4614" width="17.7109375" style="55" customWidth="1"/>
    <col min="4615" max="4864" width="9.140625" style="55"/>
    <col min="4865" max="4865" width="0" style="55" hidden="1" customWidth="1"/>
    <col min="4866" max="4866" width="28.7109375" style="55" customWidth="1"/>
    <col min="4867" max="4868" width="20" style="55" customWidth="1"/>
    <col min="4869" max="4869" width="15.140625" style="55" customWidth="1"/>
    <col min="4870" max="4870" width="17.7109375" style="55" customWidth="1"/>
    <col min="4871" max="5120" width="9.140625" style="55"/>
    <col min="5121" max="5121" width="0" style="55" hidden="1" customWidth="1"/>
    <col min="5122" max="5122" width="28.7109375" style="55" customWidth="1"/>
    <col min="5123" max="5124" width="20" style="55" customWidth="1"/>
    <col min="5125" max="5125" width="15.140625" style="55" customWidth="1"/>
    <col min="5126" max="5126" width="17.7109375" style="55" customWidth="1"/>
    <col min="5127" max="5376" width="9.140625" style="55"/>
    <col min="5377" max="5377" width="0" style="55" hidden="1" customWidth="1"/>
    <col min="5378" max="5378" width="28.7109375" style="55" customWidth="1"/>
    <col min="5379" max="5380" width="20" style="55" customWidth="1"/>
    <col min="5381" max="5381" width="15.140625" style="55" customWidth="1"/>
    <col min="5382" max="5382" width="17.7109375" style="55" customWidth="1"/>
    <col min="5383" max="5632" width="9.140625" style="55"/>
    <col min="5633" max="5633" width="0" style="55" hidden="1" customWidth="1"/>
    <col min="5634" max="5634" width="28.7109375" style="55" customWidth="1"/>
    <col min="5635" max="5636" width="20" style="55" customWidth="1"/>
    <col min="5637" max="5637" width="15.140625" style="55" customWidth="1"/>
    <col min="5638" max="5638" width="17.7109375" style="55" customWidth="1"/>
    <col min="5639" max="5888" width="9.140625" style="55"/>
    <col min="5889" max="5889" width="0" style="55" hidden="1" customWidth="1"/>
    <col min="5890" max="5890" width="28.7109375" style="55" customWidth="1"/>
    <col min="5891" max="5892" width="20" style="55" customWidth="1"/>
    <col min="5893" max="5893" width="15.140625" style="55" customWidth="1"/>
    <col min="5894" max="5894" width="17.7109375" style="55" customWidth="1"/>
    <col min="5895" max="6144" width="9.140625" style="55"/>
    <col min="6145" max="6145" width="0" style="55" hidden="1" customWidth="1"/>
    <col min="6146" max="6146" width="28.7109375" style="55" customWidth="1"/>
    <col min="6147" max="6148" width="20" style="55" customWidth="1"/>
    <col min="6149" max="6149" width="15.140625" style="55" customWidth="1"/>
    <col min="6150" max="6150" width="17.7109375" style="55" customWidth="1"/>
    <col min="6151" max="6400" width="9.140625" style="55"/>
    <col min="6401" max="6401" width="0" style="55" hidden="1" customWidth="1"/>
    <col min="6402" max="6402" width="28.7109375" style="55" customWidth="1"/>
    <col min="6403" max="6404" width="20" style="55" customWidth="1"/>
    <col min="6405" max="6405" width="15.140625" style="55" customWidth="1"/>
    <col min="6406" max="6406" width="17.7109375" style="55" customWidth="1"/>
    <col min="6407" max="6656" width="9.140625" style="55"/>
    <col min="6657" max="6657" width="0" style="55" hidden="1" customWidth="1"/>
    <col min="6658" max="6658" width="28.7109375" style="55" customWidth="1"/>
    <col min="6659" max="6660" width="20" style="55" customWidth="1"/>
    <col min="6661" max="6661" width="15.140625" style="55" customWidth="1"/>
    <col min="6662" max="6662" width="17.7109375" style="55" customWidth="1"/>
    <col min="6663" max="6912" width="9.140625" style="55"/>
    <col min="6913" max="6913" width="0" style="55" hidden="1" customWidth="1"/>
    <col min="6914" max="6914" width="28.7109375" style="55" customWidth="1"/>
    <col min="6915" max="6916" width="20" style="55" customWidth="1"/>
    <col min="6917" max="6917" width="15.140625" style="55" customWidth="1"/>
    <col min="6918" max="6918" width="17.7109375" style="55" customWidth="1"/>
    <col min="6919" max="7168" width="9.140625" style="55"/>
    <col min="7169" max="7169" width="0" style="55" hidden="1" customWidth="1"/>
    <col min="7170" max="7170" width="28.7109375" style="55" customWidth="1"/>
    <col min="7171" max="7172" width="20" style="55" customWidth="1"/>
    <col min="7173" max="7173" width="15.140625" style="55" customWidth="1"/>
    <col min="7174" max="7174" width="17.7109375" style="55" customWidth="1"/>
    <col min="7175" max="7424" width="9.140625" style="55"/>
    <col min="7425" max="7425" width="0" style="55" hidden="1" customWidth="1"/>
    <col min="7426" max="7426" width="28.7109375" style="55" customWidth="1"/>
    <col min="7427" max="7428" width="20" style="55" customWidth="1"/>
    <col min="7429" max="7429" width="15.140625" style="55" customWidth="1"/>
    <col min="7430" max="7430" width="17.7109375" style="55" customWidth="1"/>
    <col min="7431" max="7680" width="9.140625" style="55"/>
    <col min="7681" max="7681" width="0" style="55" hidden="1" customWidth="1"/>
    <col min="7682" max="7682" width="28.7109375" style="55" customWidth="1"/>
    <col min="7683" max="7684" width="20" style="55" customWidth="1"/>
    <col min="7685" max="7685" width="15.140625" style="55" customWidth="1"/>
    <col min="7686" max="7686" width="17.7109375" style="55" customWidth="1"/>
    <col min="7687" max="7936" width="9.140625" style="55"/>
    <col min="7937" max="7937" width="0" style="55" hidden="1" customWidth="1"/>
    <col min="7938" max="7938" width="28.7109375" style="55" customWidth="1"/>
    <col min="7939" max="7940" width="20" style="55" customWidth="1"/>
    <col min="7941" max="7941" width="15.140625" style="55" customWidth="1"/>
    <col min="7942" max="7942" width="17.7109375" style="55" customWidth="1"/>
    <col min="7943" max="8192" width="9.140625" style="55"/>
    <col min="8193" max="8193" width="0" style="55" hidden="1" customWidth="1"/>
    <col min="8194" max="8194" width="28.7109375" style="55" customWidth="1"/>
    <col min="8195" max="8196" width="20" style="55" customWidth="1"/>
    <col min="8197" max="8197" width="15.140625" style="55" customWidth="1"/>
    <col min="8198" max="8198" width="17.7109375" style="55" customWidth="1"/>
    <col min="8199" max="8448" width="9.140625" style="55"/>
    <col min="8449" max="8449" width="0" style="55" hidden="1" customWidth="1"/>
    <col min="8450" max="8450" width="28.7109375" style="55" customWidth="1"/>
    <col min="8451" max="8452" width="20" style="55" customWidth="1"/>
    <col min="8453" max="8453" width="15.140625" style="55" customWidth="1"/>
    <col min="8454" max="8454" width="17.7109375" style="55" customWidth="1"/>
    <col min="8455" max="8704" width="9.140625" style="55"/>
    <col min="8705" max="8705" width="0" style="55" hidden="1" customWidth="1"/>
    <col min="8706" max="8706" width="28.7109375" style="55" customWidth="1"/>
    <col min="8707" max="8708" width="20" style="55" customWidth="1"/>
    <col min="8709" max="8709" width="15.140625" style="55" customWidth="1"/>
    <col min="8710" max="8710" width="17.7109375" style="55" customWidth="1"/>
    <col min="8711" max="8960" width="9.140625" style="55"/>
    <col min="8961" max="8961" width="0" style="55" hidden="1" customWidth="1"/>
    <col min="8962" max="8962" width="28.7109375" style="55" customWidth="1"/>
    <col min="8963" max="8964" width="20" style="55" customWidth="1"/>
    <col min="8965" max="8965" width="15.140625" style="55" customWidth="1"/>
    <col min="8966" max="8966" width="17.7109375" style="55" customWidth="1"/>
    <col min="8967" max="9216" width="9.140625" style="55"/>
    <col min="9217" max="9217" width="0" style="55" hidden="1" customWidth="1"/>
    <col min="9218" max="9218" width="28.7109375" style="55" customWidth="1"/>
    <col min="9219" max="9220" width="20" style="55" customWidth="1"/>
    <col min="9221" max="9221" width="15.140625" style="55" customWidth="1"/>
    <col min="9222" max="9222" width="17.7109375" style="55" customWidth="1"/>
    <col min="9223" max="9472" width="9.140625" style="55"/>
    <col min="9473" max="9473" width="0" style="55" hidden="1" customWidth="1"/>
    <col min="9474" max="9474" width="28.7109375" style="55" customWidth="1"/>
    <col min="9475" max="9476" width="20" style="55" customWidth="1"/>
    <col min="9477" max="9477" width="15.140625" style="55" customWidth="1"/>
    <col min="9478" max="9478" width="17.7109375" style="55" customWidth="1"/>
    <col min="9479" max="9728" width="9.140625" style="55"/>
    <col min="9729" max="9729" width="0" style="55" hidden="1" customWidth="1"/>
    <col min="9730" max="9730" width="28.7109375" style="55" customWidth="1"/>
    <col min="9731" max="9732" width="20" style="55" customWidth="1"/>
    <col min="9733" max="9733" width="15.140625" style="55" customWidth="1"/>
    <col min="9734" max="9734" width="17.7109375" style="55" customWidth="1"/>
    <col min="9735" max="9984" width="9.140625" style="55"/>
    <col min="9985" max="9985" width="0" style="55" hidden="1" customWidth="1"/>
    <col min="9986" max="9986" width="28.7109375" style="55" customWidth="1"/>
    <col min="9987" max="9988" width="20" style="55" customWidth="1"/>
    <col min="9989" max="9989" width="15.140625" style="55" customWidth="1"/>
    <col min="9990" max="9990" width="17.7109375" style="55" customWidth="1"/>
    <col min="9991" max="10240" width="9.140625" style="55"/>
    <col min="10241" max="10241" width="0" style="55" hidden="1" customWidth="1"/>
    <col min="10242" max="10242" width="28.7109375" style="55" customWidth="1"/>
    <col min="10243" max="10244" width="20" style="55" customWidth="1"/>
    <col min="10245" max="10245" width="15.140625" style="55" customWidth="1"/>
    <col min="10246" max="10246" width="17.7109375" style="55" customWidth="1"/>
    <col min="10247" max="10496" width="9.140625" style="55"/>
    <col min="10497" max="10497" width="0" style="55" hidden="1" customWidth="1"/>
    <col min="10498" max="10498" width="28.7109375" style="55" customWidth="1"/>
    <col min="10499" max="10500" width="20" style="55" customWidth="1"/>
    <col min="10501" max="10501" width="15.140625" style="55" customWidth="1"/>
    <col min="10502" max="10502" width="17.7109375" style="55" customWidth="1"/>
    <col min="10503" max="10752" width="9.140625" style="55"/>
    <col min="10753" max="10753" width="0" style="55" hidden="1" customWidth="1"/>
    <col min="10754" max="10754" width="28.7109375" style="55" customWidth="1"/>
    <col min="10755" max="10756" width="20" style="55" customWidth="1"/>
    <col min="10757" max="10757" width="15.140625" style="55" customWidth="1"/>
    <col min="10758" max="10758" width="17.7109375" style="55" customWidth="1"/>
    <col min="10759" max="11008" width="9.140625" style="55"/>
    <col min="11009" max="11009" width="0" style="55" hidden="1" customWidth="1"/>
    <col min="11010" max="11010" width="28.7109375" style="55" customWidth="1"/>
    <col min="11011" max="11012" width="20" style="55" customWidth="1"/>
    <col min="11013" max="11013" width="15.140625" style="55" customWidth="1"/>
    <col min="11014" max="11014" width="17.7109375" style="55" customWidth="1"/>
    <col min="11015" max="11264" width="9.140625" style="55"/>
    <col min="11265" max="11265" width="0" style="55" hidden="1" customWidth="1"/>
    <col min="11266" max="11266" width="28.7109375" style="55" customWidth="1"/>
    <col min="11267" max="11268" width="20" style="55" customWidth="1"/>
    <col min="11269" max="11269" width="15.140625" style="55" customWidth="1"/>
    <col min="11270" max="11270" width="17.7109375" style="55" customWidth="1"/>
    <col min="11271" max="11520" width="9.140625" style="55"/>
    <col min="11521" max="11521" width="0" style="55" hidden="1" customWidth="1"/>
    <col min="11522" max="11522" width="28.7109375" style="55" customWidth="1"/>
    <col min="11523" max="11524" width="20" style="55" customWidth="1"/>
    <col min="11525" max="11525" width="15.140625" style="55" customWidth="1"/>
    <col min="11526" max="11526" width="17.7109375" style="55" customWidth="1"/>
    <col min="11527" max="11776" width="9.140625" style="55"/>
    <col min="11777" max="11777" width="0" style="55" hidden="1" customWidth="1"/>
    <col min="11778" max="11778" width="28.7109375" style="55" customWidth="1"/>
    <col min="11779" max="11780" width="20" style="55" customWidth="1"/>
    <col min="11781" max="11781" width="15.140625" style="55" customWidth="1"/>
    <col min="11782" max="11782" width="17.7109375" style="55" customWidth="1"/>
    <col min="11783" max="12032" width="9.140625" style="55"/>
    <col min="12033" max="12033" width="0" style="55" hidden="1" customWidth="1"/>
    <col min="12034" max="12034" width="28.7109375" style="55" customWidth="1"/>
    <col min="12035" max="12036" width="20" style="55" customWidth="1"/>
    <col min="12037" max="12037" width="15.140625" style="55" customWidth="1"/>
    <col min="12038" max="12038" width="17.7109375" style="55" customWidth="1"/>
    <col min="12039" max="12288" width="9.140625" style="55"/>
    <col min="12289" max="12289" width="0" style="55" hidden="1" customWidth="1"/>
    <col min="12290" max="12290" width="28.7109375" style="55" customWidth="1"/>
    <col min="12291" max="12292" width="20" style="55" customWidth="1"/>
    <col min="12293" max="12293" width="15.140625" style="55" customWidth="1"/>
    <col min="12294" max="12294" width="17.7109375" style="55" customWidth="1"/>
    <col min="12295" max="12544" width="9.140625" style="55"/>
    <col min="12545" max="12545" width="0" style="55" hidden="1" customWidth="1"/>
    <col min="12546" max="12546" width="28.7109375" style="55" customWidth="1"/>
    <col min="12547" max="12548" width="20" style="55" customWidth="1"/>
    <col min="12549" max="12549" width="15.140625" style="55" customWidth="1"/>
    <col min="12550" max="12550" width="17.7109375" style="55" customWidth="1"/>
    <col min="12551" max="12800" width="9.140625" style="55"/>
    <col min="12801" max="12801" width="0" style="55" hidden="1" customWidth="1"/>
    <col min="12802" max="12802" width="28.7109375" style="55" customWidth="1"/>
    <col min="12803" max="12804" width="20" style="55" customWidth="1"/>
    <col min="12805" max="12805" width="15.140625" style="55" customWidth="1"/>
    <col min="12806" max="12806" width="17.7109375" style="55" customWidth="1"/>
    <col min="12807" max="13056" width="9.140625" style="55"/>
    <col min="13057" max="13057" width="0" style="55" hidden="1" customWidth="1"/>
    <col min="13058" max="13058" width="28.7109375" style="55" customWidth="1"/>
    <col min="13059" max="13060" width="20" style="55" customWidth="1"/>
    <col min="13061" max="13061" width="15.140625" style="55" customWidth="1"/>
    <col min="13062" max="13062" width="17.7109375" style="55" customWidth="1"/>
    <col min="13063" max="13312" width="9.140625" style="55"/>
    <col min="13313" max="13313" width="0" style="55" hidden="1" customWidth="1"/>
    <col min="13314" max="13314" width="28.7109375" style="55" customWidth="1"/>
    <col min="13315" max="13316" width="20" style="55" customWidth="1"/>
    <col min="13317" max="13317" width="15.140625" style="55" customWidth="1"/>
    <col min="13318" max="13318" width="17.7109375" style="55" customWidth="1"/>
    <col min="13319" max="13568" width="9.140625" style="55"/>
    <col min="13569" max="13569" width="0" style="55" hidden="1" customWidth="1"/>
    <col min="13570" max="13570" width="28.7109375" style="55" customWidth="1"/>
    <col min="13571" max="13572" width="20" style="55" customWidth="1"/>
    <col min="13573" max="13573" width="15.140625" style="55" customWidth="1"/>
    <col min="13574" max="13574" width="17.7109375" style="55" customWidth="1"/>
    <col min="13575" max="13824" width="9.140625" style="55"/>
    <col min="13825" max="13825" width="0" style="55" hidden="1" customWidth="1"/>
    <col min="13826" max="13826" width="28.7109375" style="55" customWidth="1"/>
    <col min="13827" max="13828" width="20" style="55" customWidth="1"/>
    <col min="13829" max="13829" width="15.140625" style="55" customWidth="1"/>
    <col min="13830" max="13830" width="17.7109375" style="55" customWidth="1"/>
    <col min="13831" max="14080" width="9.140625" style="55"/>
    <col min="14081" max="14081" width="0" style="55" hidden="1" customWidth="1"/>
    <col min="14082" max="14082" width="28.7109375" style="55" customWidth="1"/>
    <col min="14083" max="14084" width="20" style="55" customWidth="1"/>
    <col min="14085" max="14085" width="15.140625" style="55" customWidth="1"/>
    <col min="14086" max="14086" width="17.7109375" style="55" customWidth="1"/>
    <col min="14087" max="14336" width="9.140625" style="55"/>
    <col min="14337" max="14337" width="0" style="55" hidden="1" customWidth="1"/>
    <col min="14338" max="14338" width="28.7109375" style="55" customWidth="1"/>
    <col min="14339" max="14340" width="20" style="55" customWidth="1"/>
    <col min="14341" max="14341" width="15.140625" style="55" customWidth="1"/>
    <col min="14342" max="14342" width="17.7109375" style="55" customWidth="1"/>
    <col min="14343" max="14592" width="9.140625" style="55"/>
    <col min="14593" max="14593" width="0" style="55" hidden="1" customWidth="1"/>
    <col min="14594" max="14594" width="28.7109375" style="55" customWidth="1"/>
    <col min="14595" max="14596" width="20" style="55" customWidth="1"/>
    <col min="14597" max="14597" width="15.140625" style="55" customWidth="1"/>
    <col min="14598" max="14598" width="17.7109375" style="55" customWidth="1"/>
    <col min="14599" max="14848" width="9.140625" style="55"/>
    <col min="14849" max="14849" width="0" style="55" hidden="1" customWidth="1"/>
    <col min="14850" max="14850" width="28.7109375" style="55" customWidth="1"/>
    <col min="14851" max="14852" width="20" style="55" customWidth="1"/>
    <col min="14853" max="14853" width="15.140625" style="55" customWidth="1"/>
    <col min="14854" max="14854" width="17.7109375" style="55" customWidth="1"/>
    <col min="14855" max="15104" width="9.140625" style="55"/>
    <col min="15105" max="15105" width="0" style="55" hidden="1" customWidth="1"/>
    <col min="15106" max="15106" width="28.7109375" style="55" customWidth="1"/>
    <col min="15107" max="15108" width="20" style="55" customWidth="1"/>
    <col min="15109" max="15109" width="15.140625" style="55" customWidth="1"/>
    <col min="15110" max="15110" width="17.7109375" style="55" customWidth="1"/>
    <col min="15111" max="15360" width="9.140625" style="55"/>
    <col min="15361" max="15361" width="0" style="55" hidden="1" customWidth="1"/>
    <col min="15362" max="15362" width="28.7109375" style="55" customWidth="1"/>
    <col min="15363" max="15364" width="20" style="55" customWidth="1"/>
    <col min="15365" max="15365" width="15.140625" style="55" customWidth="1"/>
    <col min="15366" max="15366" width="17.7109375" style="55" customWidth="1"/>
    <col min="15367" max="15616" width="9.140625" style="55"/>
    <col min="15617" max="15617" width="0" style="55" hidden="1" customWidth="1"/>
    <col min="15618" max="15618" width="28.7109375" style="55" customWidth="1"/>
    <col min="15619" max="15620" width="20" style="55" customWidth="1"/>
    <col min="15621" max="15621" width="15.140625" style="55" customWidth="1"/>
    <col min="15622" max="15622" width="17.7109375" style="55" customWidth="1"/>
    <col min="15623" max="15872" width="9.140625" style="55"/>
    <col min="15873" max="15873" width="0" style="55" hidden="1" customWidth="1"/>
    <col min="15874" max="15874" width="28.7109375" style="55" customWidth="1"/>
    <col min="15875" max="15876" width="20" style="55" customWidth="1"/>
    <col min="15877" max="15877" width="15.140625" style="55" customWidth="1"/>
    <col min="15878" max="15878" width="17.7109375" style="55" customWidth="1"/>
    <col min="15879" max="16128" width="9.140625" style="55"/>
    <col min="16129" max="16129" width="0" style="55" hidden="1" customWidth="1"/>
    <col min="16130" max="16130" width="28.7109375" style="55" customWidth="1"/>
    <col min="16131" max="16132" width="20" style="55" customWidth="1"/>
    <col min="16133" max="16133" width="15.140625" style="55" customWidth="1"/>
    <col min="16134" max="16134" width="17.7109375" style="55" customWidth="1"/>
    <col min="16135" max="16384" width="9.140625" style="55"/>
  </cols>
  <sheetData>
    <row r="1" spans="1:9" ht="60" customHeight="1">
      <c r="B1" s="208" t="s">
        <v>103</v>
      </c>
      <c r="C1" s="208"/>
      <c r="D1" s="208"/>
      <c r="E1" s="208"/>
      <c r="F1" s="208"/>
    </row>
    <row r="2" spans="1:9" ht="14.25">
      <c r="B2" s="209"/>
      <c r="C2" s="210" t="s">
        <v>1</v>
      </c>
      <c r="D2" s="212" t="s">
        <v>2</v>
      </c>
      <c r="E2" s="212"/>
    </row>
    <row r="3" spans="1:9" ht="27">
      <c r="A3" s="4"/>
      <c r="B3" s="209"/>
      <c r="C3" s="211"/>
      <c r="D3" s="56" t="s">
        <v>3</v>
      </c>
      <c r="E3" s="56" t="s">
        <v>4</v>
      </c>
      <c r="F3" s="56" t="s">
        <v>5</v>
      </c>
    </row>
    <row r="4" spans="1:9" ht="24" customHeight="1">
      <c r="A4" s="4"/>
      <c r="B4" s="6" t="s">
        <v>6</v>
      </c>
      <c r="C4" s="7">
        <v>3495</v>
      </c>
      <c r="D4" s="7">
        <v>747</v>
      </c>
      <c r="E4" s="7">
        <v>74</v>
      </c>
      <c r="F4" s="7">
        <v>2</v>
      </c>
    </row>
    <row r="5" spans="1:9" s="11" customFormat="1" ht="25.5" customHeight="1">
      <c r="A5" s="9"/>
      <c r="B5" s="10" t="s">
        <v>7</v>
      </c>
      <c r="C5" s="7">
        <v>2342</v>
      </c>
      <c r="D5" s="7">
        <v>482</v>
      </c>
      <c r="E5" s="7">
        <v>41</v>
      </c>
      <c r="F5" s="7">
        <v>2</v>
      </c>
    </row>
    <row r="6" spans="1:9" ht="12.75" customHeight="1">
      <c r="A6" s="12">
        <v>51</v>
      </c>
      <c r="B6" s="13" t="s">
        <v>8</v>
      </c>
      <c r="C6" s="176">
        <v>74</v>
      </c>
      <c r="D6" s="176">
        <v>13</v>
      </c>
      <c r="E6" s="176">
        <v>0</v>
      </c>
      <c r="F6" s="176">
        <v>0</v>
      </c>
    </row>
    <row r="7" spans="1:9" ht="12.75" customHeight="1">
      <c r="A7" s="12">
        <v>52</v>
      </c>
      <c r="B7" s="13" t="s">
        <v>9</v>
      </c>
      <c r="C7" s="176">
        <v>119</v>
      </c>
      <c r="D7" s="176">
        <v>30</v>
      </c>
      <c r="E7" s="176">
        <v>1</v>
      </c>
      <c r="F7" s="176">
        <v>0</v>
      </c>
    </row>
    <row r="8" spans="1:9">
      <c r="A8" s="12">
        <v>86</v>
      </c>
      <c r="B8" s="13" t="s">
        <v>10</v>
      </c>
      <c r="C8" s="176">
        <v>75</v>
      </c>
      <c r="D8" s="176">
        <v>19</v>
      </c>
      <c r="E8" s="176">
        <v>6</v>
      </c>
      <c r="F8" s="176">
        <v>0</v>
      </c>
    </row>
    <row r="9" spans="1:9" ht="12.75" customHeight="1">
      <c r="A9" s="12">
        <v>53</v>
      </c>
      <c r="B9" s="13" t="s">
        <v>11</v>
      </c>
      <c r="C9" s="176">
        <v>42</v>
      </c>
      <c r="D9" s="176">
        <v>7</v>
      </c>
      <c r="E9" s="176">
        <v>1</v>
      </c>
      <c r="F9" s="176">
        <v>0</v>
      </c>
    </row>
    <row r="10" spans="1:9" ht="12.75" customHeight="1">
      <c r="A10" s="12">
        <v>54</v>
      </c>
      <c r="B10" s="13" t="s">
        <v>12</v>
      </c>
      <c r="C10" s="176">
        <v>126</v>
      </c>
      <c r="D10" s="176">
        <v>16</v>
      </c>
      <c r="E10" s="176">
        <v>0</v>
      </c>
      <c r="F10" s="176">
        <v>0</v>
      </c>
    </row>
    <row r="11" spans="1:9" ht="12.75" customHeight="1">
      <c r="A11" s="12">
        <v>55</v>
      </c>
      <c r="B11" s="13" t="s">
        <v>13</v>
      </c>
      <c r="C11" s="176">
        <v>19</v>
      </c>
      <c r="D11" s="176">
        <v>5</v>
      </c>
      <c r="E11" s="176">
        <v>1</v>
      </c>
      <c r="F11" s="176">
        <v>0</v>
      </c>
    </row>
    <row r="12" spans="1:9" ht="12.75" customHeight="1">
      <c r="A12" s="12">
        <v>56</v>
      </c>
      <c r="B12" s="13" t="s">
        <v>14</v>
      </c>
      <c r="C12" s="176">
        <v>21</v>
      </c>
      <c r="D12" s="176">
        <v>5</v>
      </c>
      <c r="E12" s="176">
        <v>1</v>
      </c>
      <c r="F12" s="176">
        <v>0</v>
      </c>
      <c r="I12" s="174"/>
    </row>
    <row r="13" spans="1:9" ht="12.75" customHeight="1">
      <c r="A13" s="12">
        <v>57</v>
      </c>
      <c r="B13" s="13" t="s">
        <v>15</v>
      </c>
      <c r="C13" s="176">
        <v>50</v>
      </c>
      <c r="D13" s="176">
        <v>14</v>
      </c>
      <c r="E13" s="176">
        <v>0</v>
      </c>
      <c r="F13" s="176">
        <v>0</v>
      </c>
      <c r="I13" s="174"/>
    </row>
    <row r="14" spans="1:9" ht="12.75" customHeight="1">
      <c r="A14" s="12">
        <v>59</v>
      </c>
      <c r="B14" s="13" t="s">
        <v>16</v>
      </c>
      <c r="C14" s="176">
        <v>15</v>
      </c>
      <c r="D14" s="176">
        <v>10</v>
      </c>
      <c r="E14" s="176">
        <v>0</v>
      </c>
      <c r="F14" s="176">
        <v>0</v>
      </c>
    </row>
    <row r="15" spans="1:9" ht="12.75" customHeight="1">
      <c r="A15" s="12">
        <v>60</v>
      </c>
      <c r="B15" s="13" t="s">
        <v>17</v>
      </c>
      <c r="C15" s="176">
        <v>40</v>
      </c>
      <c r="D15" s="176">
        <v>11</v>
      </c>
      <c r="E15" s="176">
        <v>0</v>
      </c>
      <c r="F15" s="176">
        <v>0</v>
      </c>
    </row>
    <row r="16" spans="1:9" ht="12.75" customHeight="1">
      <c r="A16" s="12">
        <v>61</v>
      </c>
      <c r="B16" s="15" t="s">
        <v>18</v>
      </c>
      <c r="C16" s="176">
        <v>131</v>
      </c>
      <c r="D16" s="176">
        <v>21</v>
      </c>
      <c r="E16" s="176">
        <v>5</v>
      </c>
      <c r="F16" s="176">
        <v>0</v>
      </c>
    </row>
    <row r="17" spans="1:6" s="186" customFormat="1" ht="12.75" customHeight="1">
      <c r="A17" s="12"/>
      <c r="B17" s="132" t="s">
        <v>125</v>
      </c>
      <c r="C17" s="165" t="s">
        <v>126</v>
      </c>
      <c r="D17" s="165" t="s">
        <v>126</v>
      </c>
      <c r="E17" s="165" t="s">
        <v>126</v>
      </c>
      <c r="F17" s="165" t="s">
        <v>126</v>
      </c>
    </row>
    <row r="18" spans="1:6" ht="12.75" customHeight="1">
      <c r="A18" s="12">
        <v>62</v>
      </c>
      <c r="B18" s="13" t="s">
        <v>19</v>
      </c>
      <c r="C18" s="176">
        <v>50</v>
      </c>
      <c r="D18" s="176">
        <v>12</v>
      </c>
      <c r="E18" s="176">
        <v>0</v>
      </c>
      <c r="F18" s="176">
        <v>0</v>
      </c>
    </row>
    <row r="19" spans="1:6" ht="12.75" customHeight="1">
      <c r="A19" s="12">
        <v>58</v>
      </c>
      <c r="B19" s="13" t="s">
        <v>20</v>
      </c>
      <c r="C19" s="176">
        <v>15</v>
      </c>
      <c r="D19" s="176">
        <v>0</v>
      </c>
      <c r="E19" s="176">
        <v>0</v>
      </c>
      <c r="F19" s="176">
        <v>0</v>
      </c>
    </row>
    <row r="20" spans="1:6" ht="12.75" customHeight="1">
      <c r="A20" s="12">
        <v>63</v>
      </c>
      <c r="B20" s="13" t="s">
        <v>21</v>
      </c>
      <c r="C20" s="176">
        <v>95</v>
      </c>
      <c r="D20" s="176">
        <v>16</v>
      </c>
      <c r="E20" s="176">
        <v>1</v>
      </c>
      <c r="F20" s="176">
        <v>0</v>
      </c>
    </row>
    <row r="21" spans="1:6" ht="12.75" customHeight="1">
      <c r="A21" s="12">
        <v>64</v>
      </c>
      <c r="B21" s="13" t="s">
        <v>22</v>
      </c>
      <c r="C21" s="176">
        <v>96</v>
      </c>
      <c r="D21" s="176">
        <v>12</v>
      </c>
      <c r="E21" s="176">
        <v>4</v>
      </c>
      <c r="F21" s="176">
        <v>0</v>
      </c>
    </row>
    <row r="22" spans="1:6">
      <c r="A22" s="12">
        <v>65</v>
      </c>
      <c r="B22" s="13" t="s">
        <v>23</v>
      </c>
      <c r="C22" s="176">
        <v>72</v>
      </c>
      <c r="D22" s="176">
        <v>18</v>
      </c>
      <c r="E22" s="176">
        <v>0</v>
      </c>
      <c r="F22" s="176">
        <v>0</v>
      </c>
    </row>
    <row r="23" spans="1:6" ht="12.75" customHeight="1">
      <c r="A23" s="12">
        <v>67</v>
      </c>
      <c r="B23" s="13" t="s">
        <v>24</v>
      </c>
      <c r="C23" s="176">
        <v>127</v>
      </c>
      <c r="D23" s="176">
        <v>17</v>
      </c>
      <c r="E23" s="176">
        <v>2</v>
      </c>
      <c r="F23" s="176">
        <v>2</v>
      </c>
    </row>
    <row r="24" spans="1:6">
      <c r="A24" s="12">
        <v>68</v>
      </c>
      <c r="B24" s="13" t="s">
        <v>25</v>
      </c>
      <c r="C24" s="176">
        <v>91</v>
      </c>
      <c r="D24" s="176">
        <v>21</v>
      </c>
      <c r="E24" s="176">
        <v>2</v>
      </c>
      <c r="F24" s="176">
        <v>0</v>
      </c>
    </row>
    <row r="25" spans="1:6">
      <c r="A25" s="12">
        <v>69</v>
      </c>
      <c r="B25" s="13" t="s">
        <v>26</v>
      </c>
      <c r="C25" s="176">
        <v>68</v>
      </c>
      <c r="D25" s="176">
        <v>17</v>
      </c>
      <c r="E25" s="176">
        <v>2</v>
      </c>
      <c r="F25" s="176">
        <v>0</v>
      </c>
    </row>
    <row r="26" spans="1:6">
      <c r="A26" s="12">
        <v>70</v>
      </c>
      <c r="B26" s="13" t="s">
        <v>27</v>
      </c>
      <c r="C26" s="176">
        <v>59</v>
      </c>
      <c r="D26" s="176">
        <v>9</v>
      </c>
      <c r="E26" s="176">
        <v>0</v>
      </c>
      <c r="F26" s="176">
        <v>0</v>
      </c>
    </row>
    <row r="27" spans="1:6">
      <c r="A27" s="12">
        <v>71</v>
      </c>
      <c r="B27" s="16" t="s">
        <v>28</v>
      </c>
      <c r="C27" s="176">
        <v>12</v>
      </c>
      <c r="D27" s="176">
        <v>3</v>
      </c>
      <c r="E27" s="176">
        <v>0</v>
      </c>
      <c r="F27" s="176">
        <v>0</v>
      </c>
    </row>
    <row r="28" spans="1:6">
      <c r="A28" s="12">
        <v>73</v>
      </c>
      <c r="B28" s="13" t="s">
        <v>29</v>
      </c>
      <c r="C28" s="17">
        <v>78</v>
      </c>
      <c r="D28" s="17">
        <v>13</v>
      </c>
      <c r="E28" s="17">
        <v>1</v>
      </c>
      <c r="F28" s="17">
        <v>0</v>
      </c>
    </row>
    <row r="29" spans="1:6">
      <c r="A29" s="12">
        <v>74</v>
      </c>
      <c r="B29" s="13" t="s">
        <v>30</v>
      </c>
      <c r="C29" s="176">
        <v>55</v>
      </c>
      <c r="D29" s="176">
        <v>13</v>
      </c>
      <c r="E29" s="176">
        <v>0</v>
      </c>
      <c r="F29" s="176">
        <v>0</v>
      </c>
    </row>
    <row r="30" spans="1:6">
      <c r="A30" s="12">
        <v>75</v>
      </c>
      <c r="B30" s="13" t="s">
        <v>31</v>
      </c>
      <c r="C30" s="176">
        <v>51</v>
      </c>
      <c r="D30" s="176">
        <v>13</v>
      </c>
      <c r="E30" s="176">
        <v>0</v>
      </c>
      <c r="F30" s="176">
        <v>0</v>
      </c>
    </row>
    <row r="31" spans="1:6">
      <c r="A31" s="12">
        <v>76</v>
      </c>
      <c r="B31" s="13" t="s">
        <v>32</v>
      </c>
      <c r="C31" s="176">
        <v>17</v>
      </c>
      <c r="D31" s="176">
        <v>7</v>
      </c>
      <c r="E31" s="176">
        <v>0</v>
      </c>
      <c r="F31" s="176">
        <v>0</v>
      </c>
    </row>
    <row r="32" spans="1:6">
      <c r="A32" s="12">
        <v>79</v>
      </c>
      <c r="B32" s="13" t="s">
        <v>33</v>
      </c>
      <c r="C32" s="176">
        <v>82</v>
      </c>
      <c r="D32" s="176">
        <v>38</v>
      </c>
      <c r="E32" s="176">
        <v>0</v>
      </c>
      <c r="F32" s="176">
        <v>0</v>
      </c>
    </row>
    <row r="33" spans="1:6">
      <c r="A33" s="12">
        <v>80</v>
      </c>
      <c r="B33" s="13" t="s">
        <v>34</v>
      </c>
      <c r="C33" s="176">
        <v>46</v>
      </c>
      <c r="D33" s="176">
        <v>6</v>
      </c>
      <c r="E33" s="176">
        <v>1</v>
      </c>
      <c r="F33" s="176">
        <v>0</v>
      </c>
    </row>
    <row r="34" spans="1:6">
      <c r="A34" s="12">
        <v>81</v>
      </c>
      <c r="B34" s="13" t="s">
        <v>35</v>
      </c>
      <c r="C34" s="176">
        <v>66</v>
      </c>
      <c r="D34" s="176">
        <v>14</v>
      </c>
      <c r="E34" s="176">
        <v>0</v>
      </c>
      <c r="F34" s="176">
        <v>0</v>
      </c>
    </row>
    <row r="35" spans="1:6">
      <c r="A35" s="12">
        <v>83</v>
      </c>
      <c r="B35" s="13" t="s">
        <v>36</v>
      </c>
      <c r="C35" s="176">
        <v>26</v>
      </c>
      <c r="D35" s="176">
        <v>0</v>
      </c>
      <c r="E35" s="176">
        <v>4</v>
      </c>
      <c r="F35" s="176">
        <v>0</v>
      </c>
    </row>
    <row r="36" spans="1:6">
      <c r="A36" s="12">
        <v>84</v>
      </c>
      <c r="B36" s="13" t="s">
        <v>37</v>
      </c>
      <c r="C36" s="176">
        <v>74</v>
      </c>
      <c r="D36" s="176">
        <v>19</v>
      </c>
      <c r="E36" s="176">
        <v>2</v>
      </c>
      <c r="F36" s="176">
        <v>0</v>
      </c>
    </row>
    <row r="37" spans="1:6">
      <c r="A37" s="12">
        <v>85</v>
      </c>
      <c r="B37" s="13" t="s">
        <v>38</v>
      </c>
      <c r="C37" s="176">
        <v>56</v>
      </c>
      <c r="D37" s="176">
        <v>6</v>
      </c>
      <c r="E37" s="176">
        <v>0</v>
      </c>
      <c r="F37" s="176">
        <v>0</v>
      </c>
    </row>
    <row r="38" spans="1:6">
      <c r="A38" s="12">
        <v>87</v>
      </c>
      <c r="B38" s="13" t="s">
        <v>39</v>
      </c>
      <c r="C38" s="176">
        <v>46</v>
      </c>
      <c r="D38" s="176">
        <v>8</v>
      </c>
      <c r="E38" s="176">
        <v>0</v>
      </c>
      <c r="F38" s="176">
        <v>0</v>
      </c>
    </row>
    <row r="39" spans="1:6">
      <c r="A39" s="12">
        <v>90</v>
      </c>
      <c r="B39" s="13" t="s">
        <v>40</v>
      </c>
      <c r="C39" s="176">
        <v>72</v>
      </c>
      <c r="D39" s="176">
        <v>8</v>
      </c>
      <c r="E39" s="176">
        <v>0</v>
      </c>
      <c r="F39" s="176">
        <v>0</v>
      </c>
    </row>
    <row r="40" spans="1:6">
      <c r="A40" s="12">
        <v>91</v>
      </c>
      <c r="B40" s="13" t="s">
        <v>41</v>
      </c>
      <c r="C40" s="176">
        <v>52</v>
      </c>
      <c r="D40" s="176">
        <v>9</v>
      </c>
      <c r="E40" s="176">
        <v>2</v>
      </c>
      <c r="F40" s="176">
        <v>0</v>
      </c>
    </row>
    <row r="41" spans="1:6">
      <c r="A41" s="12">
        <v>92</v>
      </c>
      <c r="B41" s="13" t="s">
        <v>42</v>
      </c>
      <c r="C41" s="176">
        <v>66</v>
      </c>
      <c r="D41" s="176">
        <v>15</v>
      </c>
      <c r="E41" s="176">
        <v>0</v>
      </c>
      <c r="F41" s="176">
        <v>0</v>
      </c>
    </row>
    <row r="42" spans="1:6">
      <c r="A42" s="12">
        <v>94</v>
      </c>
      <c r="B42" s="13" t="s">
        <v>43</v>
      </c>
      <c r="C42" s="176">
        <v>42</v>
      </c>
      <c r="D42" s="176">
        <v>15</v>
      </c>
      <c r="E42" s="176">
        <v>1</v>
      </c>
      <c r="F42" s="176">
        <v>0</v>
      </c>
    </row>
    <row r="43" spans="1:6">
      <c r="A43" s="12">
        <v>96</v>
      </c>
      <c r="B43" s="13" t="s">
        <v>44</v>
      </c>
      <c r="C43" s="176">
        <v>54</v>
      </c>
      <c r="D43" s="176">
        <v>13</v>
      </c>
      <c r="E43" s="176">
        <v>4</v>
      </c>
      <c r="F43" s="176">
        <v>0</v>
      </c>
    </row>
    <row r="44" spans="1:6">
      <c r="A44" s="12">
        <v>98</v>
      </c>
      <c r="B44" s="13" t="s">
        <v>45</v>
      </c>
      <c r="C44" s="176">
        <v>62</v>
      </c>
      <c r="D44" s="176">
        <v>9</v>
      </c>
      <c r="E44" s="176">
        <v>0</v>
      </c>
      <c r="F44" s="176">
        <v>0</v>
      </c>
    </row>
    <row r="45" spans="1:6">
      <c r="A45" s="12">
        <v>72</v>
      </c>
      <c r="B45" s="16" t="s">
        <v>46</v>
      </c>
      <c r="C45" s="176">
        <v>0</v>
      </c>
      <c r="D45" s="176">
        <v>0</v>
      </c>
      <c r="E45" s="176">
        <v>0</v>
      </c>
      <c r="F45" s="176">
        <v>0</v>
      </c>
    </row>
    <row r="46" spans="1:6" s="11" customFormat="1" ht="25.5" customHeight="1">
      <c r="B46" s="6" t="s">
        <v>47</v>
      </c>
      <c r="C46" s="7">
        <v>1153</v>
      </c>
      <c r="D46" s="7">
        <v>265</v>
      </c>
      <c r="E46" s="7">
        <v>33</v>
      </c>
      <c r="F46" s="7">
        <v>0</v>
      </c>
    </row>
    <row r="47" spans="1:6" ht="12.75" customHeight="1">
      <c r="A47" s="12">
        <v>66</v>
      </c>
      <c r="B47" s="19" t="s">
        <v>48</v>
      </c>
      <c r="C47" s="176">
        <v>132</v>
      </c>
      <c r="D47" s="176">
        <v>27</v>
      </c>
      <c r="E47" s="176">
        <v>2</v>
      </c>
      <c r="F47" s="176">
        <v>0</v>
      </c>
    </row>
    <row r="48" spans="1:6" ht="12.75" customHeight="1">
      <c r="A48" s="12">
        <v>78</v>
      </c>
      <c r="B48" s="13" t="s">
        <v>49</v>
      </c>
      <c r="C48" s="176">
        <v>56</v>
      </c>
      <c r="D48" s="176">
        <v>15</v>
      </c>
      <c r="E48" s="176">
        <v>2</v>
      </c>
      <c r="F48" s="176">
        <v>0</v>
      </c>
    </row>
    <row r="49" spans="1:6" ht="12.75" customHeight="1">
      <c r="A49" s="12">
        <v>89</v>
      </c>
      <c r="B49" s="13" t="s">
        <v>50</v>
      </c>
      <c r="C49" s="176">
        <v>94</v>
      </c>
      <c r="D49" s="176">
        <v>11</v>
      </c>
      <c r="E49" s="176">
        <v>0</v>
      </c>
      <c r="F49" s="176">
        <v>0</v>
      </c>
    </row>
    <row r="50" spans="1:6" ht="12.75" customHeight="1">
      <c r="A50" s="12">
        <v>93</v>
      </c>
      <c r="B50" s="13" t="s">
        <v>51</v>
      </c>
      <c r="C50" s="176">
        <v>32</v>
      </c>
      <c r="D50" s="176">
        <v>3</v>
      </c>
      <c r="E50" s="176">
        <v>9</v>
      </c>
      <c r="F50" s="176">
        <v>0</v>
      </c>
    </row>
    <row r="51" spans="1:6" ht="12.75" customHeight="1">
      <c r="A51" s="12">
        <v>95</v>
      </c>
      <c r="B51" s="13" t="s">
        <v>52</v>
      </c>
      <c r="C51" s="176">
        <v>123</v>
      </c>
      <c r="D51" s="176">
        <v>21</v>
      </c>
      <c r="E51" s="176">
        <v>3</v>
      </c>
      <c r="F51" s="176">
        <v>0</v>
      </c>
    </row>
    <row r="52" spans="1:6" ht="12.75" customHeight="1">
      <c r="A52" s="12">
        <v>97</v>
      </c>
      <c r="B52" s="13" t="s">
        <v>53</v>
      </c>
      <c r="C52" s="176">
        <v>198</v>
      </c>
      <c r="D52" s="176">
        <v>32</v>
      </c>
      <c r="E52" s="176">
        <v>3</v>
      </c>
      <c r="F52" s="176">
        <v>0</v>
      </c>
    </row>
    <row r="53" spans="1:6" ht="12.75" customHeight="1">
      <c r="A53" s="12">
        <v>77</v>
      </c>
      <c r="B53" s="20" t="s">
        <v>54</v>
      </c>
      <c r="C53" s="177">
        <v>518</v>
      </c>
      <c r="D53" s="177">
        <v>156</v>
      </c>
      <c r="E53" s="177">
        <v>14</v>
      </c>
      <c r="F53" s="177">
        <v>0</v>
      </c>
    </row>
    <row r="55" spans="1:6" ht="12.75" customHeight="1">
      <c r="B55" s="12" t="s">
        <v>55</v>
      </c>
      <c r="C55" s="22"/>
    </row>
    <row r="56" spans="1:6" ht="12.75" customHeight="1">
      <c r="B56" s="201" t="s">
        <v>56</v>
      </c>
      <c r="C56" s="202"/>
      <c r="D56" s="202"/>
      <c r="E56" s="202"/>
      <c r="F56" s="202"/>
    </row>
    <row r="57" spans="1:6" ht="12.75" customHeight="1">
      <c r="B57" s="202"/>
      <c r="C57" s="202"/>
      <c r="D57" s="202"/>
      <c r="E57" s="202"/>
      <c r="F57" s="202"/>
    </row>
    <row r="58" spans="1:6" ht="12.75" customHeight="1">
      <c r="B58" s="202"/>
      <c r="C58" s="202"/>
      <c r="D58" s="202"/>
      <c r="E58" s="202"/>
      <c r="F58" s="202"/>
    </row>
    <row r="59" spans="1:6" ht="12.75" customHeight="1">
      <c r="B59" s="202"/>
      <c r="C59" s="202"/>
      <c r="D59" s="202"/>
      <c r="E59" s="202"/>
      <c r="F59" s="202"/>
    </row>
    <row r="60" spans="1:6" ht="12.75" customHeight="1">
      <c r="B60" s="202"/>
      <c r="C60" s="202"/>
      <c r="D60" s="202"/>
      <c r="E60" s="202"/>
      <c r="F60" s="202"/>
    </row>
    <row r="61" spans="1:6" ht="12.75" customHeight="1">
      <c r="B61" s="202"/>
      <c r="C61" s="202"/>
      <c r="D61" s="202"/>
      <c r="E61" s="202"/>
      <c r="F61" s="202"/>
    </row>
    <row r="62" spans="1:6" ht="39" customHeight="1">
      <c r="B62" s="202"/>
      <c r="C62" s="202"/>
      <c r="D62" s="202"/>
      <c r="E62" s="202"/>
      <c r="F62" s="202"/>
    </row>
    <row r="63" spans="1:6" ht="12.75" customHeight="1">
      <c r="B63" s="23"/>
      <c r="C63" s="23"/>
      <c r="D63" s="23"/>
      <c r="E63" s="23"/>
      <c r="F63" s="23"/>
    </row>
    <row r="64" spans="1:6" ht="12.75" customHeight="1">
      <c r="B64" s="24" t="s">
        <v>57</v>
      </c>
      <c r="C64" s="25"/>
      <c r="D64" s="25"/>
      <c r="E64" s="25"/>
    </row>
    <row r="65" spans="2:5">
      <c r="B65" s="26"/>
      <c r="C65" s="25"/>
      <c r="D65" s="25"/>
      <c r="E65" s="25"/>
    </row>
    <row r="66" spans="2:5">
      <c r="C66" s="25"/>
      <c r="D66" s="25"/>
      <c r="E66" s="25"/>
    </row>
    <row r="67" spans="2:5">
      <c r="B67" s="27"/>
      <c r="C67" s="25"/>
      <c r="D67" s="25"/>
      <c r="E67" s="25"/>
    </row>
    <row r="68" spans="2:5">
      <c r="C68" s="25"/>
      <c r="D68" s="25"/>
      <c r="E68" s="25"/>
    </row>
  </sheetData>
  <mergeCells count="5">
    <mergeCell ref="B1:F1"/>
    <mergeCell ref="B2:B3"/>
    <mergeCell ref="C2:C3"/>
    <mergeCell ref="D2:E2"/>
    <mergeCell ref="B56:F6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L68"/>
  <sheetViews>
    <sheetView showGridLines="0" zoomScale="85" workbookViewId="0">
      <pane xSplit="2" ySplit="4" topLeftCell="C5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RowHeight="12.75"/>
  <cols>
    <col min="1" max="1" width="4.7109375" style="1" hidden="1" customWidth="1"/>
    <col min="2" max="2" width="24.7109375" style="55" customWidth="1"/>
    <col min="3" max="3" width="11" style="55" customWidth="1"/>
    <col min="4" max="4" width="11.85546875" style="55" customWidth="1"/>
    <col min="5" max="10" width="11" style="55" customWidth="1"/>
    <col min="11" max="256" width="9.140625" style="55"/>
    <col min="257" max="257" width="0" style="55" hidden="1" customWidth="1"/>
    <col min="258" max="258" width="24.7109375" style="55" customWidth="1"/>
    <col min="259" max="259" width="11" style="55" customWidth="1"/>
    <col min="260" max="260" width="11.85546875" style="55" customWidth="1"/>
    <col min="261" max="266" width="11" style="55" customWidth="1"/>
    <col min="267" max="512" width="9.140625" style="55"/>
    <col min="513" max="513" width="0" style="55" hidden="1" customWidth="1"/>
    <col min="514" max="514" width="24.7109375" style="55" customWidth="1"/>
    <col min="515" max="515" width="11" style="55" customWidth="1"/>
    <col min="516" max="516" width="11.85546875" style="55" customWidth="1"/>
    <col min="517" max="522" width="11" style="55" customWidth="1"/>
    <col min="523" max="768" width="9.140625" style="55"/>
    <col min="769" max="769" width="0" style="55" hidden="1" customWidth="1"/>
    <col min="770" max="770" width="24.7109375" style="55" customWidth="1"/>
    <col min="771" max="771" width="11" style="55" customWidth="1"/>
    <col min="772" max="772" width="11.85546875" style="55" customWidth="1"/>
    <col min="773" max="778" width="11" style="55" customWidth="1"/>
    <col min="779" max="1024" width="9.140625" style="55"/>
    <col min="1025" max="1025" width="0" style="55" hidden="1" customWidth="1"/>
    <col min="1026" max="1026" width="24.7109375" style="55" customWidth="1"/>
    <col min="1027" max="1027" width="11" style="55" customWidth="1"/>
    <col min="1028" max="1028" width="11.85546875" style="55" customWidth="1"/>
    <col min="1029" max="1034" width="11" style="55" customWidth="1"/>
    <col min="1035" max="1280" width="9.140625" style="55"/>
    <col min="1281" max="1281" width="0" style="55" hidden="1" customWidth="1"/>
    <col min="1282" max="1282" width="24.7109375" style="55" customWidth="1"/>
    <col min="1283" max="1283" width="11" style="55" customWidth="1"/>
    <col min="1284" max="1284" width="11.85546875" style="55" customWidth="1"/>
    <col min="1285" max="1290" width="11" style="55" customWidth="1"/>
    <col min="1291" max="1536" width="9.140625" style="55"/>
    <col min="1537" max="1537" width="0" style="55" hidden="1" customWidth="1"/>
    <col min="1538" max="1538" width="24.7109375" style="55" customWidth="1"/>
    <col min="1539" max="1539" width="11" style="55" customWidth="1"/>
    <col min="1540" max="1540" width="11.85546875" style="55" customWidth="1"/>
    <col min="1541" max="1546" width="11" style="55" customWidth="1"/>
    <col min="1547" max="1792" width="9.140625" style="55"/>
    <col min="1793" max="1793" width="0" style="55" hidden="1" customWidth="1"/>
    <col min="1794" max="1794" width="24.7109375" style="55" customWidth="1"/>
    <col min="1795" max="1795" width="11" style="55" customWidth="1"/>
    <col min="1796" max="1796" width="11.85546875" style="55" customWidth="1"/>
    <col min="1797" max="1802" width="11" style="55" customWidth="1"/>
    <col min="1803" max="2048" width="9.140625" style="55"/>
    <col min="2049" max="2049" width="0" style="55" hidden="1" customWidth="1"/>
    <col min="2050" max="2050" width="24.7109375" style="55" customWidth="1"/>
    <col min="2051" max="2051" width="11" style="55" customWidth="1"/>
    <col min="2052" max="2052" width="11.85546875" style="55" customWidth="1"/>
    <col min="2053" max="2058" width="11" style="55" customWidth="1"/>
    <col min="2059" max="2304" width="9.140625" style="55"/>
    <col min="2305" max="2305" width="0" style="55" hidden="1" customWidth="1"/>
    <col min="2306" max="2306" width="24.7109375" style="55" customWidth="1"/>
    <col min="2307" max="2307" width="11" style="55" customWidth="1"/>
    <col min="2308" max="2308" width="11.85546875" style="55" customWidth="1"/>
    <col min="2309" max="2314" width="11" style="55" customWidth="1"/>
    <col min="2315" max="2560" width="9.140625" style="55"/>
    <col min="2561" max="2561" width="0" style="55" hidden="1" customWidth="1"/>
    <col min="2562" max="2562" width="24.7109375" style="55" customWidth="1"/>
    <col min="2563" max="2563" width="11" style="55" customWidth="1"/>
    <col min="2564" max="2564" width="11.85546875" style="55" customWidth="1"/>
    <col min="2565" max="2570" width="11" style="55" customWidth="1"/>
    <col min="2571" max="2816" width="9.140625" style="55"/>
    <col min="2817" max="2817" width="0" style="55" hidden="1" customWidth="1"/>
    <col min="2818" max="2818" width="24.7109375" style="55" customWidth="1"/>
    <col min="2819" max="2819" width="11" style="55" customWidth="1"/>
    <col min="2820" max="2820" width="11.85546875" style="55" customWidth="1"/>
    <col min="2821" max="2826" width="11" style="55" customWidth="1"/>
    <col min="2827" max="3072" width="9.140625" style="55"/>
    <col min="3073" max="3073" width="0" style="55" hidden="1" customWidth="1"/>
    <col min="3074" max="3074" width="24.7109375" style="55" customWidth="1"/>
    <col min="3075" max="3075" width="11" style="55" customWidth="1"/>
    <col min="3076" max="3076" width="11.85546875" style="55" customWidth="1"/>
    <col min="3077" max="3082" width="11" style="55" customWidth="1"/>
    <col min="3083" max="3328" width="9.140625" style="55"/>
    <col min="3329" max="3329" width="0" style="55" hidden="1" customWidth="1"/>
    <col min="3330" max="3330" width="24.7109375" style="55" customWidth="1"/>
    <col min="3331" max="3331" width="11" style="55" customWidth="1"/>
    <col min="3332" max="3332" width="11.85546875" style="55" customWidth="1"/>
    <col min="3333" max="3338" width="11" style="55" customWidth="1"/>
    <col min="3339" max="3584" width="9.140625" style="55"/>
    <col min="3585" max="3585" width="0" style="55" hidden="1" customWidth="1"/>
    <col min="3586" max="3586" width="24.7109375" style="55" customWidth="1"/>
    <col min="3587" max="3587" width="11" style="55" customWidth="1"/>
    <col min="3588" max="3588" width="11.85546875" style="55" customWidth="1"/>
    <col min="3589" max="3594" width="11" style="55" customWidth="1"/>
    <col min="3595" max="3840" width="9.140625" style="55"/>
    <col min="3841" max="3841" width="0" style="55" hidden="1" customWidth="1"/>
    <col min="3842" max="3842" width="24.7109375" style="55" customWidth="1"/>
    <col min="3843" max="3843" width="11" style="55" customWidth="1"/>
    <col min="3844" max="3844" width="11.85546875" style="55" customWidth="1"/>
    <col min="3845" max="3850" width="11" style="55" customWidth="1"/>
    <col min="3851" max="4096" width="9.140625" style="55"/>
    <col min="4097" max="4097" width="0" style="55" hidden="1" customWidth="1"/>
    <col min="4098" max="4098" width="24.7109375" style="55" customWidth="1"/>
    <col min="4099" max="4099" width="11" style="55" customWidth="1"/>
    <col min="4100" max="4100" width="11.85546875" style="55" customWidth="1"/>
    <col min="4101" max="4106" width="11" style="55" customWidth="1"/>
    <col min="4107" max="4352" width="9.140625" style="55"/>
    <col min="4353" max="4353" width="0" style="55" hidden="1" customWidth="1"/>
    <col min="4354" max="4354" width="24.7109375" style="55" customWidth="1"/>
    <col min="4355" max="4355" width="11" style="55" customWidth="1"/>
    <col min="4356" max="4356" width="11.85546875" style="55" customWidth="1"/>
    <col min="4357" max="4362" width="11" style="55" customWidth="1"/>
    <col min="4363" max="4608" width="9.140625" style="55"/>
    <col min="4609" max="4609" width="0" style="55" hidden="1" customWidth="1"/>
    <col min="4610" max="4610" width="24.7109375" style="55" customWidth="1"/>
    <col min="4611" max="4611" width="11" style="55" customWidth="1"/>
    <col min="4612" max="4612" width="11.85546875" style="55" customWidth="1"/>
    <col min="4613" max="4618" width="11" style="55" customWidth="1"/>
    <col min="4619" max="4864" width="9.140625" style="55"/>
    <col min="4865" max="4865" width="0" style="55" hidden="1" customWidth="1"/>
    <col min="4866" max="4866" width="24.7109375" style="55" customWidth="1"/>
    <col min="4867" max="4867" width="11" style="55" customWidth="1"/>
    <col min="4868" max="4868" width="11.85546875" style="55" customWidth="1"/>
    <col min="4869" max="4874" width="11" style="55" customWidth="1"/>
    <col min="4875" max="5120" width="9.140625" style="55"/>
    <col min="5121" max="5121" width="0" style="55" hidden="1" customWidth="1"/>
    <col min="5122" max="5122" width="24.7109375" style="55" customWidth="1"/>
    <col min="5123" max="5123" width="11" style="55" customWidth="1"/>
    <col min="5124" max="5124" width="11.85546875" style="55" customWidth="1"/>
    <col min="5125" max="5130" width="11" style="55" customWidth="1"/>
    <col min="5131" max="5376" width="9.140625" style="55"/>
    <col min="5377" max="5377" width="0" style="55" hidden="1" customWidth="1"/>
    <col min="5378" max="5378" width="24.7109375" style="55" customWidth="1"/>
    <col min="5379" max="5379" width="11" style="55" customWidth="1"/>
    <col min="5380" max="5380" width="11.85546875" style="55" customWidth="1"/>
    <col min="5381" max="5386" width="11" style="55" customWidth="1"/>
    <col min="5387" max="5632" width="9.140625" style="55"/>
    <col min="5633" max="5633" width="0" style="55" hidden="1" customWidth="1"/>
    <col min="5634" max="5634" width="24.7109375" style="55" customWidth="1"/>
    <col min="5635" max="5635" width="11" style="55" customWidth="1"/>
    <col min="5636" max="5636" width="11.85546875" style="55" customWidth="1"/>
    <col min="5637" max="5642" width="11" style="55" customWidth="1"/>
    <col min="5643" max="5888" width="9.140625" style="55"/>
    <col min="5889" max="5889" width="0" style="55" hidden="1" customWidth="1"/>
    <col min="5890" max="5890" width="24.7109375" style="55" customWidth="1"/>
    <col min="5891" max="5891" width="11" style="55" customWidth="1"/>
    <col min="5892" max="5892" width="11.85546875" style="55" customWidth="1"/>
    <col min="5893" max="5898" width="11" style="55" customWidth="1"/>
    <col min="5899" max="6144" width="9.140625" style="55"/>
    <col min="6145" max="6145" width="0" style="55" hidden="1" customWidth="1"/>
    <col min="6146" max="6146" width="24.7109375" style="55" customWidth="1"/>
    <col min="6147" max="6147" width="11" style="55" customWidth="1"/>
    <col min="6148" max="6148" width="11.85546875" style="55" customWidth="1"/>
    <col min="6149" max="6154" width="11" style="55" customWidth="1"/>
    <col min="6155" max="6400" width="9.140625" style="55"/>
    <col min="6401" max="6401" width="0" style="55" hidden="1" customWidth="1"/>
    <col min="6402" max="6402" width="24.7109375" style="55" customWidth="1"/>
    <col min="6403" max="6403" width="11" style="55" customWidth="1"/>
    <col min="6404" max="6404" width="11.85546875" style="55" customWidth="1"/>
    <col min="6405" max="6410" width="11" style="55" customWidth="1"/>
    <col min="6411" max="6656" width="9.140625" style="55"/>
    <col min="6657" max="6657" width="0" style="55" hidden="1" customWidth="1"/>
    <col min="6658" max="6658" width="24.7109375" style="55" customWidth="1"/>
    <col min="6659" max="6659" width="11" style="55" customWidth="1"/>
    <col min="6660" max="6660" width="11.85546875" style="55" customWidth="1"/>
    <col min="6661" max="6666" width="11" style="55" customWidth="1"/>
    <col min="6667" max="6912" width="9.140625" style="55"/>
    <col min="6913" max="6913" width="0" style="55" hidden="1" customWidth="1"/>
    <col min="6914" max="6914" width="24.7109375" style="55" customWidth="1"/>
    <col min="6915" max="6915" width="11" style="55" customWidth="1"/>
    <col min="6916" max="6916" width="11.85546875" style="55" customWidth="1"/>
    <col min="6917" max="6922" width="11" style="55" customWidth="1"/>
    <col min="6923" max="7168" width="9.140625" style="55"/>
    <col min="7169" max="7169" width="0" style="55" hidden="1" customWidth="1"/>
    <col min="7170" max="7170" width="24.7109375" style="55" customWidth="1"/>
    <col min="7171" max="7171" width="11" style="55" customWidth="1"/>
    <col min="7172" max="7172" width="11.85546875" style="55" customWidth="1"/>
    <col min="7173" max="7178" width="11" style="55" customWidth="1"/>
    <col min="7179" max="7424" width="9.140625" style="55"/>
    <col min="7425" max="7425" width="0" style="55" hidden="1" customWidth="1"/>
    <col min="7426" max="7426" width="24.7109375" style="55" customWidth="1"/>
    <col min="7427" max="7427" width="11" style="55" customWidth="1"/>
    <col min="7428" max="7428" width="11.85546875" style="55" customWidth="1"/>
    <col min="7429" max="7434" width="11" style="55" customWidth="1"/>
    <col min="7435" max="7680" width="9.140625" style="55"/>
    <col min="7681" max="7681" width="0" style="55" hidden="1" customWidth="1"/>
    <col min="7682" max="7682" width="24.7109375" style="55" customWidth="1"/>
    <col min="7683" max="7683" width="11" style="55" customWidth="1"/>
    <col min="7684" max="7684" width="11.85546875" style="55" customWidth="1"/>
    <col min="7685" max="7690" width="11" style="55" customWidth="1"/>
    <col min="7691" max="7936" width="9.140625" style="55"/>
    <col min="7937" max="7937" width="0" style="55" hidden="1" customWidth="1"/>
    <col min="7938" max="7938" width="24.7109375" style="55" customWidth="1"/>
    <col min="7939" max="7939" width="11" style="55" customWidth="1"/>
    <col min="7940" max="7940" width="11.85546875" style="55" customWidth="1"/>
    <col min="7941" max="7946" width="11" style="55" customWidth="1"/>
    <col min="7947" max="8192" width="9.140625" style="55"/>
    <col min="8193" max="8193" width="0" style="55" hidden="1" customWidth="1"/>
    <col min="8194" max="8194" width="24.7109375" style="55" customWidth="1"/>
    <col min="8195" max="8195" width="11" style="55" customWidth="1"/>
    <col min="8196" max="8196" width="11.85546875" style="55" customWidth="1"/>
    <col min="8197" max="8202" width="11" style="55" customWidth="1"/>
    <col min="8203" max="8448" width="9.140625" style="55"/>
    <col min="8449" max="8449" width="0" style="55" hidden="1" customWidth="1"/>
    <col min="8450" max="8450" width="24.7109375" style="55" customWidth="1"/>
    <col min="8451" max="8451" width="11" style="55" customWidth="1"/>
    <col min="8452" max="8452" width="11.85546875" style="55" customWidth="1"/>
    <col min="8453" max="8458" width="11" style="55" customWidth="1"/>
    <col min="8459" max="8704" width="9.140625" style="55"/>
    <col min="8705" max="8705" width="0" style="55" hidden="1" customWidth="1"/>
    <col min="8706" max="8706" width="24.7109375" style="55" customWidth="1"/>
    <col min="8707" max="8707" width="11" style="55" customWidth="1"/>
    <col min="8708" max="8708" width="11.85546875" style="55" customWidth="1"/>
    <col min="8709" max="8714" width="11" style="55" customWidth="1"/>
    <col min="8715" max="8960" width="9.140625" style="55"/>
    <col min="8961" max="8961" width="0" style="55" hidden="1" customWidth="1"/>
    <col min="8962" max="8962" width="24.7109375" style="55" customWidth="1"/>
    <col min="8963" max="8963" width="11" style="55" customWidth="1"/>
    <col min="8964" max="8964" width="11.85546875" style="55" customWidth="1"/>
    <col min="8965" max="8970" width="11" style="55" customWidth="1"/>
    <col min="8971" max="9216" width="9.140625" style="55"/>
    <col min="9217" max="9217" width="0" style="55" hidden="1" customWidth="1"/>
    <col min="9218" max="9218" width="24.7109375" style="55" customWidth="1"/>
    <col min="9219" max="9219" width="11" style="55" customWidth="1"/>
    <col min="9220" max="9220" width="11.85546875" style="55" customWidth="1"/>
    <col min="9221" max="9226" width="11" style="55" customWidth="1"/>
    <col min="9227" max="9472" width="9.140625" style="55"/>
    <col min="9473" max="9473" width="0" style="55" hidden="1" customWidth="1"/>
    <col min="9474" max="9474" width="24.7109375" style="55" customWidth="1"/>
    <col min="9475" max="9475" width="11" style="55" customWidth="1"/>
    <col min="9476" max="9476" width="11.85546875" style="55" customWidth="1"/>
    <col min="9477" max="9482" width="11" style="55" customWidth="1"/>
    <col min="9483" max="9728" width="9.140625" style="55"/>
    <col min="9729" max="9729" width="0" style="55" hidden="1" customWidth="1"/>
    <col min="9730" max="9730" width="24.7109375" style="55" customWidth="1"/>
    <col min="9731" max="9731" width="11" style="55" customWidth="1"/>
    <col min="9732" max="9732" width="11.85546875" style="55" customWidth="1"/>
    <col min="9733" max="9738" width="11" style="55" customWidth="1"/>
    <col min="9739" max="9984" width="9.140625" style="55"/>
    <col min="9985" max="9985" width="0" style="55" hidden="1" customWidth="1"/>
    <col min="9986" max="9986" width="24.7109375" style="55" customWidth="1"/>
    <col min="9987" max="9987" width="11" style="55" customWidth="1"/>
    <col min="9988" max="9988" width="11.85546875" style="55" customWidth="1"/>
    <col min="9989" max="9994" width="11" style="55" customWidth="1"/>
    <col min="9995" max="10240" width="9.140625" style="55"/>
    <col min="10241" max="10241" width="0" style="55" hidden="1" customWidth="1"/>
    <col min="10242" max="10242" width="24.7109375" style="55" customWidth="1"/>
    <col min="10243" max="10243" width="11" style="55" customWidth="1"/>
    <col min="10244" max="10244" width="11.85546875" style="55" customWidth="1"/>
    <col min="10245" max="10250" width="11" style="55" customWidth="1"/>
    <col min="10251" max="10496" width="9.140625" style="55"/>
    <col min="10497" max="10497" width="0" style="55" hidden="1" customWidth="1"/>
    <col min="10498" max="10498" width="24.7109375" style="55" customWidth="1"/>
    <col min="10499" max="10499" width="11" style="55" customWidth="1"/>
    <col min="10500" max="10500" width="11.85546875" style="55" customWidth="1"/>
    <col min="10501" max="10506" width="11" style="55" customWidth="1"/>
    <col min="10507" max="10752" width="9.140625" style="55"/>
    <col min="10753" max="10753" width="0" style="55" hidden="1" customWidth="1"/>
    <col min="10754" max="10754" width="24.7109375" style="55" customWidth="1"/>
    <col min="10755" max="10755" width="11" style="55" customWidth="1"/>
    <col min="10756" max="10756" width="11.85546875" style="55" customWidth="1"/>
    <col min="10757" max="10762" width="11" style="55" customWidth="1"/>
    <col min="10763" max="11008" width="9.140625" style="55"/>
    <col min="11009" max="11009" width="0" style="55" hidden="1" customWidth="1"/>
    <col min="11010" max="11010" width="24.7109375" style="55" customWidth="1"/>
    <col min="11011" max="11011" width="11" style="55" customWidth="1"/>
    <col min="11012" max="11012" width="11.85546875" style="55" customWidth="1"/>
    <col min="11013" max="11018" width="11" style="55" customWidth="1"/>
    <col min="11019" max="11264" width="9.140625" style="55"/>
    <col min="11265" max="11265" width="0" style="55" hidden="1" customWidth="1"/>
    <col min="11266" max="11266" width="24.7109375" style="55" customWidth="1"/>
    <col min="11267" max="11267" width="11" style="55" customWidth="1"/>
    <col min="11268" max="11268" width="11.85546875" style="55" customWidth="1"/>
    <col min="11269" max="11274" width="11" style="55" customWidth="1"/>
    <col min="11275" max="11520" width="9.140625" style="55"/>
    <col min="11521" max="11521" width="0" style="55" hidden="1" customWidth="1"/>
    <col min="11522" max="11522" width="24.7109375" style="55" customWidth="1"/>
    <col min="11523" max="11523" width="11" style="55" customWidth="1"/>
    <col min="11524" max="11524" width="11.85546875" style="55" customWidth="1"/>
    <col min="11525" max="11530" width="11" style="55" customWidth="1"/>
    <col min="11531" max="11776" width="9.140625" style="55"/>
    <col min="11777" max="11777" width="0" style="55" hidden="1" customWidth="1"/>
    <col min="11778" max="11778" width="24.7109375" style="55" customWidth="1"/>
    <col min="11779" max="11779" width="11" style="55" customWidth="1"/>
    <col min="11780" max="11780" width="11.85546875" style="55" customWidth="1"/>
    <col min="11781" max="11786" width="11" style="55" customWidth="1"/>
    <col min="11787" max="12032" width="9.140625" style="55"/>
    <col min="12033" max="12033" width="0" style="55" hidden="1" customWidth="1"/>
    <col min="12034" max="12034" width="24.7109375" style="55" customWidth="1"/>
    <col min="12035" max="12035" width="11" style="55" customWidth="1"/>
    <col min="12036" max="12036" width="11.85546875" style="55" customWidth="1"/>
    <col min="12037" max="12042" width="11" style="55" customWidth="1"/>
    <col min="12043" max="12288" width="9.140625" style="55"/>
    <col min="12289" max="12289" width="0" style="55" hidden="1" customWidth="1"/>
    <col min="12290" max="12290" width="24.7109375" style="55" customWidth="1"/>
    <col min="12291" max="12291" width="11" style="55" customWidth="1"/>
    <col min="12292" max="12292" width="11.85546875" style="55" customWidth="1"/>
    <col min="12293" max="12298" width="11" style="55" customWidth="1"/>
    <col min="12299" max="12544" width="9.140625" style="55"/>
    <col min="12545" max="12545" width="0" style="55" hidden="1" customWidth="1"/>
    <col min="12546" max="12546" width="24.7109375" style="55" customWidth="1"/>
    <col min="12547" max="12547" width="11" style="55" customWidth="1"/>
    <col min="12548" max="12548" width="11.85546875" style="55" customWidth="1"/>
    <col min="12549" max="12554" width="11" style="55" customWidth="1"/>
    <col min="12555" max="12800" width="9.140625" style="55"/>
    <col min="12801" max="12801" width="0" style="55" hidden="1" customWidth="1"/>
    <col min="12802" max="12802" width="24.7109375" style="55" customWidth="1"/>
    <col min="12803" max="12803" width="11" style="55" customWidth="1"/>
    <col min="12804" max="12804" width="11.85546875" style="55" customWidth="1"/>
    <col min="12805" max="12810" width="11" style="55" customWidth="1"/>
    <col min="12811" max="13056" width="9.140625" style="55"/>
    <col min="13057" max="13057" width="0" style="55" hidden="1" customWidth="1"/>
    <col min="13058" max="13058" width="24.7109375" style="55" customWidth="1"/>
    <col min="13059" max="13059" width="11" style="55" customWidth="1"/>
    <col min="13060" max="13060" width="11.85546875" style="55" customWidth="1"/>
    <col min="13061" max="13066" width="11" style="55" customWidth="1"/>
    <col min="13067" max="13312" width="9.140625" style="55"/>
    <col min="13313" max="13313" width="0" style="55" hidden="1" customWidth="1"/>
    <col min="13314" max="13314" width="24.7109375" style="55" customWidth="1"/>
    <col min="13315" max="13315" width="11" style="55" customWidth="1"/>
    <col min="13316" max="13316" width="11.85546875" style="55" customWidth="1"/>
    <col min="13317" max="13322" width="11" style="55" customWidth="1"/>
    <col min="13323" max="13568" width="9.140625" style="55"/>
    <col min="13569" max="13569" width="0" style="55" hidden="1" customWidth="1"/>
    <col min="13570" max="13570" width="24.7109375" style="55" customWidth="1"/>
    <col min="13571" max="13571" width="11" style="55" customWidth="1"/>
    <col min="13572" max="13572" width="11.85546875" style="55" customWidth="1"/>
    <col min="13573" max="13578" width="11" style="55" customWidth="1"/>
    <col min="13579" max="13824" width="9.140625" style="55"/>
    <col min="13825" max="13825" width="0" style="55" hidden="1" customWidth="1"/>
    <col min="13826" max="13826" width="24.7109375" style="55" customWidth="1"/>
    <col min="13827" max="13827" width="11" style="55" customWidth="1"/>
    <col min="13828" max="13828" width="11.85546875" style="55" customWidth="1"/>
    <col min="13829" max="13834" width="11" style="55" customWidth="1"/>
    <col min="13835" max="14080" width="9.140625" style="55"/>
    <col min="14081" max="14081" width="0" style="55" hidden="1" customWidth="1"/>
    <col min="14082" max="14082" width="24.7109375" style="55" customWidth="1"/>
    <col min="14083" max="14083" width="11" style="55" customWidth="1"/>
    <col min="14084" max="14084" width="11.85546875" style="55" customWidth="1"/>
    <col min="14085" max="14090" width="11" style="55" customWidth="1"/>
    <col min="14091" max="14336" width="9.140625" style="55"/>
    <col min="14337" max="14337" width="0" style="55" hidden="1" customWidth="1"/>
    <col min="14338" max="14338" width="24.7109375" style="55" customWidth="1"/>
    <col min="14339" max="14339" width="11" style="55" customWidth="1"/>
    <col min="14340" max="14340" width="11.85546875" style="55" customWidth="1"/>
    <col min="14341" max="14346" width="11" style="55" customWidth="1"/>
    <col min="14347" max="14592" width="9.140625" style="55"/>
    <col min="14593" max="14593" width="0" style="55" hidden="1" customWidth="1"/>
    <col min="14594" max="14594" width="24.7109375" style="55" customWidth="1"/>
    <col min="14595" max="14595" width="11" style="55" customWidth="1"/>
    <col min="14596" max="14596" width="11.85546875" style="55" customWidth="1"/>
    <col min="14597" max="14602" width="11" style="55" customWidth="1"/>
    <col min="14603" max="14848" width="9.140625" style="55"/>
    <col min="14849" max="14849" width="0" style="55" hidden="1" customWidth="1"/>
    <col min="14850" max="14850" width="24.7109375" style="55" customWidth="1"/>
    <col min="14851" max="14851" width="11" style="55" customWidth="1"/>
    <col min="14852" max="14852" width="11.85546875" style="55" customWidth="1"/>
    <col min="14853" max="14858" width="11" style="55" customWidth="1"/>
    <col min="14859" max="15104" width="9.140625" style="55"/>
    <col min="15105" max="15105" width="0" style="55" hidden="1" customWidth="1"/>
    <col min="15106" max="15106" width="24.7109375" style="55" customWidth="1"/>
    <col min="15107" max="15107" width="11" style="55" customWidth="1"/>
    <col min="15108" max="15108" width="11.85546875" style="55" customWidth="1"/>
    <col min="15109" max="15114" width="11" style="55" customWidth="1"/>
    <col min="15115" max="15360" width="9.140625" style="55"/>
    <col min="15361" max="15361" width="0" style="55" hidden="1" customWidth="1"/>
    <col min="15362" max="15362" width="24.7109375" style="55" customWidth="1"/>
    <col min="15363" max="15363" width="11" style="55" customWidth="1"/>
    <col min="15364" max="15364" width="11.85546875" style="55" customWidth="1"/>
    <col min="15365" max="15370" width="11" style="55" customWidth="1"/>
    <col min="15371" max="15616" width="9.140625" style="55"/>
    <col min="15617" max="15617" width="0" style="55" hidden="1" customWidth="1"/>
    <col min="15618" max="15618" width="24.7109375" style="55" customWidth="1"/>
    <col min="15619" max="15619" width="11" style="55" customWidth="1"/>
    <col min="15620" max="15620" width="11.85546875" style="55" customWidth="1"/>
    <col min="15621" max="15626" width="11" style="55" customWidth="1"/>
    <col min="15627" max="15872" width="9.140625" style="55"/>
    <col min="15873" max="15873" width="0" style="55" hidden="1" customWidth="1"/>
    <col min="15874" max="15874" width="24.7109375" style="55" customWidth="1"/>
    <col min="15875" max="15875" width="11" style="55" customWidth="1"/>
    <col min="15876" max="15876" width="11.85546875" style="55" customWidth="1"/>
    <col min="15877" max="15882" width="11" style="55" customWidth="1"/>
    <col min="15883" max="16128" width="9.140625" style="55"/>
    <col min="16129" max="16129" width="0" style="55" hidden="1" customWidth="1"/>
    <col min="16130" max="16130" width="24.7109375" style="55" customWidth="1"/>
    <col min="16131" max="16131" width="11" style="55" customWidth="1"/>
    <col min="16132" max="16132" width="11.85546875" style="55" customWidth="1"/>
    <col min="16133" max="16138" width="11" style="55" customWidth="1"/>
    <col min="16139" max="16384" width="9.140625" style="55"/>
  </cols>
  <sheetData>
    <row r="1" spans="1:12" ht="48" customHeight="1">
      <c r="B1" s="208" t="s">
        <v>104</v>
      </c>
      <c r="C1" s="208"/>
      <c r="D1" s="208"/>
      <c r="E1" s="208"/>
      <c r="F1" s="208"/>
      <c r="G1" s="208"/>
      <c r="H1" s="208"/>
      <c r="I1" s="208"/>
      <c r="J1" s="208"/>
    </row>
    <row r="2" spans="1:12" ht="12.75" customHeight="1">
      <c r="B2" s="209"/>
      <c r="C2" s="214" t="s">
        <v>1</v>
      </c>
      <c r="D2" s="214"/>
      <c r="E2" s="216" t="s">
        <v>2</v>
      </c>
      <c r="F2" s="216"/>
      <c r="G2" s="216"/>
      <c r="H2" s="216"/>
      <c r="I2" s="217" t="s">
        <v>5</v>
      </c>
      <c r="J2" s="217"/>
    </row>
    <row r="3" spans="1:12" ht="30" customHeight="1">
      <c r="A3" s="4"/>
      <c r="B3" s="209"/>
      <c r="C3" s="215"/>
      <c r="D3" s="215"/>
      <c r="E3" s="30" t="s">
        <v>3</v>
      </c>
      <c r="F3" s="30"/>
      <c r="G3" s="30" t="s">
        <v>4</v>
      </c>
      <c r="H3" s="30"/>
      <c r="I3" s="215"/>
      <c r="J3" s="215"/>
    </row>
    <row r="4" spans="1:12" ht="45.75" customHeight="1">
      <c r="B4" s="213"/>
      <c r="C4" s="31" t="s">
        <v>59</v>
      </c>
      <c r="D4" s="178" t="s">
        <v>60</v>
      </c>
      <c r="E4" s="31" t="s">
        <v>59</v>
      </c>
      <c r="F4" s="178" t="s">
        <v>60</v>
      </c>
      <c r="G4" s="31" t="s">
        <v>59</v>
      </c>
      <c r="H4" s="178" t="s">
        <v>60</v>
      </c>
      <c r="I4" s="31" t="s">
        <v>59</v>
      </c>
      <c r="J4" s="178" t="s">
        <v>60</v>
      </c>
    </row>
    <row r="5" spans="1:12" ht="30" customHeight="1">
      <c r="B5" s="11" t="s">
        <v>6</v>
      </c>
      <c r="C5" s="18">
        <v>962</v>
      </c>
      <c r="D5" s="18">
        <v>267</v>
      </c>
      <c r="E5" s="18">
        <v>226</v>
      </c>
      <c r="F5" s="18">
        <v>54</v>
      </c>
      <c r="G5" s="18">
        <v>25</v>
      </c>
      <c r="H5" s="18">
        <v>8</v>
      </c>
      <c r="I5" s="18">
        <v>2</v>
      </c>
      <c r="J5" s="18">
        <v>0</v>
      </c>
      <c r="L5" s="8"/>
    </row>
    <row r="6" spans="1:12" s="11" customFormat="1" ht="25.5" customHeight="1">
      <c r="A6" s="9"/>
      <c r="B6" s="11" t="s">
        <v>7</v>
      </c>
      <c r="C6" s="34">
        <v>618</v>
      </c>
      <c r="D6" s="34">
        <v>185</v>
      </c>
      <c r="E6" s="34">
        <v>141</v>
      </c>
      <c r="F6" s="34">
        <v>34</v>
      </c>
      <c r="G6" s="34">
        <v>8</v>
      </c>
      <c r="H6" s="34">
        <v>6</v>
      </c>
      <c r="I6" s="34">
        <v>2</v>
      </c>
      <c r="J6" s="34">
        <v>0</v>
      </c>
    </row>
    <row r="7" spans="1:12" ht="12.75" customHeight="1">
      <c r="A7" s="12">
        <v>51</v>
      </c>
      <c r="B7" s="55" t="s">
        <v>8</v>
      </c>
      <c r="C7" s="36">
        <v>8</v>
      </c>
      <c r="D7" s="36">
        <v>1</v>
      </c>
      <c r="E7" s="36">
        <v>1</v>
      </c>
      <c r="F7" s="36">
        <v>1</v>
      </c>
      <c r="G7" s="36">
        <v>0</v>
      </c>
      <c r="H7" s="37">
        <v>0</v>
      </c>
      <c r="I7" s="37">
        <v>0</v>
      </c>
      <c r="J7" s="37">
        <v>0</v>
      </c>
    </row>
    <row r="8" spans="1:12" ht="12.75" customHeight="1">
      <c r="A8" s="12">
        <v>52</v>
      </c>
      <c r="B8" s="55" t="s">
        <v>9</v>
      </c>
      <c r="C8" s="36">
        <v>19</v>
      </c>
      <c r="D8" s="36">
        <v>3</v>
      </c>
      <c r="E8" s="36">
        <v>6</v>
      </c>
      <c r="F8" s="36">
        <v>0</v>
      </c>
      <c r="G8" s="36">
        <v>0</v>
      </c>
      <c r="H8" s="37">
        <v>0</v>
      </c>
      <c r="I8" s="37">
        <v>0</v>
      </c>
      <c r="J8" s="37">
        <v>0</v>
      </c>
    </row>
    <row r="9" spans="1:12" ht="12.75" customHeight="1">
      <c r="A9" s="12">
        <v>86</v>
      </c>
      <c r="B9" s="55" t="s">
        <v>10</v>
      </c>
      <c r="C9" s="37">
        <v>17</v>
      </c>
      <c r="D9" s="37">
        <v>7</v>
      </c>
      <c r="E9" s="37">
        <v>3</v>
      </c>
      <c r="F9" s="37">
        <v>2</v>
      </c>
      <c r="G9" s="37">
        <v>3</v>
      </c>
      <c r="H9" s="37">
        <v>2</v>
      </c>
      <c r="I9" s="37">
        <v>0</v>
      </c>
      <c r="J9" s="37">
        <v>0</v>
      </c>
    </row>
    <row r="10" spans="1:12" ht="12.75" customHeight="1">
      <c r="A10" s="12">
        <v>53</v>
      </c>
      <c r="B10" s="55" t="s">
        <v>11</v>
      </c>
      <c r="C10" s="36">
        <v>13</v>
      </c>
      <c r="D10" s="36">
        <v>1</v>
      </c>
      <c r="E10" s="36">
        <v>1</v>
      </c>
      <c r="F10" s="36">
        <v>0</v>
      </c>
      <c r="G10" s="36">
        <v>0</v>
      </c>
      <c r="H10" s="37">
        <v>0</v>
      </c>
      <c r="I10" s="37">
        <v>0</v>
      </c>
      <c r="J10" s="37">
        <v>0</v>
      </c>
    </row>
    <row r="11" spans="1:12" ht="12.75" customHeight="1">
      <c r="A11" s="12">
        <v>54</v>
      </c>
      <c r="B11" s="55" t="s">
        <v>12</v>
      </c>
      <c r="C11" s="36">
        <v>37</v>
      </c>
      <c r="D11" s="36">
        <v>15</v>
      </c>
      <c r="E11" s="36">
        <v>6</v>
      </c>
      <c r="F11" s="36">
        <v>2</v>
      </c>
      <c r="G11" s="36">
        <v>0</v>
      </c>
      <c r="H11" s="37">
        <v>0</v>
      </c>
      <c r="I11" s="37">
        <v>0</v>
      </c>
      <c r="J11" s="37">
        <v>0</v>
      </c>
    </row>
    <row r="12" spans="1:12" ht="12.75" customHeight="1">
      <c r="A12" s="12">
        <v>55</v>
      </c>
      <c r="B12" s="55" t="s">
        <v>13</v>
      </c>
      <c r="C12" s="36">
        <v>4</v>
      </c>
      <c r="D12" s="36">
        <v>2</v>
      </c>
      <c r="E12" s="36">
        <v>0</v>
      </c>
      <c r="F12" s="36">
        <v>0</v>
      </c>
      <c r="G12" s="36">
        <v>0</v>
      </c>
      <c r="H12" s="37">
        <v>0</v>
      </c>
      <c r="I12" s="37">
        <v>0</v>
      </c>
      <c r="J12" s="37">
        <v>0</v>
      </c>
    </row>
    <row r="13" spans="1:12" ht="12.75" customHeight="1">
      <c r="A13" s="12">
        <v>56</v>
      </c>
      <c r="B13" s="55" t="s">
        <v>14</v>
      </c>
      <c r="C13" s="36">
        <v>5</v>
      </c>
      <c r="D13" s="36">
        <v>6</v>
      </c>
      <c r="E13" s="36">
        <v>1</v>
      </c>
      <c r="F13" s="36">
        <v>2</v>
      </c>
      <c r="G13" s="36">
        <v>0</v>
      </c>
      <c r="H13" s="37">
        <v>1</v>
      </c>
      <c r="I13" s="37">
        <v>0</v>
      </c>
      <c r="J13" s="37">
        <v>0</v>
      </c>
    </row>
    <row r="14" spans="1:12" ht="12.75" customHeight="1">
      <c r="A14" s="12">
        <v>57</v>
      </c>
      <c r="B14" s="55" t="s">
        <v>15</v>
      </c>
      <c r="C14" s="36">
        <v>28</v>
      </c>
      <c r="D14" s="36">
        <v>6</v>
      </c>
      <c r="E14" s="36">
        <v>9</v>
      </c>
      <c r="F14" s="36">
        <v>1</v>
      </c>
      <c r="G14" s="36">
        <v>0</v>
      </c>
      <c r="H14" s="37">
        <v>0</v>
      </c>
      <c r="I14" s="37">
        <v>0</v>
      </c>
      <c r="J14" s="37">
        <v>0</v>
      </c>
    </row>
    <row r="15" spans="1:12" ht="12.75" customHeight="1">
      <c r="A15" s="12">
        <v>59</v>
      </c>
      <c r="B15" s="55" t="s">
        <v>16</v>
      </c>
      <c r="C15" s="36">
        <v>1</v>
      </c>
      <c r="D15" s="36">
        <v>1</v>
      </c>
      <c r="E15" s="36">
        <v>3</v>
      </c>
      <c r="F15" s="36">
        <v>0</v>
      </c>
      <c r="G15" s="36">
        <v>0</v>
      </c>
      <c r="H15" s="37">
        <v>0</v>
      </c>
      <c r="I15" s="37">
        <v>0</v>
      </c>
      <c r="J15" s="37">
        <v>0</v>
      </c>
    </row>
    <row r="16" spans="1:12" ht="12.75" customHeight="1">
      <c r="A16" s="12">
        <v>60</v>
      </c>
      <c r="B16" s="55" t="s">
        <v>17</v>
      </c>
      <c r="C16" s="36">
        <v>7</v>
      </c>
      <c r="D16" s="36">
        <v>2</v>
      </c>
      <c r="E16" s="36">
        <v>2</v>
      </c>
      <c r="F16" s="36">
        <v>1</v>
      </c>
      <c r="G16" s="36">
        <v>0</v>
      </c>
      <c r="H16" s="37">
        <v>0</v>
      </c>
      <c r="I16" s="37">
        <v>0</v>
      </c>
      <c r="J16" s="37">
        <v>0</v>
      </c>
    </row>
    <row r="17" spans="1:10" ht="12.75" customHeight="1">
      <c r="A17" s="12">
        <v>61</v>
      </c>
      <c r="B17" s="38" t="s">
        <v>18</v>
      </c>
      <c r="C17" s="36">
        <v>31</v>
      </c>
      <c r="D17" s="36">
        <v>10</v>
      </c>
      <c r="E17" s="36">
        <v>11</v>
      </c>
      <c r="F17" s="36">
        <v>0</v>
      </c>
      <c r="G17" s="36">
        <v>1</v>
      </c>
      <c r="H17" s="37">
        <v>1</v>
      </c>
      <c r="I17" s="37">
        <v>0</v>
      </c>
      <c r="J17" s="37">
        <v>0</v>
      </c>
    </row>
    <row r="18" spans="1:10" s="186" customFormat="1" ht="12.75" customHeight="1">
      <c r="A18" s="12"/>
      <c r="B18" s="132" t="s">
        <v>125</v>
      </c>
      <c r="C18" s="165" t="s">
        <v>126</v>
      </c>
      <c r="D18" s="165" t="s">
        <v>126</v>
      </c>
      <c r="E18" s="165" t="s">
        <v>126</v>
      </c>
      <c r="F18" s="165" t="s">
        <v>126</v>
      </c>
      <c r="G18" s="149" t="s">
        <v>126</v>
      </c>
      <c r="H18" s="150" t="s">
        <v>126</v>
      </c>
      <c r="I18" s="150" t="s">
        <v>126</v>
      </c>
      <c r="J18" s="150" t="s">
        <v>126</v>
      </c>
    </row>
    <row r="19" spans="1:10" ht="12.75" customHeight="1">
      <c r="A19" s="12">
        <v>62</v>
      </c>
      <c r="B19" s="55" t="s">
        <v>19</v>
      </c>
      <c r="C19" s="36">
        <v>16</v>
      </c>
      <c r="D19" s="36">
        <v>4</v>
      </c>
      <c r="E19" s="36">
        <v>5</v>
      </c>
      <c r="F19" s="36">
        <v>2</v>
      </c>
      <c r="G19" s="36">
        <v>0</v>
      </c>
      <c r="H19" s="37">
        <v>0</v>
      </c>
      <c r="I19" s="37">
        <v>0</v>
      </c>
      <c r="J19" s="37">
        <v>0</v>
      </c>
    </row>
    <row r="20" spans="1:10" ht="12.75" customHeight="1">
      <c r="A20" s="12">
        <v>58</v>
      </c>
      <c r="B20" s="55" t="s">
        <v>20</v>
      </c>
      <c r="C20" s="36">
        <v>5</v>
      </c>
      <c r="D20" s="36">
        <v>2</v>
      </c>
      <c r="E20" s="36">
        <v>0</v>
      </c>
      <c r="F20" s="36">
        <v>0</v>
      </c>
      <c r="G20" s="36">
        <v>0</v>
      </c>
      <c r="H20" s="37">
        <v>0</v>
      </c>
      <c r="I20" s="37">
        <v>0</v>
      </c>
      <c r="J20" s="37">
        <v>0</v>
      </c>
    </row>
    <row r="21" spans="1:10" ht="12.75" customHeight="1">
      <c r="A21" s="12">
        <v>63</v>
      </c>
      <c r="B21" s="55" t="s">
        <v>21</v>
      </c>
      <c r="C21" s="36">
        <v>25</v>
      </c>
      <c r="D21" s="36">
        <v>9</v>
      </c>
      <c r="E21" s="36">
        <v>6</v>
      </c>
      <c r="F21" s="36">
        <v>1</v>
      </c>
      <c r="G21" s="36">
        <v>0</v>
      </c>
      <c r="H21" s="37">
        <v>0</v>
      </c>
      <c r="I21" s="37">
        <v>0</v>
      </c>
      <c r="J21" s="37">
        <v>0</v>
      </c>
    </row>
    <row r="22" spans="1:10" ht="12.75" customHeight="1">
      <c r="A22" s="12">
        <v>64</v>
      </c>
      <c r="B22" s="55" t="s">
        <v>22</v>
      </c>
      <c r="C22" s="36">
        <v>2</v>
      </c>
      <c r="D22" s="36">
        <v>7</v>
      </c>
      <c r="E22" s="36">
        <v>1</v>
      </c>
      <c r="F22" s="36">
        <v>0</v>
      </c>
      <c r="G22" s="36">
        <v>0</v>
      </c>
      <c r="H22" s="37">
        <v>0</v>
      </c>
      <c r="I22" s="37">
        <v>0</v>
      </c>
      <c r="J22" s="37">
        <v>0</v>
      </c>
    </row>
    <row r="23" spans="1:10" ht="12.75" customHeight="1">
      <c r="A23" s="12">
        <v>65</v>
      </c>
      <c r="B23" s="55" t="s">
        <v>23</v>
      </c>
      <c r="C23" s="36">
        <v>16</v>
      </c>
      <c r="D23" s="36">
        <v>7</v>
      </c>
      <c r="E23" s="36">
        <v>3</v>
      </c>
      <c r="F23" s="36">
        <v>5</v>
      </c>
      <c r="G23" s="36">
        <v>0</v>
      </c>
      <c r="H23" s="37">
        <v>0</v>
      </c>
      <c r="I23" s="37">
        <v>0</v>
      </c>
      <c r="J23" s="37">
        <v>0</v>
      </c>
    </row>
    <row r="24" spans="1:10" ht="12.75" customHeight="1">
      <c r="A24" s="12">
        <v>67</v>
      </c>
      <c r="B24" s="55" t="s">
        <v>24</v>
      </c>
      <c r="C24" s="36">
        <v>41</v>
      </c>
      <c r="D24" s="36">
        <v>12</v>
      </c>
      <c r="E24" s="36">
        <v>4</v>
      </c>
      <c r="F24" s="36">
        <v>0</v>
      </c>
      <c r="G24" s="36">
        <v>1</v>
      </c>
      <c r="H24" s="37">
        <v>0</v>
      </c>
      <c r="I24" s="37">
        <v>2</v>
      </c>
      <c r="J24" s="37">
        <v>0</v>
      </c>
    </row>
    <row r="25" spans="1:10" ht="12.75" customHeight="1">
      <c r="A25" s="12">
        <v>68</v>
      </c>
      <c r="B25" s="55" t="s">
        <v>25</v>
      </c>
      <c r="C25" s="36">
        <v>27</v>
      </c>
      <c r="D25" s="36">
        <v>7</v>
      </c>
      <c r="E25" s="36">
        <v>10</v>
      </c>
      <c r="F25" s="36">
        <v>1</v>
      </c>
      <c r="G25" s="36">
        <v>1</v>
      </c>
      <c r="H25" s="37">
        <v>0</v>
      </c>
      <c r="I25" s="37">
        <v>0</v>
      </c>
      <c r="J25" s="37">
        <v>0</v>
      </c>
    </row>
    <row r="26" spans="1:10" ht="12.75" customHeight="1">
      <c r="A26" s="12">
        <v>69</v>
      </c>
      <c r="B26" s="55" t="s">
        <v>26</v>
      </c>
      <c r="C26" s="36">
        <v>18</v>
      </c>
      <c r="D26" s="36">
        <v>9</v>
      </c>
      <c r="E26" s="36">
        <v>6</v>
      </c>
      <c r="F26" s="36">
        <v>0</v>
      </c>
      <c r="G26" s="36">
        <v>1</v>
      </c>
      <c r="H26" s="37">
        <v>0</v>
      </c>
      <c r="I26" s="37">
        <v>0</v>
      </c>
      <c r="J26" s="37">
        <v>0</v>
      </c>
    </row>
    <row r="27" spans="1:10" ht="12.75" customHeight="1">
      <c r="A27" s="12">
        <v>70</v>
      </c>
      <c r="B27" s="55" t="s">
        <v>27</v>
      </c>
      <c r="C27" s="36">
        <v>16</v>
      </c>
      <c r="D27" s="36">
        <v>6</v>
      </c>
      <c r="E27" s="36">
        <v>3</v>
      </c>
      <c r="F27" s="36">
        <v>0</v>
      </c>
      <c r="G27" s="36">
        <v>0</v>
      </c>
      <c r="H27" s="37">
        <v>0</v>
      </c>
      <c r="I27" s="37">
        <v>0</v>
      </c>
      <c r="J27" s="37">
        <v>0</v>
      </c>
    </row>
    <row r="28" spans="1:10" ht="12.75" customHeight="1">
      <c r="A28" s="12">
        <v>71</v>
      </c>
      <c r="B28" s="39" t="s">
        <v>28</v>
      </c>
      <c r="C28" s="36">
        <v>2</v>
      </c>
      <c r="D28" s="36">
        <v>2</v>
      </c>
      <c r="E28" s="36">
        <v>0</v>
      </c>
      <c r="F28" s="36">
        <v>0</v>
      </c>
      <c r="G28" s="36">
        <v>0</v>
      </c>
      <c r="H28" s="37">
        <v>0</v>
      </c>
      <c r="I28" s="37">
        <v>0</v>
      </c>
      <c r="J28" s="37">
        <v>0</v>
      </c>
    </row>
    <row r="29" spans="1:10" ht="12.75" customHeight="1">
      <c r="A29" s="12">
        <v>73</v>
      </c>
      <c r="B29" s="55" t="s">
        <v>29</v>
      </c>
      <c r="C29" s="40">
        <v>29</v>
      </c>
      <c r="D29" s="40">
        <v>4</v>
      </c>
      <c r="E29" s="40">
        <v>6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</row>
    <row r="30" spans="1:10" ht="12.75" customHeight="1">
      <c r="A30" s="12">
        <v>74</v>
      </c>
      <c r="B30" s="55" t="s">
        <v>30</v>
      </c>
      <c r="C30" s="36">
        <v>21</v>
      </c>
      <c r="D30" s="36">
        <v>2</v>
      </c>
      <c r="E30" s="36">
        <v>4</v>
      </c>
      <c r="F30" s="36">
        <v>1</v>
      </c>
      <c r="G30" s="36">
        <v>0</v>
      </c>
      <c r="H30" s="37">
        <v>0</v>
      </c>
      <c r="I30" s="37">
        <v>0</v>
      </c>
      <c r="J30" s="37">
        <v>0</v>
      </c>
    </row>
    <row r="31" spans="1:10" ht="12.75" customHeight="1">
      <c r="A31" s="12">
        <v>75</v>
      </c>
      <c r="B31" s="55" t="s">
        <v>31</v>
      </c>
      <c r="C31" s="36">
        <v>15</v>
      </c>
      <c r="D31" s="36">
        <v>2</v>
      </c>
      <c r="E31" s="36">
        <v>6</v>
      </c>
      <c r="F31" s="36">
        <v>0</v>
      </c>
      <c r="G31" s="36">
        <v>0</v>
      </c>
      <c r="H31" s="37">
        <v>0</v>
      </c>
      <c r="I31" s="37">
        <v>0</v>
      </c>
      <c r="J31" s="37">
        <v>0</v>
      </c>
    </row>
    <row r="32" spans="1:10" ht="12.75" customHeight="1">
      <c r="A32" s="12">
        <v>76</v>
      </c>
      <c r="B32" s="55" t="s">
        <v>32</v>
      </c>
      <c r="C32" s="37">
        <v>8</v>
      </c>
      <c r="D32" s="37">
        <v>1</v>
      </c>
      <c r="E32" s="37">
        <v>3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</row>
    <row r="33" spans="1:12" ht="12.75" customHeight="1">
      <c r="A33" s="12">
        <v>79</v>
      </c>
      <c r="B33" s="55" t="s">
        <v>33</v>
      </c>
      <c r="C33" s="37">
        <v>25</v>
      </c>
      <c r="D33" s="37">
        <v>16</v>
      </c>
      <c r="E33" s="37">
        <v>4</v>
      </c>
      <c r="F33" s="37">
        <v>6</v>
      </c>
      <c r="G33" s="37">
        <v>0</v>
      </c>
      <c r="H33" s="37">
        <v>0</v>
      </c>
      <c r="I33" s="37">
        <v>0</v>
      </c>
      <c r="J33" s="37">
        <v>0</v>
      </c>
    </row>
    <row r="34" spans="1:12" ht="12.75" customHeight="1">
      <c r="A34" s="12">
        <v>80</v>
      </c>
      <c r="B34" s="55" t="s">
        <v>34</v>
      </c>
      <c r="C34" s="37">
        <v>11</v>
      </c>
      <c r="D34" s="37">
        <v>2</v>
      </c>
      <c r="E34" s="37">
        <v>1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</row>
    <row r="35" spans="1:12" ht="12.75" customHeight="1">
      <c r="A35" s="12">
        <v>81</v>
      </c>
      <c r="B35" s="55" t="s">
        <v>35</v>
      </c>
      <c r="C35" s="37">
        <v>23</v>
      </c>
      <c r="D35" s="37">
        <v>1</v>
      </c>
      <c r="E35" s="37">
        <v>6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</row>
    <row r="36" spans="1:12" ht="12.75" customHeight="1">
      <c r="A36" s="12">
        <v>83</v>
      </c>
      <c r="B36" s="55" t="s">
        <v>36</v>
      </c>
      <c r="C36" s="37">
        <v>3</v>
      </c>
      <c r="D36" s="37">
        <v>1</v>
      </c>
      <c r="E36" s="37">
        <v>0</v>
      </c>
      <c r="F36" s="37">
        <v>0</v>
      </c>
      <c r="G36" s="37">
        <v>0</v>
      </c>
      <c r="H36" s="37">
        <v>1</v>
      </c>
      <c r="I36" s="37">
        <v>0</v>
      </c>
      <c r="J36" s="37">
        <v>0</v>
      </c>
    </row>
    <row r="37" spans="1:12" ht="12.75" customHeight="1">
      <c r="A37" s="12">
        <v>84</v>
      </c>
      <c r="B37" s="55" t="s">
        <v>37</v>
      </c>
      <c r="C37" s="37">
        <v>18</v>
      </c>
      <c r="D37" s="37">
        <v>7</v>
      </c>
      <c r="E37" s="37">
        <v>4</v>
      </c>
      <c r="F37" s="37">
        <v>1</v>
      </c>
      <c r="G37" s="37">
        <v>0</v>
      </c>
      <c r="H37" s="37">
        <v>0</v>
      </c>
      <c r="I37" s="37">
        <v>0</v>
      </c>
      <c r="J37" s="37">
        <v>0</v>
      </c>
    </row>
    <row r="38" spans="1:12" ht="12.75" customHeight="1">
      <c r="A38" s="12">
        <v>85</v>
      </c>
      <c r="B38" s="55" t="s">
        <v>38</v>
      </c>
      <c r="C38" s="37">
        <v>15</v>
      </c>
      <c r="D38" s="37">
        <v>1</v>
      </c>
      <c r="E38" s="37">
        <v>1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</row>
    <row r="39" spans="1:12" ht="12.75" customHeight="1">
      <c r="A39" s="12">
        <v>87</v>
      </c>
      <c r="B39" s="55" t="s">
        <v>39</v>
      </c>
      <c r="C39" s="37">
        <v>13</v>
      </c>
      <c r="D39" s="37">
        <v>6</v>
      </c>
      <c r="E39" s="37">
        <v>1</v>
      </c>
      <c r="F39" s="37">
        <v>1</v>
      </c>
      <c r="G39" s="37">
        <v>0</v>
      </c>
      <c r="H39" s="37">
        <v>0</v>
      </c>
      <c r="I39" s="37">
        <v>0</v>
      </c>
      <c r="J39" s="37">
        <v>0</v>
      </c>
    </row>
    <row r="40" spans="1:12" ht="12.75" customHeight="1">
      <c r="A40" s="12">
        <v>90</v>
      </c>
      <c r="B40" s="55" t="s">
        <v>40</v>
      </c>
      <c r="C40" s="37">
        <v>21</v>
      </c>
      <c r="D40" s="37">
        <v>3</v>
      </c>
      <c r="E40" s="37">
        <v>4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</row>
    <row r="41" spans="1:12" ht="12.75" customHeight="1">
      <c r="A41" s="12">
        <v>91</v>
      </c>
      <c r="B41" s="55" t="s">
        <v>41</v>
      </c>
      <c r="C41" s="37">
        <v>25</v>
      </c>
      <c r="D41" s="37">
        <v>1</v>
      </c>
      <c r="E41" s="37">
        <v>6</v>
      </c>
      <c r="F41" s="37">
        <v>0</v>
      </c>
      <c r="G41" s="37">
        <v>1</v>
      </c>
      <c r="H41" s="37">
        <v>1</v>
      </c>
      <c r="I41" s="37">
        <v>0</v>
      </c>
      <c r="J41" s="37">
        <v>0</v>
      </c>
      <c r="K41" s="11"/>
    </row>
    <row r="42" spans="1:12" ht="12.75" customHeight="1">
      <c r="A42" s="12">
        <v>92</v>
      </c>
      <c r="B42" s="55" t="s">
        <v>42</v>
      </c>
      <c r="C42" s="37">
        <v>18</v>
      </c>
      <c r="D42" s="37">
        <v>5</v>
      </c>
      <c r="E42" s="37">
        <v>4</v>
      </c>
      <c r="F42" s="37">
        <v>2</v>
      </c>
      <c r="G42" s="37">
        <v>0</v>
      </c>
      <c r="H42" s="37">
        <v>0</v>
      </c>
      <c r="I42" s="37">
        <v>0</v>
      </c>
      <c r="J42" s="37">
        <v>0</v>
      </c>
    </row>
    <row r="43" spans="1:12" ht="12.75" customHeight="1">
      <c r="A43" s="12">
        <v>94</v>
      </c>
      <c r="B43" s="55" t="s">
        <v>43</v>
      </c>
      <c r="C43" s="37">
        <v>15</v>
      </c>
      <c r="D43" s="37">
        <v>2</v>
      </c>
      <c r="E43" s="37">
        <v>6</v>
      </c>
      <c r="F43" s="37">
        <v>1</v>
      </c>
      <c r="G43" s="37">
        <v>0</v>
      </c>
      <c r="H43" s="37">
        <v>0</v>
      </c>
      <c r="I43" s="37">
        <v>0</v>
      </c>
      <c r="J43" s="37">
        <v>0</v>
      </c>
    </row>
    <row r="44" spans="1:12" ht="12.75" customHeight="1">
      <c r="A44" s="12">
        <v>96</v>
      </c>
      <c r="B44" s="55" t="s">
        <v>44</v>
      </c>
      <c r="C44" s="37">
        <v>12</v>
      </c>
      <c r="D44" s="37">
        <v>3</v>
      </c>
      <c r="E44" s="37">
        <v>4</v>
      </c>
      <c r="F44" s="37">
        <v>1</v>
      </c>
      <c r="G44" s="37">
        <v>0</v>
      </c>
      <c r="H44" s="37">
        <v>0</v>
      </c>
      <c r="I44" s="37">
        <v>0</v>
      </c>
      <c r="J44" s="37">
        <v>0</v>
      </c>
      <c r="L44" s="11"/>
    </row>
    <row r="45" spans="1:12" ht="12.75" customHeight="1">
      <c r="A45" s="12">
        <v>98</v>
      </c>
      <c r="B45" s="55" t="s">
        <v>45</v>
      </c>
      <c r="C45" s="37">
        <v>8</v>
      </c>
      <c r="D45" s="37">
        <v>9</v>
      </c>
      <c r="E45" s="37">
        <v>0</v>
      </c>
      <c r="F45" s="37">
        <v>3</v>
      </c>
      <c r="G45" s="37">
        <v>0</v>
      </c>
      <c r="H45" s="37">
        <v>0</v>
      </c>
      <c r="I45" s="37">
        <v>0</v>
      </c>
      <c r="J45" s="37">
        <v>0</v>
      </c>
      <c r="L45" s="41"/>
    </row>
    <row r="46" spans="1:12" ht="12.75" customHeight="1">
      <c r="A46" s="12">
        <v>72</v>
      </c>
      <c r="B46" s="39" t="s">
        <v>46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7">
        <v>0</v>
      </c>
      <c r="I46" s="37">
        <v>0</v>
      </c>
      <c r="J46" s="37">
        <v>0</v>
      </c>
    </row>
    <row r="47" spans="1:12" s="11" customFormat="1" ht="25.5" customHeight="1">
      <c r="B47" s="11" t="s">
        <v>47</v>
      </c>
      <c r="C47" s="42">
        <v>344</v>
      </c>
      <c r="D47" s="42">
        <v>82</v>
      </c>
      <c r="E47" s="42">
        <v>85</v>
      </c>
      <c r="F47" s="42">
        <v>20</v>
      </c>
      <c r="G47" s="42">
        <v>17</v>
      </c>
      <c r="H47" s="42">
        <v>2</v>
      </c>
      <c r="I47" s="42">
        <v>0</v>
      </c>
      <c r="J47" s="42">
        <v>0</v>
      </c>
    </row>
    <row r="48" spans="1:12" ht="12.75" customHeight="1">
      <c r="A48" s="12">
        <v>66</v>
      </c>
      <c r="B48" s="55" t="s">
        <v>48</v>
      </c>
      <c r="C48" s="36">
        <v>37</v>
      </c>
      <c r="D48" s="36">
        <v>5</v>
      </c>
      <c r="E48" s="36">
        <v>8</v>
      </c>
      <c r="F48" s="36">
        <v>0</v>
      </c>
      <c r="G48" s="36">
        <v>1</v>
      </c>
      <c r="H48" s="37">
        <v>0</v>
      </c>
      <c r="I48" s="37">
        <v>0</v>
      </c>
      <c r="J48" s="37">
        <v>0</v>
      </c>
    </row>
    <row r="49" spans="1:12" ht="12.75" customHeight="1">
      <c r="A49" s="12">
        <v>78</v>
      </c>
      <c r="B49" s="55" t="s">
        <v>49</v>
      </c>
      <c r="C49" s="36">
        <v>19</v>
      </c>
      <c r="D49" s="36">
        <v>4</v>
      </c>
      <c r="E49" s="36">
        <v>6</v>
      </c>
      <c r="F49" s="36">
        <v>2</v>
      </c>
      <c r="G49" s="36">
        <v>1</v>
      </c>
      <c r="H49" s="37">
        <v>0</v>
      </c>
      <c r="I49" s="37">
        <v>0</v>
      </c>
      <c r="J49" s="37">
        <v>0</v>
      </c>
    </row>
    <row r="50" spans="1:12" ht="12.75" customHeight="1">
      <c r="A50" s="12">
        <v>89</v>
      </c>
      <c r="B50" s="55" t="s">
        <v>50</v>
      </c>
      <c r="C50" s="36">
        <v>16</v>
      </c>
      <c r="D50" s="36">
        <v>6</v>
      </c>
      <c r="E50" s="36">
        <v>2</v>
      </c>
      <c r="F50" s="36">
        <v>1</v>
      </c>
      <c r="G50" s="36">
        <v>0</v>
      </c>
      <c r="H50" s="37">
        <v>0</v>
      </c>
      <c r="I50" s="37">
        <v>0</v>
      </c>
      <c r="J50" s="37">
        <v>0</v>
      </c>
    </row>
    <row r="51" spans="1:12" ht="12.75" customHeight="1">
      <c r="A51" s="12">
        <v>93</v>
      </c>
      <c r="B51" s="55" t="s">
        <v>51</v>
      </c>
      <c r="C51" s="36">
        <v>8</v>
      </c>
      <c r="D51" s="36">
        <v>2</v>
      </c>
      <c r="E51" s="36">
        <v>1</v>
      </c>
      <c r="F51" s="36">
        <v>0</v>
      </c>
      <c r="G51" s="36">
        <v>4</v>
      </c>
      <c r="H51" s="37">
        <v>1</v>
      </c>
      <c r="I51" s="37">
        <v>0</v>
      </c>
      <c r="J51" s="37">
        <v>0</v>
      </c>
    </row>
    <row r="52" spans="1:12" ht="12.75" customHeight="1">
      <c r="A52" s="12">
        <v>95</v>
      </c>
      <c r="B52" s="55" t="s">
        <v>52</v>
      </c>
      <c r="C52" s="36">
        <v>48</v>
      </c>
      <c r="D52" s="36">
        <v>11</v>
      </c>
      <c r="E52" s="36">
        <v>7</v>
      </c>
      <c r="F52" s="36">
        <v>4</v>
      </c>
      <c r="G52" s="36">
        <v>1</v>
      </c>
      <c r="H52" s="37">
        <v>0</v>
      </c>
      <c r="I52" s="37">
        <v>0</v>
      </c>
      <c r="J52" s="37">
        <v>0</v>
      </c>
    </row>
    <row r="53" spans="1:12" ht="12.75" customHeight="1">
      <c r="A53" s="12">
        <v>97</v>
      </c>
      <c r="B53" s="55" t="s">
        <v>53</v>
      </c>
      <c r="C53" s="36">
        <v>57</v>
      </c>
      <c r="D53" s="36">
        <v>11</v>
      </c>
      <c r="E53" s="36">
        <v>9</v>
      </c>
      <c r="F53" s="36">
        <v>3</v>
      </c>
      <c r="G53" s="36">
        <v>2</v>
      </c>
      <c r="H53" s="37">
        <v>0</v>
      </c>
      <c r="I53" s="37">
        <v>0</v>
      </c>
      <c r="J53" s="37">
        <v>0</v>
      </c>
    </row>
    <row r="54" spans="1:12" ht="12.75" customHeight="1">
      <c r="A54" s="12">
        <v>77</v>
      </c>
      <c r="B54" s="58" t="s">
        <v>54</v>
      </c>
      <c r="C54" s="44">
        <v>159</v>
      </c>
      <c r="D54" s="44">
        <v>43</v>
      </c>
      <c r="E54" s="44">
        <v>52</v>
      </c>
      <c r="F54" s="44">
        <v>10</v>
      </c>
      <c r="G54" s="44">
        <v>8</v>
      </c>
      <c r="H54" s="45">
        <v>1</v>
      </c>
      <c r="I54" s="45">
        <v>0</v>
      </c>
      <c r="J54" s="45">
        <v>0</v>
      </c>
    </row>
    <row r="55" spans="1:12" s="41" customFormat="1" ht="13.5" customHeight="1">
      <c r="A55" s="1"/>
      <c r="C55" s="46"/>
      <c r="D55" s="47"/>
      <c r="E55" s="46"/>
      <c r="F55" s="46"/>
      <c r="G55" s="46"/>
      <c r="H55" s="46"/>
      <c r="I55" s="46"/>
      <c r="J55" s="46"/>
      <c r="K55" s="55"/>
      <c r="L55" s="55"/>
    </row>
    <row r="56" spans="1:12" ht="18.75" customHeight="1">
      <c r="B56" s="12" t="s">
        <v>55</v>
      </c>
    </row>
    <row r="57" spans="1:12">
      <c r="B57" s="201" t="s">
        <v>56</v>
      </c>
      <c r="C57" s="201"/>
      <c r="D57" s="201"/>
      <c r="E57" s="201"/>
      <c r="F57" s="201"/>
      <c r="G57" s="201"/>
      <c r="H57" s="201"/>
      <c r="I57" s="201"/>
      <c r="J57" s="201"/>
    </row>
    <row r="58" spans="1:12" ht="12.75" customHeight="1">
      <c r="B58" s="201"/>
      <c r="C58" s="201"/>
      <c r="D58" s="201"/>
      <c r="E58" s="201"/>
      <c r="F58" s="201"/>
      <c r="G58" s="201"/>
      <c r="H58" s="201"/>
      <c r="I58" s="201"/>
      <c r="J58" s="201"/>
    </row>
    <row r="59" spans="1:12" ht="18.75" customHeight="1">
      <c r="B59" s="201"/>
      <c r="C59" s="201"/>
      <c r="D59" s="201"/>
      <c r="E59" s="201"/>
      <c r="F59" s="201"/>
      <c r="G59" s="201"/>
      <c r="H59" s="201"/>
      <c r="I59" s="201"/>
      <c r="J59" s="201"/>
    </row>
    <row r="60" spans="1:12" ht="18.75" customHeight="1">
      <c r="B60" s="201"/>
      <c r="C60" s="201"/>
      <c r="D60" s="201"/>
      <c r="E60" s="201"/>
      <c r="F60" s="201"/>
      <c r="G60" s="201"/>
      <c r="H60" s="201"/>
      <c r="I60" s="201"/>
      <c r="J60" s="201"/>
    </row>
    <row r="61" spans="1:12" ht="18.75" customHeight="1">
      <c r="B61" s="201"/>
      <c r="C61" s="201"/>
      <c r="D61" s="201"/>
      <c r="E61" s="201"/>
      <c r="F61" s="201"/>
      <c r="G61" s="201"/>
      <c r="H61" s="201"/>
      <c r="I61" s="201"/>
      <c r="J61" s="201"/>
    </row>
    <row r="62" spans="1:12" ht="17.25" customHeight="1">
      <c r="B62" s="201"/>
      <c r="C62" s="201"/>
      <c r="D62" s="201"/>
      <c r="E62" s="201"/>
      <c r="F62" s="201"/>
      <c r="G62" s="201"/>
      <c r="H62" s="201"/>
      <c r="I62" s="201"/>
      <c r="J62" s="201"/>
    </row>
    <row r="63" spans="1:12" ht="15.75" customHeight="1">
      <c r="B63" s="12" t="s">
        <v>61</v>
      </c>
    </row>
    <row r="64" spans="1:12" ht="9.75" customHeight="1">
      <c r="B64" s="201"/>
      <c r="C64" s="201"/>
      <c r="D64" s="201"/>
      <c r="E64" s="57"/>
      <c r="F64" s="57"/>
      <c r="G64" s="57"/>
      <c r="H64" s="57"/>
      <c r="I64" s="57"/>
      <c r="J64" s="57"/>
    </row>
    <row r="65" spans="2:2" ht="18.75" customHeight="1">
      <c r="B65" s="24" t="s">
        <v>62</v>
      </c>
    </row>
    <row r="66" spans="2:2">
      <c r="B66" s="26"/>
    </row>
    <row r="68" spans="2:2">
      <c r="B68" s="27"/>
    </row>
  </sheetData>
  <mergeCells count="7">
    <mergeCell ref="B64:D64"/>
    <mergeCell ref="B1:J1"/>
    <mergeCell ref="B2:B4"/>
    <mergeCell ref="C2:D3"/>
    <mergeCell ref="E2:H2"/>
    <mergeCell ref="I2:J3"/>
    <mergeCell ref="B57:J6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65"/>
  <sheetViews>
    <sheetView showGridLines="0" zoomScale="85" workbookViewId="0">
      <pane xSplit="2" ySplit="3" topLeftCell="C7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RowHeight="12.75"/>
  <cols>
    <col min="1" max="1" width="3.140625" style="1" hidden="1" customWidth="1"/>
    <col min="2" max="2" width="24.7109375" style="55" customWidth="1"/>
    <col min="3" max="3" width="18" style="55" customWidth="1"/>
    <col min="4" max="4" width="18.42578125" style="55" customWidth="1"/>
    <col min="5" max="5" width="13.85546875" style="55" customWidth="1"/>
    <col min="6" max="6" width="14" style="55" customWidth="1"/>
    <col min="7" max="256" width="9.140625" style="55"/>
    <col min="257" max="257" width="0" style="55" hidden="1" customWidth="1"/>
    <col min="258" max="258" width="24.7109375" style="55" customWidth="1"/>
    <col min="259" max="259" width="18" style="55" customWidth="1"/>
    <col min="260" max="260" width="18.42578125" style="55" customWidth="1"/>
    <col min="261" max="261" width="13.85546875" style="55" customWidth="1"/>
    <col min="262" max="262" width="14" style="55" customWidth="1"/>
    <col min="263" max="512" width="9.140625" style="55"/>
    <col min="513" max="513" width="0" style="55" hidden="1" customWidth="1"/>
    <col min="514" max="514" width="24.7109375" style="55" customWidth="1"/>
    <col min="515" max="515" width="18" style="55" customWidth="1"/>
    <col min="516" max="516" width="18.42578125" style="55" customWidth="1"/>
    <col min="517" max="517" width="13.85546875" style="55" customWidth="1"/>
    <col min="518" max="518" width="14" style="55" customWidth="1"/>
    <col min="519" max="768" width="9.140625" style="55"/>
    <col min="769" max="769" width="0" style="55" hidden="1" customWidth="1"/>
    <col min="770" max="770" width="24.7109375" style="55" customWidth="1"/>
    <col min="771" max="771" width="18" style="55" customWidth="1"/>
    <col min="772" max="772" width="18.42578125" style="55" customWidth="1"/>
    <col min="773" max="773" width="13.85546875" style="55" customWidth="1"/>
    <col min="774" max="774" width="14" style="55" customWidth="1"/>
    <col min="775" max="1024" width="9.140625" style="55"/>
    <col min="1025" max="1025" width="0" style="55" hidden="1" customWidth="1"/>
    <col min="1026" max="1026" width="24.7109375" style="55" customWidth="1"/>
    <col min="1027" max="1027" width="18" style="55" customWidth="1"/>
    <col min="1028" max="1028" width="18.42578125" style="55" customWidth="1"/>
    <col min="1029" max="1029" width="13.85546875" style="55" customWidth="1"/>
    <col min="1030" max="1030" width="14" style="55" customWidth="1"/>
    <col min="1031" max="1280" width="9.140625" style="55"/>
    <col min="1281" max="1281" width="0" style="55" hidden="1" customWidth="1"/>
    <col min="1282" max="1282" width="24.7109375" style="55" customWidth="1"/>
    <col min="1283" max="1283" width="18" style="55" customWidth="1"/>
    <col min="1284" max="1284" width="18.42578125" style="55" customWidth="1"/>
    <col min="1285" max="1285" width="13.85546875" style="55" customWidth="1"/>
    <col min="1286" max="1286" width="14" style="55" customWidth="1"/>
    <col min="1287" max="1536" width="9.140625" style="55"/>
    <col min="1537" max="1537" width="0" style="55" hidden="1" customWidth="1"/>
    <col min="1538" max="1538" width="24.7109375" style="55" customWidth="1"/>
    <col min="1539" max="1539" width="18" style="55" customWidth="1"/>
    <col min="1540" max="1540" width="18.42578125" style="55" customWidth="1"/>
    <col min="1541" max="1541" width="13.85546875" style="55" customWidth="1"/>
    <col min="1542" max="1542" width="14" style="55" customWidth="1"/>
    <col min="1543" max="1792" width="9.140625" style="55"/>
    <col min="1793" max="1793" width="0" style="55" hidden="1" customWidth="1"/>
    <col min="1794" max="1794" width="24.7109375" style="55" customWidth="1"/>
    <col min="1795" max="1795" width="18" style="55" customWidth="1"/>
    <col min="1796" max="1796" width="18.42578125" style="55" customWidth="1"/>
    <col min="1797" max="1797" width="13.85546875" style="55" customWidth="1"/>
    <col min="1798" max="1798" width="14" style="55" customWidth="1"/>
    <col min="1799" max="2048" width="9.140625" style="55"/>
    <col min="2049" max="2049" width="0" style="55" hidden="1" customWidth="1"/>
    <col min="2050" max="2050" width="24.7109375" style="55" customWidth="1"/>
    <col min="2051" max="2051" width="18" style="55" customWidth="1"/>
    <col min="2052" max="2052" width="18.42578125" style="55" customWidth="1"/>
    <col min="2053" max="2053" width="13.85546875" style="55" customWidth="1"/>
    <col min="2054" max="2054" width="14" style="55" customWidth="1"/>
    <col min="2055" max="2304" width="9.140625" style="55"/>
    <col min="2305" max="2305" width="0" style="55" hidden="1" customWidth="1"/>
    <col min="2306" max="2306" width="24.7109375" style="55" customWidth="1"/>
    <col min="2307" max="2307" width="18" style="55" customWidth="1"/>
    <col min="2308" max="2308" width="18.42578125" style="55" customWidth="1"/>
    <col min="2309" max="2309" width="13.85546875" style="55" customWidth="1"/>
    <col min="2310" max="2310" width="14" style="55" customWidth="1"/>
    <col min="2311" max="2560" width="9.140625" style="55"/>
    <col min="2561" max="2561" width="0" style="55" hidden="1" customWidth="1"/>
    <col min="2562" max="2562" width="24.7109375" style="55" customWidth="1"/>
    <col min="2563" max="2563" width="18" style="55" customWidth="1"/>
    <col min="2564" max="2564" width="18.42578125" style="55" customWidth="1"/>
    <col min="2565" max="2565" width="13.85546875" style="55" customWidth="1"/>
    <col min="2566" max="2566" width="14" style="55" customWidth="1"/>
    <col min="2567" max="2816" width="9.140625" style="55"/>
    <col min="2817" max="2817" width="0" style="55" hidden="1" customWidth="1"/>
    <col min="2818" max="2818" width="24.7109375" style="55" customWidth="1"/>
    <col min="2819" max="2819" width="18" style="55" customWidth="1"/>
    <col min="2820" max="2820" width="18.42578125" style="55" customWidth="1"/>
    <col min="2821" max="2821" width="13.85546875" style="55" customWidth="1"/>
    <col min="2822" max="2822" width="14" style="55" customWidth="1"/>
    <col min="2823" max="3072" width="9.140625" style="55"/>
    <col min="3073" max="3073" width="0" style="55" hidden="1" customWidth="1"/>
    <col min="3074" max="3074" width="24.7109375" style="55" customWidth="1"/>
    <col min="3075" max="3075" width="18" style="55" customWidth="1"/>
    <col min="3076" max="3076" width="18.42578125" style="55" customWidth="1"/>
    <col min="3077" max="3077" width="13.85546875" style="55" customWidth="1"/>
    <col min="3078" max="3078" width="14" style="55" customWidth="1"/>
    <col min="3079" max="3328" width="9.140625" style="55"/>
    <col min="3329" max="3329" width="0" style="55" hidden="1" customWidth="1"/>
    <col min="3330" max="3330" width="24.7109375" style="55" customWidth="1"/>
    <col min="3331" max="3331" width="18" style="55" customWidth="1"/>
    <col min="3332" max="3332" width="18.42578125" style="55" customWidth="1"/>
    <col min="3333" max="3333" width="13.85546875" style="55" customWidth="1"/>
    <col min="3334" max="3334" width="14" style="55" customWidth="1"/>
    <col min="3335" max="3584" width="9.140625" style="55"/>
    <col min="3585" max="3585" width="0" style="55" hidden="1" customWidth="1"/>
    <col min="3586" max="3586" width="24.7109375" style="55" customWidth="1"/>
    <col min="3587" max="3587" width="18" style="55" customWidth="1"/>
    <col min="3588" max="3588" width="18.42578125" style="55" customWidth="1"/>
    <col min="3589" max="3589" width="13.85546875" style="55" customWidth="1"/>
    <col min="3590" max="3590" width="14" style="55" customWidth="1"/>
    <col min="3591" max="3840" width="9.140625" style="55"/>
    <col min="3841" max="3841" width="0" style="55" hidden="1" customWidth="1"/>
    <col min="3842" max="3842" width="24.7109375" style="55" customWidth="1"/>
    <col min="3843" max="3843" width="18" style="55" customWidth="1"/>
    <col min="3844" max="3844" width="18.42578125" style="55" customWidth="1"/>
    <col min="3845" max="3845" width="13.85546875" style="55" customWidth="1"/>
    <col min="3846" max="3846" width="14" style="55" customWidth="1"/>
    <col min="3847" max="4096" width="9.140625" style="55"/>
    <col min="4097" max="4097" width="0" style="55" hidden="1" customWidth="1"/>
    <col min="4098" max="4098" width="24.7109375" style="55" customWidth="1"/>
    <col min="4099" max="4099" width="18" style="55" customWidth="1"/>
    <col min="4100" max="4100" width="18.42578125" style="55" customWidth="1"/>
    <col min="4101" max="4101" width="13.85546875" style="55" customWidth="1"/>
    <col min="4102" max="4102" width="14" style="55" customWidth="1"/>
    <col min="4103" max="4352" width="9.140625" style="55"/>
    <col min="4353" max="4353" width="0" style="55" hidden="1" customWidth="1"/>
    <col min="4354" max="4354" width="24.7109375" style="55" customWidth="1"/>
    <col min="4355" max="4355" width="18" style="55" customWidth="1"/>
    <col min="4356" max="4356" width="18.42578125" style="55" customWidth="1"/>
    <col min="4357" max="4357" width="13.85546875" style="55" customWidth="1"/>
    <col min="4358" max="4358" width="14" style="55" customWidth="1"/>
    <col min="4359" max="4608" width="9.140625" style="55"/>
    <col min="4609" max="4609" width="0" style="55" hidden="1" customWidth="1"/>
    <col min="4610" max="4610" width="24.7109375" style="55" customWidth="1"/>
    <col min="4611" max="4611" width="18" style="55" customWidth="1"/>
    <col min="4612" max="4612" width="18.42578125" style="55" customWidth="1"/>
    <col min="4613" max="4613" width="13.85546875" style="55" customWidth="1"/>
    <col min="4614" max="4614" width="14" style="55" customWidth="1"/>
    <col min="4615" max="4864" width="9.140625" style="55"/>
    <col min="4865" max="4865" width="0" style="55" hidden="1" customWidth="1"/>
    <col min="4866" max="4866" width="24.7109375" style="55" customWidth="1"/>
    <col min="4867" max="4867" width="18" style="55" customWidth="1"/>
    <col min="4868" max="4868" width="18.42578125" style="55" customWidth="1"/>
    <col min="4869" max="4869" width="13.85546875" style="55" customWidth="1"/>
    <col min="4870" max="4870" width="14" style="55" customWidth="1"/>
    <col min="4871" max="5120" width="9.140625" style="55"/>
    <col min="5121" max="5121" width="0" style="55" hidden="1" customWidth="1"/>
    <col min="5122" max="5122" width="24.7109375" style="55" customWidth="1"/>
    <col min="5123" max="5123" width="18" style="55" customWidth="1"/>
    <col min="5124" max="5124" width="18.42578125" style="55" customWidth="1"/>
    <col min="5125" max="5125" width="13.85546875" style="55" customWidth="1"/>
    <col min="5126" max="5126" width="14" style="55" customWidth="1"/>
    <col min="5127" max="5376" width="9.140625" style="55"/>
    <col min="5377" max="5377" width="0" style="55" hidden="1" customWidth="1"/>
    <col min="5378" max="5378" width="24.7109375" style="55" customWidth="1"/>
    <col min="5379" max="5379" width="18" style="55" customWidth="1"/>
    <col min="5380" max="5380" width="18.42578125" style="55" customWidth="1"/>
    <col min="5381" max="5381" width="13.85546875" style="55" customWidth="1"/>
    <col min="5382" max="5382" width="14" style="55" customWidth="1"/>
    <col min="5383" max="5632" width="9.140625" style="55"/>
    <col min="5633" max="5633" width="0" style="55" hidden="1" customWidth="1"/>
    <col min="5634" max="5634" width="24.7109375" style="55" customWidth="1"/>
    <col min="5635" max="5635" width="18" style="55" customWidth="1"/>
    <col min="5636" max="5636" width="18.42578125" style="55" customWidth="1"/>
    <col min="5637" max="5637" width="13.85546875" style="55" customWidth="1"/>
    <col min="5638" max="5638" width="14" style="55" customWidth="1"/>
    <col min="5639" max="5888" width="9.140625" style="55"/>
    <col min="5889" max="5889" width="0" style="55" hidden="1" customWidth="1"/>
    <col min="5890" max="5890" width="24.7109375" style="55" customWidth="1"/>
    <col min="5891" max="5891" width="18" style="55" customWidth="1"/>
    <col min="5892" max="5892" width="18.42578125" style="55" customWidth="1"/>
    <col min="5893" max="5893" width="13.85546875" style="55" customWidth="1"/>
    <col min="5894" max="5894" width="14" style="55" customWidth="1"/>
    <col min="5895" max="6144" width="9.140625" style="55"/>
    <col min="6145" max="6145" width="0" style="55" hidden="1" customWidth="1"/>
    <col min="6146" max="6146" width="24.7109375" style="55" customWidth="1"/>
    <col min="6147" max="6147" width="18" style="55" customWidth="1"/>
    <col min="6148" max="6148" width="18.42578125" style="55" customWidth="1"/>
    <col min="6149" max="6149" width="13.85546875" style="55" customWidth="1"/>
    <col min="6150" max="6150" width="14" style="55" customWidth="1"/>
    <col min="6151" max="6400" width="9.140625" style="55"/>
    <col min="6401" max="6401" width="0" style="55" hidden="1" customWidth="1"/>
    <col min="6402" max="6402" width="24.7109375" style="55" customWidth="1"/>
    <col min="6403" max="6403" width="18" style="55" customWidth="1"/>
    <col min="6404" max="6404" width="18.42578125" style="55" customWidth="1"/>
    <col min="6405" max="6405" width="13.85546875" style="55" customWidth="1"/>
    <col min="6406" max="6406" width="14" style="55" customWidth="1"/>
    <col min="6407" max="6656" width="9.140625" style="55"/>
    <col min="6657" max="6657" width="0" style="55" hidden="1" customWidth="1"/>
    <col min="6658" max="6658" width="24.7109375" style="55" customWidth="1"/>
    <col min="6659" max="6659" width="18" style="55" customWidth="1"/>
    <col min="6660" max="6660" width="18.42578125" style="55" customWidth="1"/>
    <col min="6661" max="6661" width="13.85546875" style="55" customWidth="1"/>
    <col min="6662" max="6662" width="14" style="55" customWidth="1"/>
    <col min="6663" max="6912" width="9.140625" style="55"/>
    <col min="6913" max="6913" width="0" style="55" hidden="1" customWidth="1"/>
    <col min="6914" max="6914" width="24.7109375" style="55" customWidth="1"/>
    <col min="6915" max="6915" width="18" style="55" customWidth="1"/>
    <col min="6916" max="6916" width="18.42578125" style="55" customWidth="1"/>
    <col min="6917" max="6917" width="13.85546875" style="55" customWidth="1"/>
    <col min="6918" max="6918" width="14" style="55" customWidth="1"/>
    <col min="6919" max="7168" width="9.140625" style="55"/>
    <col min="7169" max="7169" width="0" style="55" hidden="1" customWidth="1"/>
    <col min="7170" max="7170" width="24.7109375" style="55" customWidth="1"/>
    <col min="7171" max="7171" width="18" style="55" customWidth="1"/>
    <col min="7172" max="7172" width="18.42578125" style="55" customWidth="1"/>
    <col min="7173" max="7173" width="13.85546875" style="55" customWidth="1"/>
    <col min="7174" max="7174" width="14" style="55" customWidth="1"/>
    <col min="7175" max="7424" width="9.140625" style="55"/>
    <col min="7425" max="7425" width="0" style="55" hidden="1" customWidth="1"/>
    <col min="7426" max="7426" width="24.7109375" style="55" customWidth="1"/>
    <col min="7427" max="7427" width="18" style="55" customWidth="1"/>
    <col min="7428" max="7428" width="18.42578125" style="55" customWidth="1"/>
    <col min="7429" max="7429" width="13.85546875" style="55" customWidth="1"/>
    <col min="7430" max="7430" width="14" style="55" customWidth="1"/>
    <col min="7431" max="7680" width="9.140625" style="55"/>
    <col min="7681" max="7681" width="0" style="55" hidden="1" customWidth="1"/>
    <col min="7682" max="7682" width="24.7109375" style="55" customWidth="1"/>
    <col min="7683" max="7683" width="18" style="55" customWidth="1"/>
    <col min="7684" max="7684" width="18.42578125" style="55" customWidth="1"/>
    <col min="7685" max="7685" width="13.85546875" style="55" customWidth="1"/>
    <col min="7686" max="7686" width="14" style="55" customWidth="1"/>
    <col min="7687" max="7936" width="9.140625" style="55"/>
    <col min="7937" max="7937" width="0" style="55" hidden="1" customWidth="1"/>
    <col min="7938" max="7938" width="24.7109375" style="55" customWidth="1"/>
    <col min="7939" max="7939" width="18" style="55" customWidth="1"/>
    <col min="7940" max="7940" width="18.42578125" style="55" customWidth="1"/>
    <col min="7941" max="7941" width="13.85546875" style="55" customWidth="1"/>
    <col min="7942" max="7942" width="14" style="55" customWidth="1"/>
    <col min="7943" max="8192" width="9.140625" style="55"/>
    <col min="8193" max="8193" width="0" style="55" hidden="1" customWidth="1"/>
    <col min="8194" max="8194" width="24.7109375" style="55" customWidth="1"/>
    <col min="8195" max="8195" width="18" style="55" customWidth="1"/>
    <col min="8196" max="8196" width="18.42578125" style="55" customWidth="1"/>
    <col min="8197" max="8197" width="13.85546875" style="55" customWidth="1"/>
    <col min="8198" max="8198" width="14" style="55" customWidth="1"/>
    <col min="8199" max="8448" width="9.140625" style="55"/>
    <col min="8449" max="8449" width="0" style="55" hidden="1" customWidth="1"/>
    <col min="8450" max="8450" width="24.7109375" style="55" customWidth="1"/>
    <col min="8451" max="8451" width="18" style="55" customWidth="1"/>
    <col min="8452" max="8452" width="18.42578125" style="55" customWidth="1"/>
    <col min="8453" max="8453" width="13.85546875" style="55" customWidth="1"/>
    <col min="8454" max="8454" width="14" style="55" customWidth="1"/>
    <col min="8455" max="8704" width="9.140625" style="55"/>
    <col min="8705" max="8705" width="0" style="55" hidden="1" customWidth="1"/>
    <col min="8706" max="8706" width="24.7109375" style="55" customWidth="1"/>
    <col min="8707" max="8707" width="18" style="55" customWidth="1"/>
    <col min="8708" max="8708" width="18.42578125" style="55" customWidth="1"/>
    <col min="8709" max="8709" width="13.85546875" style="55" customWidth="1"/>
    <col min="8710" max="8710" width="14" style="55" customWidth="1"/>
    <col min="8711" max="8960" width="9.140625" style="55"/>
    <col min="8961" max="8961" width="0" style="55" hidden="1" customWidth="1"/>
    <col min="8962" max="8962" width="24.7109375" style="55" customWidth="1"/>
    <col min="8963" max="8963" width="18" style="55" customWidth="1"/>
    <col min="8964" max="8964" width="18.42578125" style="55" customWidth="1"/>
    <col min="8965" max="8965" width="13.85546875" style="55" customWidth="1"/>
    <col min="8966" max="8966" width="14" style="55" customWidth="1"/>
    <col min="8967" max="9216" width="9.140625" style="55"/>
    <col min="9217" max="9217" width="0" style="55" hidden="1" customWidth="1"/>
    <col min="9218" max="9218" width="24.7109375" style="55" customWidth="1"/>
    <col min="9219" max="9219" width="18" style="55" customWidth="1"/>
    <col min="9220" max="9220" width="18.42578125" style="55" customWidth="1"/>
    <col min="9221" max="9221" width="13.85546875" style="55" customWidth="1"/>
    <col min="9222" max="9222" width="14" style="55" customWidth="1"/>
    <col min="9223" max="9472" width="9.140625" style="55"/>
    <col min="9473" max="9473" width="0" style="55" hidden="1" customWidth="1"/>
    <col min="9474" max="9474" width="24.7109375" style="55" customWidth="1"/>
    <col min="9475" max="9475" width="18" style="55" customWidth="1"/>
    <col min="9476" max="9476" width="18.42578125" style="55" customWidth="1"/>
    <col min="9477" max="9477" width="13.85546875" style="55" customWidth="1"/>
    <col min="9478" max="9478" width="14" style="55" customWidth="1"/>
    <col min="9479" max="9728" width="9.140625" style="55"/>
    <col min="9729" max="9729" width="0" style="55" hidden="1" customWidth="1"/>
    <col min="9730" max="9730" width="24.7109375" style="55" customWidth="1"/>
    <col min="9731" max="9731" width="18" style="55" customWidth="1"/>
    <col min="9732" max="9732" width="18.42578125" style="55" customWidth="1"/>
    <col min="9733" max="9733" width="13.85546875" style="55" customWidth="1"/>
    <col min="9734" max="9734" width="14" style="55" customWidth="1"/>
    <col min="9735" max="9984" width="9.140625" style="55"/>
    <col min="9985" max="9985" width="0" style="55" hidden="1" customWidth="1"/>
    <col min="9986" max="9986" width="24.7109375" style="55" customWidth="1"/>
    <col min="9987" max="9987" width="18" style="55" customWidth="1"/>
    <col min="9988" max="9988" width="18.42578125" style="55" customWidth="1"/>
    <col min="9989" max="9989" width="13.85546875" style="55" customWidth="1"/>
    <col min="9990" max="9990" width="14" style="55" customWidth="1"/>
    <col min="9991" max="10240" width="9.140625" style="55"/>
    <col min="10241" max="10241" width="0" style="55" hidden="1" customWidth="1"/>
    <col min="10242" max="10242" width="24.7109375" style="55" customWidth="1"/>
    <col min="10243" max="10243" width="18" style="55" customWidth="1"/>
    <col min="10244" max="10244" width="18.42578125" style="55" customWidth="1"/>
    <col min="10245" max="10245" width="13.85546875" style="55" customWidth="1"/>
    <col min="10246" max="10246" width="14" style="55" customWidth="1"/>
    <col min="10247" max="10496" width="9.140625" style="55"/>
    <col min="10497" max="10497" width="0" style="55" hidden="1" customWidth="1"/>
    <col min="10498" max="10498" width="24.7109375" style="55" customWidth="1"/>
    <col min="10499" max="10499" width="18" style="55" customWidth="1"/>
    <col min="10500" max="10500" width="18.42578125" style="55" customWidth="1"/>
    <col min="10501" max="10501" width="13.85546875" style="55" customWidth="1"/>
    <col min="10502" max="10502" width="14" style="55" customWidth="1"/>
    <col min="10503" max="10752" width="9.140625" style="55"/>
    <col min="10753" max="10753" width="0" style="55" hidden="1" customWidth="1"/>
    <col min="10754" max="10754" width="24.7109375" style="55" customWidth="1"/>
    <col min="10755" max="10755" width="18" style="55" customWidth="1"/>
    <col min="10756" max="10756" width="18.42578125" style="55" customWidth="1"/>
    <col min="10757" max="10757" width="13.85546875" style="55" customWidth="1"/>
    <col min="10758" max="10758" width="14" style="55" customWidth="1"/>
    <col min="10759" max="11008" width="9.140625" style="55"/>
    <col min="11009" max="11009" width="0" style="55" hidden="1" customWidth="1"/>
    <col min="11010" max="11010" width="24.7109375" style="55" customWidth="1"/>
    <col min="11011" max="11011" width="18" style="55" customWidth="1"/>
    <col min="11012" max="11012" width="18.42578125" style="55" customWidth="1"/>
    <col min="11013" max="11013" width="13.85546875" style="55" customWidth="1"/>
    <col min="11014" max="11014" width="14" style="55" customWidth="1"/>
    <col min="11015" max="11264" width="9.140625" style="55"/>
    <col min="11265" max="11265" width="0" style="55" hidden="1" customWidth="1"/>
    <col min="11266" max="11266" width="24.7109375" style="55" customWidth="1"/>
    <col min="11267" max="11267" width="18" style="55" customWidth="1"/>
    <col min="11268" max="11268" width="18.42578125" style="55" customWidth="1"/>
    <col min="11269" max="11269" width="13.85546875" style="55" customWidth="1"/>
    <col min="11270" max="11270" width="14" style="55" customWidth="1"/>
    <col min="11271" max="11520" width="9.140625" style="55"/>
    <col min="11521" max="11521" width="0" style="55" hidden="1" customWidth="1"/>
    <col min="11522" max="11522" width="24.7109375" style="55" customWidth="1"/>
    <col min="11523" max="11523" width="18" style="55" customWidth="1"/>
    <col min="11524" max="11524" width="18.42578125" style="55" customWidth="1"/>
    <col min="11525" max="11525" width="13.85546875" style="55" customWidth="1"/>
    <col min="11526" max="11526" width="14" style="55" customWidth="1"/>
    <col min="11527" max="11776" width="9.140625" style="55"/>
    <col min="11777" max="11777" width="0" style="55" hidden="1" customWidth="1"/>
    <col min="11778" max="11778" width="24.7109375" style="55" customWidth="1"/>
    <col min="11779" max="11779" width="18" style="55" customWidth="1"/>
    <col min="11780" max="11780" width="18.42578125" style="55" customWidth="1"/>
    <col min="11781" max="11781" width="13.85546875" style="55" customWidth="1"/>
    <col min="11782" max="11782" width="14" style="55" customWidth="1"/>
    <col min="11783" max="12032" width="9.140625" style="55"/>
    <col min="12033" max="12033" width="0" style="55" hidden="1" customWidth="1"/>
    <col min="12034" max="12034" width="24.7109375" style="55" customWidth="1"/>
    <col min="12035" max="12035" width="18" style="55" customWidth="1"/>
    <col min="12036" max="12036" width="18.42578125" style="55" customWidth="1"/>
    <col min="12037" max="12037" width="13.85546875" style="55" customWidth="1"/>
    <col min="12038" max="12038" width="14" style="55" customWidth="1"/>
    <col min="12039" max="12288" width="9.140625" style="55"/>
    <col min="12289" max="12289" width="0" style="55" hidden="1" customWidth="1"/>
    <col min="12290" max="12290" width="24.7109375" style="55" customWidth="1"/>
    <col min="12291" max="12291" width="18" style="55" customWidth="1"/>
    <col min="12292" max="12292" width="18.42578125" style="55" customWidth="1"/>
    <col min="12293" max="12293" width="13.85546875" style="55" customWidth="1"/>
    <col min="12294" max="12294" width="14" style="55" customWidth="1"/>
    <col min="12295" max="12544" width="9.140625" style="55"/>
    <col min="12545" max="12545" width="0" style="55" hidden="1" customWidth="1"/>
    <col min="12546" max="12546" width="24.7109375" style="55" customWidth="1"/>
    <col min="12547" max="12547" width="18" style="55" customWidth="1"/>
    <col min="12548" max="12548" width="18.42578125" style="55" customWidth="1"/>
    <col min="12549" max="12549" width="13.85546875" style="55" customWidth="1"/>
    <col min="12550" max="12550" width="14" style="55" customWidth="1"/>
    <col min="12551" max="12800" width="9.140625" style="55"/>
    <col min="12801" max="12801" width="0" style="55" hidden="1" customWidth="1"/>
    <col min="12802" max="12802" width="24.7109375" style="55" customWidth="1"/>
    <col min="12803" max="12803" width="18" style="55" customWidth="1"/>
    <col min="12804" max="12804" width="18.42578125" style="55" customWidth="1"/>
    <col min="12805" max="12805" width="13.85546875" style="55" customWidth="1"/>
    <col min="12806" max="12806" width="14" style="55" customWidth="1"/>
    <col min="12807" max="13056" width="9.140625" style="55"/>
    <col min="13057" max="13057" width="0" style="55" hidden="1" customWidth="1"/>
    <col min="13058" max="13058" width="24.7109375" style="55" customWidth="1"/>
    <col min="13059" max="13059" width="18" style="55" customWidth="1"/>
    <col min="13060" max="13060" width="18.42578125" style="55" customWidth="1"/>
    <col min="13061" max="13061" width="13.85546875" style="55" customWidth="1"/>
    <col min="13062" max="13062" width="14" style="55" customWidth="1"/>
    <col min="13063" max="13312" width="9.140625" style="55"/>
    <col min="13313" max="13313" width="0" style="55" hidden="1" customWidth="1"/>
    <col min="13314" max="13314" width="24.7109375" style="55" customWidth="1"/>
    <col min="13315" max="13315" width="18" style="55" customWidth="1"/>
    <col min="13316" max="13316" width="18.42578125" style="55" customWidth="1"/>
    <col min="13317" max="13317" width="13.85546875" style="55" customWidth="1"/>
    <col min="13318" max="13318" width="14" style="55" customWidth="1"/>
    <col min="13319" max="13568" width="9.140625" style="55"/>
    <col min="13569" max="13569" width="0" style="55" hidden="1" customWidth="1"/>
    <col min="13570" max="13570" width="24.7109375" style="55" customWidth="1"/>
    <col min="13571" max="13571" width="18" style="55" customWidth="1"/>
    <col min="13572" max="13572" width="18.42578125" style="55" customWidth="1"/>
    <col min="13573" max="13573" width="13.85546875" style="55" customWidth="1"/>
    <col min="13574" max="13574" width="14" style="55" customWidth="1"/>
    <col min="13575" max="13824" width="9.140625" style="55"/>
    <col min="13825" max="13825" width="0" style="55" hidden="1" customWidth="1"/>
    <col min="13826" max="13826" width="24.7109375" style="55" customWidth="1"/>
    <col min="13827" max="13827" width="18" style="55" customWidth="1"/>
    <col min="13828" max="13828" width="18.42578125" style="55" customWidth="1"/>
    <col min="13829" max="13829" width="13.85546875" style="55" customWidth="1"/>
    <col min="13830" max="13830" width="14" style="55" customWidth="1"/>
    <col min="13831" max="14080" width="9.140625" style="55"/>
    <col min="14081" max="14081" width="0" style="55" hidden="1" customWidth="1"/>
    <col min="14082" max="14082" width="24.7109375" style="55" customWidth="1"/>
    <col min="14083" max="14083" width="18" style="55" customWidth="1"/>
    <col min="14084" max="14084" width="18.42578125" style="55" customWidth="1"/>
    <col min="14085" max="14085" width="13.85546875" style="55" customWidth="1"/>
    <col min="14086" max="14086" width="14" style="55" customWidth="1"/>
    <col min="14087" max="14336" width="9.140625" style="55"/>
    <col min="14337" max="14337" width="0" style="55" hidden="1" customWidth="1"/>
    <col min="14338" max="14338" width="24.7109375" style="55" customWidth="1"/>
    <col min="14339" max="14339" width="18" style="55" customWidth="1"/>
    <col min="14340" max="14340" width="18.42578125" style="55" customWidth="1"/>
    <col min="14341" max="14341" width="13.85546875" style="55" customWidth="1"/>
    <col min="14342" max="14342" width="14" style="55" customWidth="1"/>
    <col min="14343" max="14592" width="9.140625" style="55"/>
    <col min="14593" max="14593" width="0" style="55" hidden="1" customWidth="1"/>
    <col min="14594" max="14594" width="24.7109375" style="55" customWidth="1"/>
    <col min="14595" max="14595" width="18" style="55" customWidth="1"/>
    <col min="14596" max="14596" width="18.42578125" style="55" customWidth="1"/>
    <col min="14597" max="14597" width="13.85546875" style="55" customWidth="1"/>
    <col min="14598" max="14598" width="14" style="55" customWidth="1"/>
    <col min="14599" max="14848" width="9.140625" style="55"/>
    <col min="14849" max="14849" width="0" style="55" hidden="1" customWidth="1"/>
    <col min="14850" max="14850" width="24.7109375" style="55" customWidth="1"/>
    <col min="14851" max="14851" width="18" style="55" customWidth="1"/>
    <col min="14852" max="14852" width="18.42578125" style="55" customWidth="1"/>
    <col min="14853" max="14853" width="13.85546875" style="55" customWidth="1"/>
    <col min="14854" max="14854" width="14" style="55" customWidth="1"/>
    <col min="14855" max="15104" width="9.140625" style="55"/>
    <col min="15105" max="15105" width="0" style="55" hidden="1" customWidth="1"/>
    <col min="15106" max="15106" width="24.7109375" style="55" customWidth="1"/>
    <col min="15107" max="15107" width="18" style="55" customWidth="1"/>
    <col min="15108" max="15108" width="18.42578125" style="55" customWidth="1"/>
    <col min="15109" max="15109" width="13.85546875" style="55" customWidth="1"/>
    <col min="15110" max="15110" width="14" style="55" customWidth="1"/>
    <col min="15111" max="15360" width="9.140625" style="55"/>
    <col min="15361" max="15361" width="0" style="55" hidden="1" customWidth="1"/>
    <col min="15362" max="15362" width="24.7109375" style="55" customWidth="1"/>
    <col min="15363" max="15363" width="18" style="55" customWidth="1"/>
    <col min="15364" max="15364" width="18.42578125" style="55" customWidth="1"/>
    <col min="15365" max="15365" width="13.85546875" style="55" customWidth="1"/>
    <col min="15366" max="15366" width="14" style="55" customWidth="1"/>
    <col min="15367" max="15616" width="9.140625" style="55"/>
    <col min="15617" max="15617" width="0" style="55" hidden="1" customWidth="1"/>
    <col min="15618" max="15618" width="24.7109375" style="55" customWidth="1"/>
    <col min="15619" max="15619" width="18" style="55" customWidth="1"/>
    <col min="15620" max="15620" width="18.42578125" style="55" customWidth="1"/>
    <col min="15621" max="15621" width="13.85546875" style="55" customWidth="1"/>
    <col min="15622" max="15622" width="14" style="55" customWidth="1"/>
    <col min="15623" max="15872" width="9.140625" style="55"/>
    <col min="15873" max="15873" width="0" style="55" hidden="1" customWidth="1"/>
    <col min="15874" max="15874" width="24.7109375" style="55" customWidth="1"/>
    <col min="15875" max="15875" width="18" style="55" customWidth="1"/>
    <col min="15876" max="15876" width="18.42578125" style="55" customWidth="1"/>
    <col min="15877" max="15877" width="13.85546875" style="55" customWidth="1"/>
    <col min="15878" max="15878" width="14" style="55" customWidth="1"/>
    <col min="15879" max="16128" width="9.140625" style="55"/>
    <col min="16129" max="16129" width="0" style="55" hidden="1" customWidth="1"/>
    <col min="16130" max="16130" width="24.7109375" style="55" customWidth="1"/>
    <col min="16131" max="16131" width="18" style="55" customWidth="1"/>
    <col min="16132" max="16132" width="18.42578125" style="55" customWidth="1"/>
    <col min="16133" max="16133" width="13.85546875" style="55" customWidth="1"/>
    <col min="16134" max="16134" width="14" style="55" customWidth="1"/>
    <col min="16135" max="16384" width="9.140625" style="55"/>
  </cols>
  <sheetData>
    <row r="1" spans="1:6" ht="48.75" customHeight="1">
      <c r="B1" s="208" t="s">
        <v>105</v>
      </c>
      <c r="C1" s="208"/>
      <c r="D1" s="208"/>
      <c r="E1" s="208"/>
      <c r="F1" s="208"/>
    </row>
    <row r="2" spans="1:6" ht="15.75" customHeight="1">
      <c r="C2" s="218" t="s">
        <v>1</v>
      </c>
      <c r="D2" s="216" t="s">
        <v>2</v>
      </c>
      <c r="E2" s="216"/>
      <c r="F2" s="218" t="s">
        <v>5</v>
      </c>
    </row>
    <row r="3" spans="1:6" ht="34.5" customHeight="1">
      <c r="A3" s="4"/>
      <c r="C3" s="211"/>
      <c r="D3" s="31" t="s">
        <v>3</v>
      </c>
      <c r="E3" s="31" t="s">
        <v>4</v>
      </c>
      <c r="F3" s="211"/>
    </row>
    <row r="4" spans="1:6" ht="23.25" customHeight="1">
      <c r="A4" s="4"/>
      <c r="B4" s="11" t="s">
        <v>6</v>
      </c>
      <c r="C4" s="49">
        <v>1230</v>
      </c>
      <c r="D4" s="49">
        <v>243</v>
      </c>
      <c r="E4" s="49">
        <v>30</v>
      </c>
      <c r="F4" s="49">
        <v>0</v>
      </c>
    </row>
    <row r="5" spans="1:6" s="11" customFormat="1" ht="25.5" customHeight="1">
      <c r="A5" s="9"/>
      <c r="B5" s="11" t="s">
        <v>7</v>
      </c>
      <c r="C5" s="179">
        <v>929</v>
      </c>
      <c r="D5" s="179">
        <v>192</v>
      </c>
      <c r="E5" s="179">
        <v>22</v>
      </c>
      <c r="F5" s="179">
        <v>0</v>
      </c>
    </row>
    <row r="6" spans="1:6">
      <c r="A6" s="12">
        <v>51</v>
      </c>
      <c r="B6" s="55" t="s">
        <v>8</v>
      </c>
      <c r="C6" s="25">
        <v>26</v>
      </c>
      <c r="D6" s="25">
        <v>4</v>
      </c>
      <c r="E6" s="25">
        <v>0</v>
      </c>
      <c r="F6" s="25">
        <v>0</v>
      </c>
    </row>
    <row r="7" spans="1:6">
      <c r="A7" s="12">
        <v>52</v>
      </c>
      <c r="B7" s="55" t="s">
        <v>9</v>
      </c>
      <c r="C7" s="25">
        <v>79</v>
      </c>
      <c r="D7" s="25">
        <v>22</v>
      </c>
      <c r="E7" s="25">
        <v>0</v>
      </c>
      <c r="F7" s="25">
        <v>0</v>
      </c>
    </row>
    <row r="8" spans="1:6">
      <c r="A8" s="12">
        <v>86</v>
      </c>
      <c r="B8" s="55" t="s">
        <v>10</v>
      </c>
      <c r="C8" s="25">
        <v>28</v>
      </c>
      <c r="D8" s="37">
        <v>7</v>
      </c>
      <c r="E8" s="37">
        <v>1</v>
      </c>
      <c r="F8" s="25">
        <v>0</v>
      </c>
    </row>
    <row r="9" spans="1:6">
      <c r="A9" s="12">
        <v>53</v>
      </c>
      <c r="B9" s="55" t="s">
        <v>11</v>
      </c>
      <c r="C9" s="25">
        <v>23</v>
      </c>
      <c r="D9" s="25">
        <v>5</v>
      </c>
      <c r="E9" s="25">
        <v>1</v>
      </c>
      <c r="F9" s="25">
        <v>0</v>
      </c>
    </row>
    <row r="10" spans="1:6">
      <c r="A10" s="12">
        <v>54</v>
      </c>
      <c r="B10" s="55" t="s">
        <v>12</v>
      </c>
      <c r="C10" s="25">
        <v>51</v>
      </c>
      <c r="D10" s="25">
        <v>5</v>
      </c>
      <c r="E10" s="25">
        <v>0</v>
      </c>
      <c r="F10" s="25">
        <v>0</v>
      </c>
    </row>
    <row r="11" spans="1:6">
      <c r="A11" s="12">
        <v>55</v>
      </c>
      <c r="B11" s="55" t="s">
        <v>13</v>
      </c>
      <c r="C11" s="25">
        <v>2</v>
      </c>
      <c r="D11" s="25">
        <v>1</v>
      </c>
      <c r="E11" s="25">
        <v>0</v>
      </c>
      <c r="F11" s="25">
        <v>0</v>
      </c>
    </row>
    <row r="12" spans="1:6">
      <c r="A12" s="12">
        <v>56</v>
      </c>
      <c r="B12" s="55" t="s">
        <v>14</v>
      </c>
      <c r="C12" s="25">
        <v>6</v>
      </c>
      <c r="D12" s="25">
        <v>2</v>
      </c>
      <c r="E12" s="25">
        <v>0</v>
      </c>
      <c r="F12" s="25">
        <v>0</v>
      </c>
    </row>
    <row r="13" spans="1:6">
      <c r="A13" s="12">
        <v>57</v>
      </c>
      <c r="B13" s="55" t="s">
        <v>15</v>
      </c>
      <c r="C13" s="25">
        <v>12</v>
      </c>
      <c r="D13" s="25">
        <v>4</v>
      </c>
      <c r="E13" s="25">
        <v>0</v>
      </c>
      <c r="F13" s="25">
        <v>0</v>
      </c>
    </row>
    <row r="14" spans="1:6">
      <c r="A14" s="12">
        <v>59</v>
      </c>
      <c r="B14" s="55" t="s">
        <v>16</v>
      </c>
      <c r="C14" s="25">
        <v>8</v>
      </c>
      <c r="D14" s="25">
        <v>4</v>
      </c>
      <c r="E14" s="25">
        <v>0</v>
      </c>
      <c r="F14" s="25">
        <v>0</v>
      </c>
    </row>
    <row r="15" spans="1:6">
      <c r="A15" s="12">
        <v>60</v>
      </c>
      <c r="B15" s="55" t="s">
        <v>17</v>
      </c>
      <c r="C15" s="25">
        <v>21</v>
      </c>
      <c r="D15" s="25">
        <v>5</v>
      </c>
      <c r="E15" s="25">
        <v>0</v>
      </c>
      <c r="F15" s="25">
        <v>0</v>
      </c>
    </row>
    <row r="16" spans="1:6">
      <c r="A16" s="12">
        <v>61</v>
      </c>
      <c r="B16" s="38" t="s">
        <v>18</v>
      </c>
      <c r="C16" s="25">
        <v>62</v>
      </c>
      <c r="D16" s="25">
        <v>5</v>
      </c>
      <c r="E16" s="25">
        <v>2</v>
      </c>
      <c r="F16" s="25">
        <v>0</v>
      </c>
    </row>
    <row r="17" spans="1:6" s="186" customFormat="1">
      <c r="A17" s="12"/>
      <c r="B17" s="132" t="s">
        <v>125</v>
      </c>
      <c r="C17" s="165" t="s">
        <v>126</v>
      </c>
      <c r="D17" s="165" t="s">
        <v>126</v>
      </c>
      <c r="E17" s="165" t="s">
        <v>126</v>
      </c>
      <c r="F17" s="165" t="s">
        <v>126</v>
      </c>
    </row>
    <row r="18" spans="1:6">
      <c r="A18" s="12">
        <v>62</v>
      </c>
      <c r="B18" s="55" t="s">
        <v>19</v>
      </c>
      <c r="C18" s="25">
        <v>11</v>
      </c>
      <c r="D18" s="25">
        <v>2</v>
      </c>
      <c r="E18" s="25">
        <v>0</v>
      </c>
      <c r="F18" s="25">
        <v>0</v>
      </c>
    </row>
    <row r="19" spans="1:6">
      <c r="A19" s="12">
        <v>58</v>
      </c>
      <c r="B19" s="55" t="s">
        <v>20</v>
      </c>
      <c r="C19" s="25">
        <v>4</v>
      </c>
      <c r="D19" s="25">
        <v>0</v>
      </c>
      <c r="E19" s="25">
        <v>0</v>
      </c>
      <c r="F19" s="25">
        <v>0</v>
      </c>
    </row>
    <row r="20" spans="1:6">
      <c r="A20" s="12">
        <v>63</v>
      </c>
      <c r="B20" s="55" t="s">
        <v>21</v>
      </c>
      <c r="C20" s="25">
        <v>33</v>
      </c>
      <c r="D20" s="25">
        <v>6</v>
      </c>
      <c r="E20" s="25">
        <v>1</v>
      </c>
      <c r="F20" s="25">
        <v>0</v>
      </c>
    </row>
    <row r="21" spans="1:6">
      <c r="A21" s="12">
        <v>64</v>
      </c>
      <c r="B21" s="55" t="s">
        <v>22</v>
      </c>
      <c r="C21" s="25">
        <v>41</v>
      </c>
      <c r="D21" s="25">
        <v>6</v>
      </c>
      <c r="E21" s="25">
        <v>4</v>
      </c>
      <c r="F21" s="25">
        <v>0</v>
      </c>
    </row>
    <row r="22" spans="1:6">
      <c r="A22" s="12">
        <v>65</v>
      </c>
      <c r="B22" s="55" t="s">
        <v>23</v>
      </c>
      <c r="C22" s="25">
        <v>32</v>
      </c>
      <c r="D22" s="25">
        <v>7</v>
      </c>
      <c r="E22" s="25">
        <v>0</v>
      </c>
      <c r="F22" s="25">
        <v>0</v>
      </c>
    </row>
    <row r="23" spans="1:6">
      <c r="A23" s="12">
        <v>67</v>
      </c>
      <c r="B23" s="55" t="s">
        <v>24</v>
      </c>
      <c r="C23" s="25">
        <v>66</v>
      </c>
      <c r="D23" s="25">
        <v>10</v>
      </c>
      <c r="E23" s="180">
        <v>1</v>
      </c>
      <c r="F23" s="25">
        <v>0</v>
      </c>
    </row>
    <row r="24" spans="1:6">
      <c r="A24" s="12">
        <v>68</v>
      </c>
      <c r="B24" s="55" t="s">
        <v>25</v>
      </c>
      <c r="C24" s="25">
        <v>23</v>
      </c>
      <c r="D24" s="25">
        <v>3</v>
      </c>
      <c r="E24" s="25">
        <v>1</v>
      </c>
      <c r="F24" s="25">
        <v>0</v>
      </c>
    </row>
    <row r="25" spans="1:6">
      <c r="A25" s="12">
        <v>69</v>
      </c>
      <c r="B25" s="55" t="s">
        <v>26</v>
      </c>
      <c r="C25" s="25">
        <v>24</v>
      </c>
      <c r="D25" s="25">
        <v>6</v>
      </c>
      <c r="E25" s="25">
        <v>1</v>
      </c>
      <c r="F25" s="25">
        <v>0</v>
      </c>
    </row>
    <row r="26" spans="1:6">
      <c r="A26" s="12">
        <v>70</v>
      </c>
      <c r="B26" s="55" t="s">
        <v>27</v>
      </c>
      <c r="C26" s="25">
        <v>29</v>
      </c>
      <c r="D26" s="25">
        <v>4</v>
      </c>
      <c r="E26" s="25">
        <v>0</v>
      </c>
      <c r="F26" s="25">
        <v>0</v>
      </c>
    </row>
    <row r="27" spans="1:6">
      <c r="A27" s="12">
        <v>71</v>
      </c>
      <c r="B27" s="39" t="s">
        <v>28</v>
      </c>
      <c r="C27" s="25">
        <v>3</v>
      </c>
      <c r="D27" s="25">
        <v>2</v>
      </c>
      <c r="E27" s="25">
        <v>0</v>
      </c>
      <c r="F27" s="25">
        <v>0</v>
      </c>
    </row>
    <row r="28" spans="1:6">
      <c r="A28" s="12">
        <v>73</v>
      </c>
      <c r="B28" s="55" t="s">
        <v>29</v>
      </c>
      <c r="C28" s="25">
        <v>24</v>
      </c>
      <c r="D28" s="37">
        <v>4</v>
      </c>
      <c r="E28" s="37">
        <v>0</v>
      </c>
      <c r="F28" s="25">
        <v>0</v>
      </c>
    </row>
    <row r="29" spans="1:6">
      <c r="A29" s="12">
        <v>74</v>
      </c>
      <c r="B29" s="55" t="s">
        <v>30</v>
      </c>
      <c r="C29" s="25">
        <v>18</v>
      </c>
      <c r="D29" s="37">
        <v>4</v>
      </c>
      <c r="E29" s="37">
        <v>0</v>
      </c>
      <c r="F29" s="25">
        <v>0</v>
      </c>
    </row>
    <row r="30" spans="1:6">
      <c r="A30" s="12">
        <v>75</v>
      </c>
      <c r="B30" s="55" t="s">
        <v>31</v>
      </c>
      <c r="C30" s="25">
        <v>15</v>
      </c>
      <c r="D30" s="37">
        <v>5</v>
      </c>
      <c r="E30" s="37">
        <v>0</v>
      </c>
      <c r="F30" s="25">
        <v>0</v>
      </c>
    </row>
    <row r="31" spans="1:6">
      <c r="A31" s="12">
        <v>76</v>
      </c>
      <c r="B31" s="55" t="s">
        <v>32</v>
      </c>
      <c r="C31" s="25">
        <v>7</v>
      </c>
      <c r="D31" s="37">
        <v>4</v>
      </c>
      <c r="E31" s="37">
        <v>0</v>
      </c>
      <c r="F31" s="25">
        <v>0</v>
      </c>
    </row>
    <row r="32" spans="1:6">
      <c r="A32" s="12">
        <v>79</v>
      </c>
      <c r="B32" s="55" t="s">
        <v>33</v>
      </c>
      <c r="C32" s="25">
        <v>28</v>
      </c>
      <c r="D32" s="37">
        <v>21</v>
      </c>
      <c r="E32" s="37">
        <v>0</v>
      </c>
      <c r="F32" s="25">
        <v>0</v>
      </c>
    </row>
    <row r="33" spans="1:11">
      <c r="A33" s="12">
        <v>80</v>
      </c>
      <c r="B33" s="55" t="s">
        <v>34</v>
      </c>
      <c r="C33" s="25">
        <v>22</v>
      </c>
      <c r="D33" s="37">
        <v>4</v>
      </c>
      <c r="E33" s="37">
        <v>1</v>
      </c>
      <c r="F33" s="25">
        <v>0</v>
      </c>
    </row>
    <row r="34" spans="1:11">
      <c r="A34" s="12">
        <v>81</v>
      </c>
      <c r="B34" s="55" t="s">
        <v>35</v>
      </c>
      <c r="C34" s="25">
        <v>25</v>
      </c>
      <c r="D34" s="37">
        <v>4</v>
      </c>
      <c r="E34" s="37">
        <v>0</v>
      </c>
      <c r="F34" s="25">
        <v>0</v>
      </c>
    </row>
    <row r="35" spans="1:11">
      <c r="A35" s="12">
        <v>83</v>
      </c>
      <c r="B35" s="55" t="s">
        <v>36</v>
      </c>
      <c r="C35" s="25">
        <v>9</v>
      </c>
      <c r="D35" s="37">
        <v>0</v>
      </c>
      <c r="E35" s="37">
        <v>3</v>
      </c>
      <c r="F35" s="25">
        <v>0</v>
      </c>
    </row>
    <row r="36" spans="1:11">
      <c r="A36" s="12">
        <v>84</v>
      </c>
      <c r="B36" s="55" t="s">
        <v>37</v>
      </c>
      <c r="C36" s="25">
        <v>30</v>
      </c>
      <c r="D36" s="37">
        <v>11</v>
      </c>
      <c r="E36" s="37">
        <v>2</v>
      </c>
      <c r="F36" s="25">
        <v>0</v>
      </c>
    </row>
    <row r="37" spans="1:11" ht="15">
      <c r="A37" s="12">
        <v>85</v>
      </c>
      <c r="B37" s="55" t="s">
        <v>38</v>
      </c>
      <c r="C37" s="25">
        <v>18</v>
      </c>
      <c r="D37" s="37">
        <v>1</v>
      </c>
      <c r="E37" s="37">
        <v>0</v>
      </c>
      <c r="F37" s="25">
        <v>0</v>
      </c>
      <c r="G37" s="11"/>
    </row>
    <row r="38" spans="1:11" ht="15">
      <c r="A38" s="12">
        <v>87</v>
      </c>
      <c r="B38" s="55" t="s">
        <v>39</v>
      </c>
      <c r="C38" s="25">
        <v>14</v>
      </c>
      <c r="D38" s="37">
        <v>3</v>
      </c>
      <c r="E38" s="37">
        <v>0</v>
      </c>
      <c r="F38" s="25">
        <v>0</v>
      </c>
      <c r="H38" s="11"/>
      <c r="I38" s="11"/>
    </row>
    <row r="39" spans="1:11">
      <c r="A39" s="12">
        <v>90</v>
      </c>
      <c r="B39" s="55" t="s">
        <v>40</v>
      </c>
      <c r="C39" s="25">
        <v>24</v>
      </c>
      <c r="D39" s="37">
        <v>1</v>
      </c>
      <c r="E39" s="37">
        <v>0</v>
      </c>
      <c r="F39" s="25">
        <v>0</v>
      </c>
    </row>
    <row r="40" spans="1:11">
      <c r="A40" s="12">
        <v>91</v>
      </c>
      <c r="B40" s="55" t="s">
        <v>41</v>
      </c>
      <c r="C40" s="25">
        <v>15</v>
      </c>
      <c r="D40" s="37">
        <v>0</v>
      </c>
      <c r="E40" s="37">
        <v>0</v>
      </c>
      <c r="F40" s="25">
        <v>0</v>
      </c>
    </row>
    <row r="41" spans="1:11">
      <c r="A41" s="12">
        <v>92</v>
      </c>
      <c r="B41" s="55" t="s">
        <v>42</v>
      </c>
      <c r="C41" s="25">
        <v>25</v>
      </c>
      <c r="D41" s="37">
        <v>4</v>
      </c>
      <c r="E41" s="37">
        <v>0</v>
      </c>
      <c r="F41" s="25">
        <v>0</v>
      </c>
    </row>
    <row r="42" spans="1:11">
      <c r="A42" s="12">
        <v>94</v>
      </c>
      <c r="B42" s="55" t="s">
        <v>43</v>
      </c>
      <c r="C42" s="25">
        <v>18</v>
      </c>
      <c r="D42" s="37">
        <v>6</v>
      </c>
      <c r="E42" s="37">
        <v>1</v>
      </c>
      <c r="F42" s="25">
        <v>0</v>
      </c>
    </row>
    <row r="43" spans="1:11" ht="15">
      <c r="A43" s="12">
        <v>96</v>
      </c>
      <c r="B43" s="55" t="s">
        <v>44</v>
      </c>
      <c r="C43" s="25">
        <v>29</v>
      </c>
      <c r="D43" s="37">
        <v>6</v>
      </c>
      <c r="E43" s="37">
        <v>3</v>
      </c>
      <c r="F43" s="25">
        <v>0</v>
      </c>
      <c r="J43" s="11"/>
    </row>
    <row r="44" spans="1:11" ht="15">
      <c r="A44" s="12">
        <v>98</v>
      </c>
      <c r="B44" s="55" t="s">
        <v>45</v>
      </c>
      <c r="C44" s="25">
        <v>24</v>
      </c>
      <c r="D44" s="37">
        <v>4</v>
      </c>
      <c r="E44" s="37">
        <v>0</v>
      </c>
      <c r="F44" s="25">
        <v>0</v>
      </c>
      <c r="K44" s="11"/>
    </row>
    <row r="45" spans="1:11">
      <c r="A45" s="12">
        <v>72</v>
      </c>
      <c r="B45" s="39" t="s">
        <v>46</v>
      </c>
      <c r="C45" s="37">
        <v>0</v>
      </c>
      <c r="D45" s="37">
        <v>0</v>
      </c>
      <c r="E45" s="37">
        <v>0</v>
      </c>
      <c r="F45" s="25">
        <v>0</v>
      </c>
    </row>
    <row r="46" spans="1:11" s="11" customFormat="1" ht="25.5" customHeight="1">
      <c r="A46" s="50"/>
      <c r="B46" s="11" t="s">
        <v>47</v>
      </c>
      <c r="C46" s="42">
        <v>301</v>
      </c>
      <c r="D46" s="42">
        <v>51</v>
      </c>
      <c r="E46" s="42">
        <v>8</v>
      </c>
      <c r="F46" s="42">
        <v>0</v>
      </c>
    </row>
    <row r="47" spans="1:11">
      <c r="A47" s="12">
        <v>66</v>
      </c>
      <c r="B47" s="55" t="s">
        <v>48</v>
      </c>
      <c r="C47" s="25">
        <v>29</v>
      </c>
      <c r="D47" s="25">
        <v>7</v>
      </c>
      <c r="E47" s="25">
        <v>0</v>
      </c>
      <c r="F47" s="25">
        <v>0</v>
      </c>
    </row>
    <row r="48" spans="1:11">
      <c r="A48" s="12">
        <v>78</v>
      </c>
      <c r="B48" s="55" t="s">
        <v>49</v>
      </c>
      <c r="C48" s="25">
        <v>19</v>
      </c>
      <c r="D48" s="25">
        <v>4</v>
      </c>
      <c r="E48" s="25">
        <v>1</v>
      </c>
      <c r="F48" s="25">
        <v>0</v>
      </c>
    </row>
    <row r="49" spans="1:6">
      <c r="A49" s="12">
        <v>89</v>
      </c>
      <c r="B49" s="55" t="s">
        <v>50</v>
      </c>
      <c r="C49" s="25">
        <v>38</v>
      </c>
      <c r="D49" s="25">
        <v>1</v>
      </c>
      <c r="E49" s="25">
        <v>0</v>
      </c>
      <c r="F49" s="25">
        <v>0</v>
      </c>
    </row>
    <row r="50" spans="1:6">
      <c r="A50" s="12">
        <v>93</v>
      </c>
      <c r="B50" s="55" t="s">
        <v>51</v>
      </c>
      <c r="C50" s="25">
        <v>9</v>
      </c>
      <c r="D50" s="25">
        <v>0</v>
      </c>
      <c r="E50" s="25">
        <v>1</v>
      </c>
      <c r="F50" s="25">
        <v>0</v>
      </c>
    </row>
    <row r="51" spans="1:6">
      <c r="A51" s="12">
        <v>95</v>
      </c>
      <c r="B51" s="55" t="s">
        <v>52</v>
      </c>
      <c r="C51" s="25">
        <v>27</v>
      </c>
      <c r="D51" s="25">
        <v>6</v>
      </c>
      <c r="E51" s="25">
        <v>2</v>
      </c>
      <c r="F51" s="25">
        <v>0</v>
      </c>
    </row>
    <row r="52" spans="1:6">
      <c r="A52" s="12">
        <v>97</v>
      </c>
      <c r="B52" s="55" t="s">
        <v>53</v>
      </c>
      <c r="C52" s="180">
        <v>73</v>
      </c>
      <c r="D52" s="25">
        <v>10</v>
      </c>
      <c r="E52" s="25">
        <v>1</v>
      </c>
      <c r="F52" s="25">
        <v>0</v>
      </c>
    </row>
    <row r="53" spans="1:6">
      <c r="A53" s="12">
        <v>77</v>
      </c>
      <c r="B53" s="58" t="s">
        <v>54</v>
      </c>
      <c r="C53" s="181">
        <v>106</v>
      </c>
      <c r="D53" s="181">
        <v>23</v>
      </c>
      <c r="E53" s="181">
        <v>3</v>
      </c>
      <c r="F53" s="181">
        <v>0</v>
      </c>
    </row>
    <row r="54" spans="1:6">
      <c r="C54" s="25"/>
      <c r="D54" s="182"/>
      <c r="E54" s="25"/>
      <c r="F54" s="25"/>
    </row>
    <row r="55" spans="1:6" ht="13.5" customHeight="1">
      <c r="B55" s="12" t="s">
        <v>55</v>
      </c>
    </row>
    <row r="56" spans="1:6" ht="13.5" customHeight="1">
      <c r="B56" s="219" t="s">
        <v>56</v>
      </c>
      <c r="C56" s="220"/>
      <c r="D56" s="220"/>
      <c r="E56" s="220"/>
      <c r="F56" s="220"/>
    </row>
    <row r="57" spans="1:6" ht="15" customHeight="1">
      <c r="B57" s="220"/>
      <c r="C57" s="220"/>
      <c r="D57" s="220"/>
      <c r="E57" s="220"/>
      <c r="F57" s="220"/>
    </row>
    <row r="58" spans="1:6" ht="13.5" customHeight="1">
      <c r="B58" s="220"/>
      <c r="C58" s="220"/>
      <c r="D58" s="220"/>
      <c r="E58" s="220"/>
      <c r="F58" s="220"/>
    </row>
    <row r="59" spans="1:6" ht="12.75" customHeight="1">
      <c r="B59" s="220"/>
      <c r="C59" s="220"/>
      <c r="D59" s="220"/>
      <c r="E59" s="220"/>
      <c r="F59" s="220"/>
    </row>
    <row r="60" spans="1:6" ht="15.75" customHeight="1">
      <c r="B60" s="220"/>
      <c r="C60" s="220"/>
      <c r="D60" s="220"/>
      <c r="E60" s="220"/>
      <c r="F60" s="220"/>
    </row>
    <row r="61" spans="1:6" ht="67.5" customHeight="1">
      <c r="B61" s="220"/>
      <c r="C61" s="220"/>
      <c r="D61" s="220"/>
      <c r="E61" s="220"/>
      <c r="F61" s="220"/>
    </row>
    <row r="62" spans="1:6" ht="9.75" customHeight="1">
      <c r="B62" s="57"/>
      <c r="C62" s="57"/>
      <c r="D62" s="57"/>
      <c r="E62" s="57"/>
      <c r="F62" s="57"/>
    </row>
    <row r="63" spans="1:6">
      <c r="B63" s="24" t="s">
        <v>57</v>
      </c>
    </row>
    <row r="65" spans="2:2">
      <c r="B65" s="27"/>
    </row>
  </sheetData>
  <mergeCells count="5">
    <mergeCell ref="B1:F1"/>
    <mergeCell ref="C2:C3"/>
    <mergeCell ref="D2:E2"/>
    <mergeCell ref="F2:F3"/>
    <mergeCell ref="B56:F61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F65"/>
  <sheetViews>
    <sheetView showGridLines="0" zoomScale="85" workbookViewId="0">
      <pane xSplit="2" ySplit="3" topLeftCell="C4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RowHeight="12.75"/>
  <cols>
    <col min="1" max="1" width="3.140625" style="1" hidden="1" customWidth="1"/>
    <col min="2" max="2" width="31.7109375" style="55" customWidth="1"/>
    <col min="3" max="4" width="15.28515625" style="55" customWidth="1"/>
    <col min="5" max="5" width="16.5703125" style="55" customWidth="1"/>
    <col min="6" max="6" width="15" style="55" customWidth="1"/>
    <col min="7" max="256" width="9.140625" style="55"/>
    <col min="257" max="257" width="0" style="55" hidden="1" customWidth="1"/>
    <col min="258" max="258" width="31.7109375" style="55" customWidth="1"/>
    <col min="259" max="260" width="15.28515625" style="55" customWidth="1"/>
    <col min="261" max="261" width="16.5703125" style="55" customWidth="1"/>
    <col min="262" max="262" width="15" style="55" customWidth="1"/>
    <col min="263" max="512" width="9.140625" style="55"/>
    <col min="513" max="513" width="0" style="55" hidden="1" customWidth="1"/>
    <col min="514" max="514" width="31.7109375" style="55" customWidth="1"/>
    <col min="515" max="516" width="15.28515625" style="55" customWidth="1"/>
    <col min="517" max="517" width="16.5703125" style="55" customWidth="1"/>
    <col min="518" max="518" width="15" style="55" customWidth="1"/>
    <col min="519" max="768" width="9.140625" style="55"/>
    <col min="769" max="769" width="0" style="55" hidden="1" customWidth="1"/>
    <col min="770" max="770" width="31.7109375" style="55" customWidth="1"/>
    <col min="771" max="772" width="15.28515625" style="55" customWidth="1"/>
    <col min="773" max="773" width="16.5703125" style="55" customWidth="1"/>
    <col min="774" max="774" width="15" style="55" customWidth="1"/>
    <col min="775" max="1024" width="9.140625" style="55"/>
    <col min="1025" max="1025" width="0" style="55" hidden="1" customWidth="1"/>
    <col min="1026" max="1026" width="31.7109375" style="55" customWidth="1"/>
    <col min="1027" max="1028" width="15.28515625" style="55" customWidth="1"/>
    <col min="1029" max="1029" width="16.5703125" style="55" customWidth="1"/>
    <col min="1030" max="1030" width="15" style="55" customWidth="1"/>
    <col min="1031" max="1280" width="9.140625" style="55"/>
    <col min="1281" max="1281" width="0" style="55" hidden="1" customWidth="1"/>
    <col min="1282" max="1282" width="31.7109375" style="55" customWidth="1"/>
    <col min="1283" max="1284" width="15.28515625" style="55" customWidth="1"/>
    <col min="1285" max="1285" width="16.5703125" style="55" customWidth="1"/>
    <col min="1286" max="1286" width="15" style="55" customWidth="1"/>
    <col min="1287" max="1536" width="9.140625" style="55"/>
    <col min="1537" max="1537" width="0" style="55" hidden="1" customWidth="1"/>
    <col min="1538" max="1538" width="31.7109375" style="55" customWidth="1"/>
    <col min="1539" max="1540" width="15.28515625" style="55" customWidth="1"/>
    <col min="1541" max="1541" width="16.5703125" style="55" customWidth="1"/>
    <col min="1542" max="1542" width="15" style="55" customWidth="1"/>
    <col min="1543" max="1792" width="9.140625" style="55"/>
    <col min="1793" max="1793" width="0" style="55" hidden="1" customWidth="1"/>
    <col min="1794" max="1794" width="31.7109375" style="55" customWidth="1"/>
    <col min="1795" max="1796" width="15.28515625" style="55" customWidth="1"/>
    <col min="1797" max="1797" width="16.5703125" style="55" customWidth="1"/>
    <col min="1798" max="1798" width="15" style="55" customWidth="1"/>
    <col min="1799" max="2048" width="9.140625" style="55"/>
    <col min="2049" max="2049" width="0" style="55" hidden="1" customWidth="1"/>
    <col min="2050" max="2050" width="31.7109375" style="55" customWidth="1"/>
    <col min="2051" max="2052" width="15.28515625" style="55" customWidth="1"/>
    <col min="2053" max="2053" width="16.5703125" style="55" customWidth="1"/>
    <col min="2054" max="2054" width="15" style="55" customWidth="1"/>
    <col min="2055" max="2304" width="9.140625" style="55"/>
    <col min="2305" max="2305" width="0" style="55" hidden="1" customWidth="1"/>
    <col min="2306" max="2306" width="31.7109375" style="55" customWidth="1"/>
    <col min="2307" max="2308" width="15.28515625" style="55" customWidth="1"/>
    <col min="2309" max="2309" width="16.5703125" style="55" customWidth="1"/>
    <col min="2310" max="2310" width="15" style="55" customWidth="1"/>
    <col min="2311" max="2560" width="9.140625" style="55"/>
    <col min="2561" max="2561" width="0" style="55" hidden="1" customWidth="1"/>
    <col min="2562" max="2562" width="31.7109375" style="55" customWidth="1"/>
    <col min="2563" max="2564" width="15.28515625" style="55" customWidth="1"/>
    <col min="2565" max="2565" width="16.5703125" style="55" customWidth="1"/>
    <col min="2566" max="2566" width="15" style="55" customWidth="1"/>
    <col min="2567" max="2816" width="9.140625" style="55"/>
    <col min="2817" max="2817" width="0" style="55" hidden="1" customWidth="1"/>
    <col min="2818" max="2818" width="31.7109375" style="55" customWidth="1"/>
    <col min="2819" max="2820" width="15.28515625" style="55" customWidth="1"/>
    <col min="2821" max="2821" width="16.5703125" style="55" customWidth="1"/>
    <col min="2822" max="2822" width="15" style="55" customWidth="1"/>
    <col min="2823" max="3072" width="9.140625" style="55"/>
    <col min="3073" max="3073" width="0" style="55" hidden="1" customWidth="1"/>
    <col min="3074" max="3074" width="31.7109375" style="55" customWidth="1"/>
    <col min="3075" max="3076" width="15.28515625" style="55" customWidth="1"/>
    <col min="3077" max="3077" width="16.5703125" style="55" customWidth="1"/>
    <col min="3078" max="3078" width="15" style="55" customWidth="1"/>
    <col min="3079" max="3328" width="9.140625" style="55"/>
    <col min="3329" max="3329" width="0" style="55" hidden="1" customWidth="1"/>
    <col min="3330" max="3330" width="31.7109375" style="55" customWidth="1"/>
    <col min="3331" max="3332" width="15.28515625" style="55" customWidth="1"/>
    <col min="3333" max="3333" width="16.5703125" style="55" customWidth="1"/>
    <col min="3334" max="3334" width="15" style="55" customWidth="1"/>
    <col min="3335" max="3584" width="9.140625" style="55"/>
    <col min="3585" max="3585" width="0" style="55" hidden="1" customWidth="1"/>
    <col min="3586" max="3586" width="31.7109375" style="55" customWidth="1"/>
    <col min="3587" max="3588" width="15.28515625" style="55" customWidth="1"/>
    <col min="3589" max="3589" width="16.5703125" style="55" customWidth="1"/>
    <col min="3590" max="3590" width="15" style="55" customWidth="1"/>
    <col min="3591" max="3840" width="9.140625" style="55"/>
    <col min="3841" max="3841" width="0" style="55" hidden="1" customWidth="1"/>
    <col min="3842" max="3842" width="31.7109375" style="55" customWidth="1"/>
    <col min="3843" max="3844" width="15.28515625" style="55" customWidth="1"/>
    <col min="3845" max="3845" width="16.5703125" style="55" customWidth="1"/>
    <col min="3846" max="3846" width="15" style="55" customWidth="1"/>
    <col min="3847" max="4096" width="9.140625" style="55"/>
    <col min="4097" max="4097" width="0" style="55" hidden="1" customWidth="1"/>
    <col min="4098" max="4098" width="31.7109375" style="55" customWidth="1"/>
    <col min="4099" max="4100" width="15.28515625" style="55" customWidth="1"/>
    <col min="4101" max="4101" width="16.5703125" style="55" customWidth="1"/>
    <col min="4102" max="4102" width="15" style="55" customWidth="1"/>
    <col min="4103" max="4352" width="9.140625" style="55"/>
    <col min="4353" max="4353" width="0" style="55" hidden="1" customWidth="1"/>
    <col min="4354" max="4354" width="31.7109375" style="55" customWidth="1"/>
    <col min="4355" max="4356" width="15.28515625" style="55" customWidth="1"/>
    <col min="4357" max="4357" width="16.5703125" style="55" customWidth="1"/>
    <col min="4358" max="4358" width="15" style="55" customWidth="1"/>
    <col min="4359" max="4608" width="9.140625" style="55"/>
    <col min="4609" max="4609" width="0" style="55" hidden="1" customWidth="1"/>
    <col min="4610" max="4610" width="31.7109375" style="55" customWidth="1"/>
    <col min="4611" max="4612" width="15.28515625" style="55" customWidth="1"/>
    <col min="4613" max="4613" width="16.5703125" style="55" customWidth="1"/>
    <col min="4614" max="4614" width="15" style="55" customWidth="1"/>
    <col min="4615" max="4864" width="9.140625" style="55"/>
    <col min="4865" max="4865" width="0" style="55" hidden="1" customWidth="1"/>
    <col min="4866" max="4866" width="31.7109375" style="55" customWidth="1"/>
    <col min="4867" max="4868" width="15.28515625" style="55" customWidth="1"/>
    <col min="4869" max="4869" width="16.5703125" style="55" customWidth="1"/>
    <col min="4870" max="4870" width="15" style="55" customWidth="1"/>
    <col min="4871" max="5120" width="9.140625" style="55"/>
    <col min="5121" max="5121" width="0" style="55" hidden="1" customWidth="1"/>
    <col min="5122" max="5122" width="31.7109375" style="55" customWidth="1"/>
    <col min="5123" max="5124" width="15.28515625" style="55" customWidth="1"/>
    <col min="5125" max="5125" width="16.5703125" style="55" customWidth="1"/>
    <col min="5126" max="5126" width="15" style="55" customWidth="1"/>
    <col min="5127" max="5376" width="9.140625" style="55"/>
    <col min="5377" max="5377" width="0" style="55" hidden="1" customWidth="1"/>
    <col min="5378" max="5378" width="31.7109375" style="55" customWidth="1"/>
    <col min="5379" max="5380" width="15.28515625" style="55" customWidth="1"/>
    <col min="5381" max="5381" width="16.5703125" style="55" customWidth="1"/>
    <col min="5382" max="5382" width="15" style="55" customWidth="1"/>
    <col min="5383" max="5632" width="9.140625" style="55"/>
    <col min="5633" max="5633" width="0" style="55" hidden="1" customWidth="1"/>
    <col min="5634" max="5634" width="31.7109375" style="55" customWidth="1"/>
    <col min="5635" max="5636" width="15.28515625" style="55" customWidth="1"/>
    <col min="5637" max="5637" width="16.5703125" style="55" customWidth="1"/>
    <col min="5638" max="5638" width="15" style="55" customWidth="1"/>
    <col min="5639" max="5888" width="9.140625" style="55"/>
    <col min="5889" max="5889" width="0" style="55" hidden="1" customWidth="1"/>
    <col min="5890" max="5890" width="31.7109375" style="55" customWidth="1"/>
    <col min="5891" max="5892" width="15.28515625" style="55" customWidth="1"/>
    <col min="5893" max="5893" width="16.5703125" style="55" customWidth="1"/>
    <col min="5894" max="5894" width="15" style="55" customWidth="1"/>
    <col min="5895" max="6144" width="9.140625" style="55"/>
    <col min="6145" max="6145" width="0" style="55" hidden="1" customWidth="1"/>
    <col min="6146" max="6146" width="31.7109375" style="55" customWidth="1"/>
    <col min="6147" max="6148" width="15.28515625" style="55" customWidth="1"/>
    <col min="6149" max="6149" width="16.5703125" style="55" customWidth="1"/>
    <col min="6150" max="6150" width="15" style="55" customWidth="1"/>
    <col min="6151" max="6400" width="9.140625" style="55"/>
    <col min="6401" max="6401" width="0" style="55" hidden="1" customWidth="1"/>
    <col min="6402" max="6402" width="31.7109375" style="55" customWidth="1"/>
    <col min="6403" max="6404" width="15.28515625" style="55" customWidth="1"/>
    <col min="6405" max="6405" width="16.5703125" style="55" customWidth="1"/>
    <col min="6406" max="6406" width="15" style="55" customWidth="1"/>
    <col min="6407" max="6656" width="9.140625" style="55"/>
    <col min="6657" max="6657" width="0" style="55" hidden="1" customWidth="1"/>
    <col min="6658" max="6658" width="31.7109375" style="55" customWidth="1"/>
    <col min="6659" max="6660" width="15.28515625" style="55" customWidth="1"/>
    <col min="6661" max="6661" width="16.5703125" style="55" customWidth="1"/>
    <col min="6662" max="6662" width="15" style="55" customWidth="1"/>
    <col min="6663" max="6912" width="9.140625" style="55"/>
    <col min="6913" max="6913" width="0" style="55" hidden="1" customWidth="1"/>
    <col min="6914" max="6914" width="31.7109375" style="55" customWidth="1"/>
    <col min="6915" max="6916" width="15.28515625" style="55" customWidth="1"/>
    <col min="6917" max="6917" width="16.5703125" style="55" customWidth="1"/>
    <col min="6918" max="6918" width="15" style="55" customWidth="1"/>
    <col min="6919" max="7168" width="9.140625" style="55"/>
    <col min="7169" max="7169" width="0" style="55" hidden="1" customWidth="1"/>
    <col min="7170" max="7170" width="31.7109375" style="55" customWidth="1"/>
    <col min="7171" max="7172" width="15.28515625" style="55" customWidth="1"/>
    <col min="7173" max="7173" width="16.5703125" style="55" customWidth="1"/>
    <col min="7174" max="7174" width="15" style="55" customWidth="1"/>
    <col min="7175" max="7424" width="9.140625" style="55"/>
    <col min="7425" max="7425" width="0" style="55" hidden="1" customWidth="1"/>
    <col min="7426" max="7426" width="31.7109375" style="55" customWidth="1"/>
    <col min="7427" max="7428" width="15.28515625" style="55" customWidth="1"/>
    <col min="7429" max="7429" width="16.5703125" style="55" customWidth="1"/>
    <col min="7430" max="7430" width="15" style="55" customWidth="1"/>
    <col min="7431" max="7680" width="9.140625" style="55"/>
    <col min="7681" max="7681" width="0" style="55" hidden="1" customWidth="1"/>
    <col min="7682" max="7682" width="31.7109375" style="55" customWidth="1"/>
    <col min="7683" max="7684" width="15.28515625" style="55" customWidth="1"/>
    <col min="7685" max="7685" width="16.5703125" style="55" customWidth="1"/>
    <col min="7686" max="7686" width="15" style="55" customWidth="1"/>
    <col min="7687" max="7936" width="9.140625" style="55"/>
    <col min="7937" max="7937" width="0" style="55" hidden="1" customWidth="1"/>
    <col min="7938" max="7938" width="31.7109375" style="55" customWidth="1"/>
    <col min="7939" max="7940" width="15.28515625" style="55" customWidth="1"/>
    <col min="7941" max="7941" width="16.5703125" style="55" customWidth="1"/>
    <col min="7942" max="7942" width="15" style="55" customWidth="1"/>
    <col min="7943" max="8192" width="9.140625" style="55"/>
    <col min="8193" max="8193" width="0" style="55" hidden="1" customWidth="1"/>
    <col min="8194" max="8194" width="31.7109375" style="55" customWidth="1"/>
    <col min="8195" max="8196" width="15.28515625" style="55" customWidth="1"/>
    <col min="8197" max="8197" width="16.5703125" style="55" customWidth="1"/>
    <col min="8198" max="8198" width="15" style="55" customWidth="1"/>
    <col min="8199" max="8448" width="9.140625" style="55"/>
    <col min="8449" max="8449" width="0" style="55" hidden="1" customWidth="1"/>
    <col min="8450" max="8450" width="31.7109375" style="55" customWidth="1"/>
    <col min="8451" max="8452" width="15.28515625" style="55" customWidth="1"/>
    <col min="8453" max="8453" width="16.5703125" style="55" customWidth="1"/>
    <col min="8454" max="8454" width="15" style="55" customWidth="1"/>
    <col min="8455" max="8704" width="9.140625" style="55"/>
    <col min="8705" max="8705" width="0" style="55" hidden="1" customWidth="1"/>
    <col min="8706" max="8706" width="31.7109375" style="55" customWidth="1"/>
    <col min="8707" max="8708" width="15.28515625" style="55" customWidth="1"/>
    <col min="8709" max="8709" width="16.5703125" style="55" customWidth="1"/>
    <col min="8710" max="8710" width="15" style="55" customWidth="1"/>
    <col min="8711" max="8960" width="9.140625" style="55"/>
    <col min="8961" max="8961" width="0" style="55" hidden="1" customWidth="1"/>
    <col min="8962" max="8962" width="31.7109375" style="55" customWidth="1"/>
    <col min="8963" max="8964" width="15.28515625" style="55" customWidth="1"/>
    <col min="8965" max="8965" width="16.5703125" style="55" customWidth="1"/>
    <col min="8966" max="8966" width="15" style="55" customWidth="1"/>
    <col min="8967" max="9216" width="9.140625" style="55"/>
    <col min="9217" max="9217" width="0" style="55" hidden="1" customWidth="1"/>
    <col min="9218" max="9218" width="31.7109375" style="55" customWidth="1"/>
    <col min="9219" max="9220" width="15.28515625" style="55" customWidth="1"/>
    <col min="9221" max="9221" width="16.5703125" style="55" customWidth="1"/>
    <col min="9222" max="9222" width="15" style="55" customWidth="1"/>
    <col min="9223" max="9472" width="9.140625" style="55"/>
    <col min="9473" max="9473" width="0" style="55" hidden="1" customWidth="1"/>
    <col min="9474" max="9474" width="31.7109375" style="55" customWidth="1"/>
    <col min="9475" max="9476" width="15.28515625" style="55" customWidth="1"/>
    <col min="9477" max="9477" width="16.5703125" style="55" customWidth="1"/>
    <col min="9478" max="9478" width="15" style="55" customWidth="1"/>
    <col min="9479" max="9728" width="9.140625" style="55"/>
    <col min="9729" max="9729" width="0" style="55" hidden="1" customWidth="1"/>
    <col min="9730" max="9730" width="31.7109375" style="55" customWidth="1"/>
    <col min="9731" max="9732" width="15.28515625" style="55" customWidth="1"/>
    <col min="9733" max="9733" width="16.5703125" style="55" customWidth="1"/>
    <col min="9734" max="9734" width="15" style="55" customWidth="1"/>
    <col min="9735" max="9984" width="9.140625" style="55"/>
    <col min="9985" max="9985" width="0" style="55" hidden="1" customWidth="1"/>
    <col min="9986" max="9986" width="31.7109375" style="55" customWidth="1"/>
    <col min="9987" max="9988" width="15.28515625" style="55" customWidth="1"/>
    <col min="9989" max="9989" width="16.5703125" style="55" customWidth="1"/>
    <col min="9990" max="9990" width="15" style="55" customWidth="1"/>
    <col min="9991" max="10240" width="9.140625" style="55"/>
    <col min="10241" max="10241" width="0" style="55" hidden="1" customWidth="1"/>
    <col min="10242" max="10242" width="31.7109375" style="55" customWidth="1"/>
    <col min="10243" max="10244" width="15.28515625" style="55" customWidth="1"/>
    <col min="10245" max="10245" width="16.5703125" style="55" customWidth="1"/>
    <col min="10246" max="10246" width="15" style="55" customWidth="1"/>
    <col min="10247" max="10496" width="9.140625" style="55"/>
    <col min="10497" max="10497" width="0" style="55" hidden="1" customWidth="1"/>
    <col min="10498" max="10498" width="31.7109375" style="55" customWidth="1"/>
    <col min="10499" max="10500" width="15.28515625" style="55" customWidth="1"/>
    <col min="10501" max="10501" width="16.5703125" style="55" customWidth="1"/>
    <col min="10502" max="10502" width="15" style="55" customWidth="1"/>
    <col min="10503" max="10752" width="9.140625" style="55"/>
    <col min="10753" max="10753" width="0" style="55" hidden="1" customWidth="1"/>
    <col min="10754" max="10754" width="31.7109375" style="55" customWidth="1"/>
    <col min="10755" max="10756" width="15.28515625" style="55" customWidth="1"/>
    <col min="10757" max="10757" width="16.5703125" style="55" customWidth="1"/>
    <col min="10758" max="10758" width="15" style="55" customWidth="1"/>
    <col min="10759" max="11008" width="9.140625" style="55"/>
    <col min="11009" max="11009" width="0" style="55" hidden="1" customWidth="1"/>
    <col min="11010" max="11010" width="31.7109375" style="55" customWidth="1"/>
    <col min="11011" max="11012" width="15.28515625" style="55" customWidth="1"/>
    <col min="11013" max="11013" width="16.5703125" style="55" customWidth="1"/>
    <col min="11014" max="11014" width="15" style="55" customWidth="1"/>
    <col min="11015" max="11264" width="9.140625" style="55"/>
    <col min="11265" max="11265" width="0" style="55" hidden="1" customWidth="1"/>
    <col min="11266" max="11266" width="31.7109375" style="55" customWidth="1"/>
    <col min="11267" max="11268" width="15.28515625" style="55" customWidth="1"/>
    <col min="11269" max="11269" width="16.5703125" style="55" customWidth="1"/>
    <col min="11270" max="11270" width="15" style="55" customWidth="1"/>
    <col min="11271" max="11520" width="9.140625" style="55"/>
    <col min="11521" max="11521" width="0" style="55" hidden="1" customWidth="1"/>
    <col min="11522" max="11522" width="31.7109375" style="55" customWidth="1"/>
    <col min="11523" max="11524" width="15.28515625" style="55" customWidth="1"/>
    <col min="11525" max="11525" width="16.5703125" style="55" customWidth="1"/>
    <col min="11526" max="11526" width="15" style="55" customWidth="1"/>
    <col min="11527" max="11776" width="9.140625" style="55"/>
    <col min="11777" max="11777" width="0" style="55" hidden="1" customWidth="1"/>
    <col min="11778" max="11778" width="31.7109375" style="55" customWidth="1"/>
    <col min="11779" max="11780" width="15.28515625" style="55" customWidth="1"/>
    <col min="11781" max="11781" width="16.5703125" style="55" customWidth="1"/>
    <col min="11782" max="11782" width="15" style="55" customWidth="1"/>
    <col min="11783" max="12032" width="9.140625" style="55"/>
    <col min="12033" max="12033" width="0" style="55" hidden="1" customWidth="1"/>
    <col min="12034" max="12034" width="31.7109375" style="55" customWidth="1"/>
    <col min="12035" max="12036" width="15.28515625" style="55" customWidth="1"/>
    <col min="12037" max="12037" width="16.5703125" style="55" customWidth="1"/>
    <col min="12038" max="12038" width="15" style="55" customWidth="1"/>
    <col min="12039" max="12288" width="9.140625" style="55"/>
    <col min="12289" max="12289" width="0" style="55" hidden="1" customWidth="1"/>
    <col min="12290" max="12290" width="31.7109375" style="55" customWidth="1"/>
    <col min="12291" max="12292" width="15.28515625" style="55" customWidth="1"/>
    <col min="12293" max="12293" width="16.5703125" style="55" customWidth="1"/>
    <col min="12294" max="12294" width="15" style="55" customWidth="1"/>
    <col min="12295" max="12544" width="9.140625" style="55"/>
    <col min="12545" max="12545" width="0" style="55" hidden="1" customWidth="1"/>
    <col min="12546" max="12546" width="31.7109375" style="55" customWidth="1"/>
    <col min="12547" max="12548" width="15.28515625" style="55" customWidth="1"/>
    <col min="12549" max="12549" width="16.5703125" style="55" customWidth="1"/>
    <col min="12550" max="12550" width="15" style="55" customWidth="1"/>
    <col min="12551" max="12800" width="9.140625" style="55"/>
    <col min="12801" max="12801" width="0" style="55" hidden="1" customWidth="1"/>
    <col min="12802" max="12802" width="31.7109375" style="55" customWidth="1"/>
    <col min="12803" max="12804" width="15.28515625" style="55" customWidth="1"/>
    <col min="12805" max="12805" width="16.5703125" style="55" customWidth="1"/>
    <col min="12806" max="12806" width="15" style="55" customWidth="1"/>
    <col min="12807" max="13056" width="9.140625" style="55"/>
    <col min="13057" max="13057" width="0" style="55" hidden="1" customWidth="1"/>
    <col min="13058" max="13058" width="31.7109375" style="55" customWidth="1"/>
    <col min="13059" max="13060" width="15.28515625" style="55" customWidth="1"/>
    <col min="13061" max="13061" width="16.5703125" style="55" customWidth="1"/>
    <col min="13062" max="13062" width="15" style="55" customWidth="1"/>
    <col min="13063" max="13312" width="9.140625" style="55"/>
    <col min="13313" max="13313" width="0" style="55" hidden="1" customWidth="1"/>
    <col min="13314" max="13314" width="31.7109375" style="55" customWidth="1"/>
    <col min="13315" max="13316" width="15.28515625" style="55" customWidth="1"/>
    <col min="13317" max="13317" width="16.5703125" style="55" customWidth="1"/>
    <col min="13318" max="13318" width="15" style="55" customWidth="1"/>
    <col min="13319" max="13568" width="9.140625" style="55"/>
    <col min="13569" max="13569" width="0" style="55" hidden="1" customWidth="1"/>
    <col min="13570" max="13570" width="31.7109375" style="55" customWidth="1"/>
    <col min="13571" max="13572" width="15.28515625" style="55" customWidth="1"/>
    <col min="13573" max="13573" width="16.5703125" style="55" customWidth="1"/>
    <col min="13574" max="13574" width="15" style="55" customWidth="1"/>
    <col min="13575" max="13824" width="9.140625" style="55"/>
    <col min="13825" max="13825" width="0" style="55" hidden="1" customWidth="1"/>
    <col min="13826" max="13826" width="31.7109375" style="55" customWidth="1"/>
    <col min="13827" max="13828" width="15.28515625" style="55" customWidth="1"/>
    <col min="13829" max="13829" width="16.5703125" style="55" customWidth="1"/>
    <col min="13830" max="13830" width="15" style="55" customWidth="1"/>
    <col min="13831" max="14080" width="9.140625" style="55"/>
    <col min="14081" max="14081" width="0" style="55" hidden="1" customWidth="1"/>
    <col min="14082" max="14082" width="31.7109375" style="55" customWidth="1"/>
    <col min="14083" max="14084" width="15.28515625" style="55" customWidth="1"/>
    <col min="14085" max="14085" width="16.5703125" style="55" customWidth="1"/>
    <col min="14086" max="14086" width="15" style="55" customWidth="1"/>
    <col min="14087" max="14336" width="9.140625" style="55"/>
    <col min="14337" max="14337" width="0" style="55" hidden="1" customWidth="1"/>
    <col min="14338" max="14338" width="31.7109375" style="55" customWidth="1"/>
    <col min="14339" max="14340" width="15.28515625" style="55" customWidth="1"/>
    <col min="14341" max="14341" width="16.5703125" style="55" customWidth="1"/>
    <col min="14342" max="14342" width="15" style="55" customWidth="1"/>
    <col min="14343" max="14592" width="9.140625" style="55"/>
    <col min="14593" max="14593" width="0" style="55" hidden="1" customWidth="1"/>
    <col min="14594" max="14594" width="31.7109375" style="55" customWidth="1"/>
    <col min="14595" max="14596" width="15.28515625" style="55" customWidth="1"/>
    <col min="14597" max="14597" width="16.5703125" style="55" customWidth="1"/>
    <col min="14598" max="14598" width="15" style="55" customWidth="1"/>
    <col min="14599" max="14848" width="9.140625" style="55"/>
    <col min="14849" max="14849" width="0" style="55" hidden="1" customWidth="1"/>
    <col min="14850" max="14850" width="31.7109375" style="55" customWidth="1"/>
    <col min="14851" max="14852" width="15.28515625" style="55" customWidth="1"/>
    <col min="14853" max="14853" width="16.5703125" style="55" customWidth="1"/>
    <col min="14854" max="14854" width="15" style="55" customWidth="1"/>
    <col min="14855" max="15104" width="9.140625" style="55"/>
    <col min="15105" max="15105" width="0" style="55" hidden="1" customWidth="1"/>
    <col min="15106" max="15106" width="31.7109375" style="55" customWidth="1"/>
    <col min="15107" max="15108" width="15.28515625" style="55" customWidth="1"/>
    <col min="15109" max="15109" width="16.5703125" style="55" customWidth="1"/>
    <col min="15110" max="15110" width="15" style="55" customWidth="1"/>
    <col min="15111" max="15360" width="9.140625" style="55"/>
    <col min="15361" max="15361" width="0" style="55" hidden="1" customWidth="1"/>
    <col min="15362" max="15362" width="31.7109375" style="55" customWidth="1"/>
    <col min="15363" max="15364" width="15.28515625" style="55" customWidth="1"/>
    <col min="15365" max="15365" width="16.5703125" style="55" customWidth="1"/>
    <col min="15366" max="15366" width="15" style="55" customWidth="1"/>
    <col min="15367" max="15616" width="9.140625" style="55"/>
    <col min="15617" max="15617" width="0" style="55" hidden="1" customWidth="1"/>
    <col min="15618" max="15618" width="31.7109375" style="55" customWidth="1"/>
    <col min="15619" max="15620" width="15.28515625" style="55" customWidth="1"/>
    <col min="15621" max="15621" width="16.5703125" style="55" customWidth="1"/>
    <col min="15622" max="15622" width="15" style="55" customWidth="1"/>
    <col min="15623" max="15872" width="9.140625" style="55"/>
    <col min="15873" max="15873" width="0" style="55" hidden="1" customWidth="1"/>
    <col min="15874" max="15874" width="31.7109375" style="55" customWidth="1"/>
    <col min="15875" max="15876" width="15.28515625" style="55" customWidth="1"/>
    <col min="15877" max="15877" width="16.5703125" style="55" customWidth="1"/>
    <col min="15878" max="15878" width="15" style="55" customWidth="1"/>
    <col min="15879" max="16128" width="9.140625" style="55"/>
    <col min="16129" max="16129" width="0" style="55" hidden="1" customWidth="1"/>
    <col min="16130" max="16130" width="31.7109375" style="55" customWidth="1"/>
    <col min="16131" max="16132" width="15.28515625" style="55" customWidth="1"/>
    <col min="16133" max="16133" width="16.5703125" style="55" customWidth="1"/>
    <col min="16134" max="16134" width="15" style="55" customWidth="1"/>
    <col min="16135" max="16384" width="9.140625" style="55"/>
  </cols>
  <sheetData>
    <row r="1" spans="1:6" ht="50.25" customHeight="1">
      <c r="B1" s="208" t="s">
        <v>106</v>
      </c>
      <c r="C1" s="208"/>
      <c r="D1" s="208"/>
      <c r="E1" s="208"/>
      <c r="F1" s="208"/>
    </row>
    <row r="2" spans="1:6" ht="15.75" customHeight="1">
      <c r="C2" s="218" t="s">
        <v>1</v>
      </c>
      <c r="D2" s="216" t="s">
        <v>2</v>
      </c>
      <c r="E2" s="216"/>
      <c r="F2" s="218" t="s">
        <v>5</v>
      </c>
    </row>
    <row r="3" spans="1:6" ht="39" customHeight="1">
      <c r="A3" s="4"/>
      <c r="C3" s="211"/>
      <c r="D3" s="31" t="s">
        <v>3</v>
      </c>
      <c r="E3" s="31" t="s">
        <v>4</v>
      </c>
      <c r="F3" s="211"/>
    </row>
    <row r="4" spans="1:6" ht="28.5" customHeight="1">
      <c r="A4" s="4"/>
      <c r="B4" s="11" t="s">
        <v>6</v>
      </c>
      <c r="C4" s="49">
        <v>1036</v>
      </c>
      <c r="D4" s="49">
        <v>224</v>
      </c>
      <c r="E4" s="49">
        <v>11</v>
      </c>
      <c r="F4" s="49">
        <v>0</v>
      </c>
    </row>
    <row r="5" spans="1:6" s="41" customFormat="1" ht="26.25" customHeight="1">
      <c r="A5" s="12"/>
      <c r="B5" s="11" t="s">
        <v>7</v>
      </c>
      <c r="C5" s="34">
        <v>610</v>
      </c>
      <c r="D5" s="34">
        <v>115</v>
      </c>
      <c r="E5" s="34">
        <v>5</v>
      </c>
      <c r="F5" s="34">
        <v>0</v>
      </c>
    </row>
    <row r="6" spans="1:6">
      <c r="A6" s="12">
        <v>51</v>
      </c>
      <c r="B6" s="55" t="s">
        <v>8</v>
      </c>
      <c r="C6" s="36">
        <v>39</v>
      </c>
      <c r="D6" s="36">
        <v>7</v>
      </c>
      <c r="E6" s="36">
        <v>0</v>
      </c>
      <c r="F6" s="36">
        <v>0</v>
      </c>
    </row>
    <row r="7" spans="1:6">
      <c r="A7" s="12">
        <v>52</v>
      </c>
      <c r="B7" s="55" t="s">
        <v>9</v>
      </c>
      <c r="C7" s="36">
        <v>18</v>
      </c>
      <c r="D7" s="36">
        <v>2</v>
      </c>
      <c r="E7" s="36">
        <v>1</v>
      </c>
      <c r="F7" s="36">
        <v>0</v>
      </c>
    </row>
    <row r="8" spans="1:6">
      <c r="A8" s="12">
        <v>86</v>
      </c>
      <c r="B8" s="55" t="s">
        <v>10</v>
      </c>
      <c r="C8" s="36">
        <v>23</v>
      </c>
      <c r="D8" s="36">
        <v>7</v>
      </c>
      <c r="E8" s="36">
        <v>0</v>
      </c>
      <c r="F8" s="36">
        <v>0</v>
      </c>
    </row>
    <row r="9" spans="1:6">
      <c r="A9" s="12">
        <v>53</v>
      </c>
      <c r="B9" s="55" t="s">
        <v>11</v>
      </c>
      <c r="C9" s="36">
        <v>5</v>
      </c>
      <c r="D9" s="36">
        <v>1</v>
      </c>
      <c r="E9" s="36">
        <v>0</v>
      </c>
      <c r="F9" s="36">
        <v>0</v>
      </c>
    </row>
    <row r="10" spans="1:6">
      <c r="A10" s="12">
        <v>54</v>
      </c>
      <c r="B10" s="55" t="s">
        <v>12</v>
      </c>
      <c r="C10" s="36">
        <v>23</v>
      </c>
      <c r="D10" s="36">
        <v>3</v>
      </c>
      <c r="E10" s="36">
        <v>0</v>
      </c>
      <c r="F10" s="36">
        <v>0</v>
      </c>
    </row>
    <row r="11" spans="1:6">
      <c r="A11" s="12">
        <v>55</v>
      </c>
      <c r="B11" s="55" t="s">
        <v>13</v>
      </c>
      <c r="C11" s="36">
        <v>11</v>
      </c>
      <c r="D11" s="36">
        <v>4</v>
      </c>
      <c r="E11" s="36">
        <v>1</v>
      </c>
      <c r="F11" s="36">
        <v>0</v>
      </c>
    </row>
    <row r="12" spans="1:6">
      <c r="A12" s="12">
        <v>56</v>
      </c>
      <c r="B12" s="55" t="s">
        <v>14</v>
      </c>
      <c r="C12" s="36">
        <v>4</v>
      </c>
      <c r="D12" s="36">
        <v>0</v>
      </c>
      <c r="E12" s="36">
        <v>0</v>
      </c>
      <c r="F12" s="36">
        <v>0</v>
      </c>
    </row>
    <row r="13" spans="1:6">
      <c r="A13" s="12">
        <v>57</v>
      </c>
      <c r="B13" s="55" t="s">
        <v>15</v>
      </c>
      <c r="C13" s="36">
        <v>4</v>
      </c>
      <c r="D13" s="36">
        <v>0</v>
      </c>
      <c r="E13" s="36">
        <v>0</v>
      </c>
      <c r="F13" s="36">
        <v>0</v>
      </c>
    </row>
    <row r="14" spans="1:6">
      <c r="A14" s="12">
        <v>59</v>
      </c>
      <c r="B14" s="55" t="s">
        <v>16</v>
      </c>
      <c r="C14" s="36">
        <v>5</v>
      </c>
      <c r="D14" s="36">
        <v>3</v>
      </c>
      <c r="E14" s="36">
        <v>0</v>
      </c>
      <c r="F14" s="36">
        <v>0</v>
      </c>
    </row>
    <row r="15" spans="1:6">
      <c r="A15" s="12">
        <v>60</v>
      </c>
      <c r="B15" s="55" t="s">
        <v>17</v>
      </c>
      <c r="C15" s="36">
        <v>10</v>
      </c>
      <c r="D15" s="36">
        <v>3</v>
      </c>
      <c r="E15" s="36">
        <v>0</v>
      </c>
      <c r="F15" s="36">
        <v>0</v>
      </c>
    </row>
    <row r="16" spans="1:6">
      <c r="A16" s="12">
        <v>61</v>
      </c>
      <c r="B16" s="38" t="s">
        <v>18</v>
      </c>
      <c r="C16" s="36">
        <v>28</v>
      </c>
      <c r="D16" s="36">
        <v>5</v>
      </c>
      <c r="E16" s="36">
        <v>1</v>
      </c>
      <c r="F16" s="36">
        <v>0</v>
      </c>
    </row>
    <row r="17" spans="1:6" s="186" customFormat="1">
      <c r="A17" s="12"/>
      <c r="B17" s="132" t="s">
        <v>125</v>
      </c>
      <c r="C17" s="165" t="s">
        <v>126</v>
      </c>
      <c r="D17" s="165" t="s">
        <v>126</v>
      </c>
      <c r="E17" s="165" t="s">
        <v>126</v>
      </c>
      <c r="F17" s="165" t="s">
        <v>126</v>
      </c>
    </row>
    <row r="18" spans="1:6">
      <c r="A18" s="12">
        <v>62</v>
      </c>
      <c r="B18" s="55" t="s">
        <v>19</v>
      </c>
      <c r="C18" s="36">
        <v>19</v>
      </c>
      <c r="D18" s="36">
        <v>3</v>
      </c>
      <c r="E18" s="36">
        <v>0</v>
      </c>
      <c r="F18" s="36">
        <v>0</v>
      </c>
    </row>
    <row r="19" spans="1:6">
      <c r="A19" s="12">
        <v>58</v>
      </c>
      <c r="B19" s="55" t="s">
        <v>20</v>
      </c>
      <c r="C19" s="36">
        <v>4</v>
      </c>
      <c r="D19" s="36">
        <v>0</v>
      </c>
      <c r="E19" s="36">
        <v>0</v>
      </c>
      <c r="F19" s="36">
        <v>0</v>
      </c>
    </row>
    <row r="20" spans="1:6">
      <c r="A20" s="12">
        <v>63</v>
      </c>
      <c r="B20" s="55" t="s">
        <v>21</v>
      </c>
      <c r="C20" s="36">
        <v>28</v>
      </c>
      <c r="D20" s="36">
        <v>3</v>
      </c>
      <c r="E20" s="36">
        <v>0</v>
      </c>
      <c r="F20" s="36">
        <v>0</v>
      </c>
    </row>
    <row r="21" spans="1:6">
      <c r="A21" s="12">
        <v>64</v>
      </c>
      <c r="B21" s="55" t="s">
        <v>22</v>
      </c>
      <c r="C21" s="36">
        <v>46</v>
      </c>
      <c r="D21" s="36">
        <v>5</v>
      </c>
      <c r="E21" s="36">
        <v>0</v>
      </c>
      <c r="F21" s="36">
        <v>0</v>
      </c>
    </row>
    <row r="22" spans="1:6">
      <c r="A22" s="12">
        <v>65</v>
      </c>
      <c r="B22" s="55" t="s">
        <v>23</v>
      </c>
      <c r="C22" s="36">
        <v>17</v>
      </c>
      <c r="D22" s="36">
        <v>3</v>
      </c>
      <c r="E22" s="36">
        <v>0</v>
      </c>
      <c r="F22" s="36">
        <v>0</v>
      </c>
    </row>
    <row r="23" spans="1:6">
      <c r="A23" s="12">
        <v>67</v>
      </c>
      <c r="B23" s="55" t="s">
        <v>24</v>
      </c>
      <c r="C23" s="36">
        <v>8</v>
      </c>
      <c r="D23" s="36">
        <v>3</v>
      </c>
      <c r="E23" s="36">
        <v>0</v>
      </c>
      <c r="F23" s="36">
        <v>0</v>
      </c>
    </row>
    <row r="24" spans="1:6">
      <c r="A24" s="12">
        <v>68</v>
      </c>
      <c r="B24" s="55" t="s">
        <v>25</v>
      </c>
      <c r="C24" s="36">
        <v>34</v>
      </c>
      <c r="D24" s="36">
        <v>7</v>
      </c>
      <c r="E24" s="36">
        <v>0</v>
      </c>
      <c r="F24" s="36">
        <v>0</v>
      </c>
    </row>
    <row r="25" spans="1:6">
      <c r="A25" s="12">
        <v>69</v>
      </c>
      <c r="B25" s="55" t="s">
        <v>26</v>
      </c>
      <c r="C25" s="36">
        <v>17</v>
      </c>
      <c r="D25" s="36">
        <v>5</v>
      </c>
      <c r="E25" s="36">
        <v>0</v>
      </c>
      <c r="F25" s="36">
        <v>0</v>
      </c>
    </row>
    <row r="26" spans="1:6">
      <c r="A26" s="12">
        <v>70</v>
      </c>
      <c r="B26" s="55" t="s">
        <v>27</v>
      </c>
      <c r="C26" s="36">
        <v>8</v>
      </c>
      <c r="D26" s="36">
        <v>2</v>
      </c>
      <c r="E26" s="36">
        <v>0</v>
      </c>
      <c r="F26" s="36">
        <v>0</v>
      </c>
    </row>
    <row r="27" spans="1:6">
      <c r="A27" s="12">
        <v>71</v>
      </c>
      <c r="B27" s="39" t="s">
        <v>28</v>
      </c>
      <c r="C27" s="36">
        <v>5</v>
      </c>
      <c r="D27" s="36">
        <v>1</v>
      </c>
      <c r="E27" s="36">
        <v>0</v>
      </c>
      <c r="F27" s="36">
        <v>0</v>
      </c>
    </row>
    <row r="28" spans="1:6">
      <c r="A28" s="12">
        <v>73</v>
      </c>
      <c r="B28" s="55" t="s">
        <v>29</v>
      </c>
      <c r="C28" s="40">
        <v>21</v>
      </c>
      <c r="D28" s="40">
        <v>3</v>
      </c>
      <c r="E28" s="40">
        <v>1</v>
      </c>
      <c r="F28" s="40">
        <v>0</v>
      </c>
    </row>
    <row r="29" spans="1:6">
      <c r="A29" s="12">
        <v>74</v>
      </c>
      <c r="B29" s="55" t="s">
        <v>30</v>
      </c>
      <c r="C29" s="36">
        <v>14</v>
      </c>
      <c r="D29" s="36">
        <v>4</v>
      </c>
      <c r="E29" s="36">
        <v>0</v>
      </c>
      <c r="F29" s="36">
        <v>0</v>
      </c>
    </row>
    <row r="30" spans="1:6">
      <c r="A30" s="12">
        <v>75</v>
      </c>
      <c r="B30" s="55" t="s">
        <v>31</v>
      </c>
      <c r="C30" s="36">
        <v>19</v>
      </c>
      <c r="D30" s="36">
        <v>2</v>
      </c>
      <c r="E30" s="36">
        <v>0</v>
      </c>
      <c r="F30" s="36">
        <v>0</v>
      </c>
    </row>
    <row r="31" spans="1:6">
      <c r="A31" s="12">
        <v>76</v>
      </c>
      <c r="B31" s="55" t="s">
        <v>32</v>
      </c>
      <c r="C31" s="36">
        <v>1</v>
      </c>
      <c r="D31" s="36">
        <v>0</v>
      </c>
      <c r="E31" s="36">
        <v>0</v>
      </c>
      <c r="F31" s="36">
        <v>0</v>
      </c>
    </row>
    <row r="32" spans="1:6">
      <c r="A32" s="12">
        <v>79</v>
      </c>
      <c r="B32" s="55" t="s">
        <v>33</v>
      </c>
      <c r="C32" s="36">
        <v>13</v>
      </c>
      <c r="D32" s="36">
        <v>7</v>
      </c>
      <c r="E32" s="36">
        <v>0</v>
      </c>
      <c r="F32" s="36">
        <v>0</v>
      </c>
    </row>
    <row r="33" spans="1:6">
      <c r="A33" s="12">
        <v>80</v>
      </c>
      <c r="B33" s="55" t="s">
        <v>34</v>
      </c>
      <c r="C33" s="36">
        <v>11</v>
      </c>
      <c r="D33" s="36">
        <v>1</v>
      </c>
      <c r="E33" s="36">
        <v>0</v>
      </c>
      <c r="F33" s="36">
        <v>0</v>
      </c>
    </row>
    <row r="34" spans="1:6">
      <c r="A34" s="12">
        <v>81</v>
      </c>
      <c r="B34" s="55" t="s">
        <v>35</v>
      </c>
      <c r="C34" s="36">
        <v>17</v>
      </c>
      <c r="D34" s="36">
        <v>4</v>
      </c>
      <c r="E34" s="36">
        <v>0</v>
      </c>
      <c r="F34" s="36">
        <v>0</v>
      </c>
    </row>
    <row r="35" spans="1:6">
      <c r="A35" s="12">
        <v>83</v>
      </c>
      <c r="B35" s="55" t="s">
        <v>36</v>
      </c>
      <c r="C35" s="36">
        <v>13</v>
      </c>
      <c r="D35" s="36">
        <v>0</v>
      </c>
      <c r="E35" s="36">
        <v>0</v>
      </c>
      <c r="F35" s="36">
        <v>0</v>
      </c>
    </row>
    <row r="36" spans="1:6">
      <c r="A36" s="12">
        <v>84</v>
      </c>
      <c r="B36" s="55" t="s">
        <v>37</v>
      </c>
      <c r="C36" s="36">
        <v>19</v>
      </c>
      <c r="D36" s="36">
        <v>3</v>
      </c>
      <c r="E36" s="36">
        <v>0</v>
      </c>
      <c r="F36" s="36">
        <v>0</v>
      </c>
    </row>
    <row r="37" spans="1:6">
      <c r="A37" s="12">
        <v>85</v>
      </c>
      <c r="B37" s="55" t="s">
        <v>38</v>
      </c>
      <c r="C37" s="36">
        <v>22</v>
      </c>
      <c r="D37" s="36">
        <v>4</v>
      </c>
      <c r="E37" s="36">
        <v>0</v>
      </c>
      <c r="F37" s="36">
        <v>0</v>
      </c>
    </row>
    <row r="38" spans="1:6">
      <c r="A38" s="12">
        <v>87</v>
      </c>
      <c r="B38" s="55" t="s">
        <v>39</v>
      </c>
      <c r="C38" s="36">
        <v>13</v>
      </c>
      <c r="D38" s="36">
        <v>3</v>
      </c>
      <c r="E38" s="36">
        <v>0</v>
      </c>
      <c r="F38" s="36">
        <v>0</v>
      </c>
    </row>
    <row r="39" spans="1:6">
      <c r="A39" s="12">
        <v>90</v>
      </c>
      <c r="B39" s="55" t="s">
        <v>40</v>
      </c>
      <c r="C39" s="36">
        <v>24</v>
      </c>
      <c r="D39" s="36">
        <v>3</v>
      </c>
      <c r="E39" s="36">
        <v>0</v>
      </c>
      <c r="F39" s="36">
        <v>0</v>
      </c>
    </row>
    <row r="40" spans="1:6">
      <c r="A40" s="12">
        <v>91</v>
      </c>
      <c r="B40" s="55" t="s">
        <v>41</v>
      </c>
      <c r="C40" s="36">
        <v>11</v>
      </c>
      <c r="D40" s="36">
        <v>3</v>
      </c>
      <c r="E40" s="36">
        <v>0</v>
      </c>
      <c r="F40" s="36">
        <v>0</v>
      </c>
    </row>
    <row r="41" spans="1:6">
      <c r="A41" s="12">
        <v>92</v>
      </c>
      <c r="B41" s="55" t="s">
        <v>42</v>
      </c>
      <c r="C41" s="36">
        <v>18</v>
      </c>
      <c r="D41" s="36">
        <v>5</v>
      </c>
      <c r="E41" s="36">
        <v>0</v>
      </c>
      <c r="F41" s="36">
        <v>0</v>
      </c>
    </row>
    <row r="42" spans="1:6">
      <c r="A42" s="12">
        <v>94</v>
      </c>
      <c r="B42" s="55" t="s">
        <v>43</v>
      </c>
      <c r="C42" s="36">
        <v>7</v>
      </c>
      <c r="D42" s="36">
        <v>2</v>
      </c>
      <c r="E42" s="36">
        <v>0</v>
      </c>
      <c r="F42" s="36">
        <v>0</v>
      </c>
    </row>
    <row r="43" spans="1:6">
      <c r="A43" s="12">
        <v>96</v>
      </c>
      <c r="B43" s="55" t="s">
        <v>44</v>
      </c>
      <c r="C43" s="36">
        <v>10</v>
      </c>
      <c r="D43" s="36">
        <v>2</v>
      </c>
      <c r="E43" s="36">
        <v>1</v>
      </c>
      <c r="F43" s="36">
        <v>0</v>
      </c>
    </row>
    <row r="44" spans="1:6">
      <c r="A44" s="12">
        <v>98</v>
      </c>
      <c r="B44" s="55" t="s">
        <v>45</v>
      </c>
      <c r="C44" s="36">
        <v>21</v>
      </c>
      <c r="D44" s="36">
        <v>2</v>
      </c>
      <c r="E44" s="36">
        <v>0</v>
      </c>
      <c r="F44" s="36">
        <v>0</v>
      </c>
    </row>
    <row r="45" spans="1:6">
      <c r="A45" s="12">
        <v>72</v>
      </c>
      <c r="B45" s="39" t="s">
        <v>46</v>
      </c>
      <c r="C45" s="36">
        <v>0</v>
      </c>
      <c r="D45" s="36">
        <v>0</v>
      </c>
      <c r="E45" s="36">
        <v>0</v>
      </c>
      <c r="F45" s="36">
        <v>0</v>
      </c>
    </row>
    <row r="46" spans="1:6" s="41" customFormat="1" ht="26.25" customHeight="1">
      <c r="A46" s="1"/>
      <c r="B46" s="11" t="s">
        <v>47</v>
      </c>
      <c r="C46" s="34">
        <v>426</v>
      </c>
      <c r="D46" s="34">
        <v>109</v>
      </c>
      <c r="E46" s="34">
        <v>6</v>
      </c>
      <c r="F46" s="34">
        <v>0</v>
      </c>
    </row>
    <row r="47" spans="1:6">
      <c r="A47" s="12">
        <v>66</v>
      </c>
      <c r="B47" s="55" t="s">
        <v>48</v>
      </c>
      <c r="C47" s="36">
        <v>61</v>
      </c>
      <c r="D47" s="36">
        <v>12</v>
      </c>
      <c r="E47" s="36">
        <v>1</v>
      </c>
      <c r="F47" s="36">
        <v>0</v>
      </c>
    </row>
    <row r="48" spans="1:6">
      <c r="A48" s="12">
        <v>78</v>
      </c>
      <c r="B48" s="55" t="s">
        <v>49</v>
      </c>
      <c r="C48" s="37">
        <v>14</v>
      </c>
      <c r="D48" s="37">
        <v>3</v>
      </c>
      <c r="E48" s="37">
        <v>0</v>
      </c>
      <c r="F48" s="37">
        <v>0</v>
      </c>
    </row>
    <row r="49" spans="1:6">
      <c r="A49" s="12">
        <v>89</v>
      </c>
      <c r="B49" s="55" t="s">
        <v>50</v>
      </c>
      <c r="C49" s="37">
        <v>34</v>
      </c>
      <c r="D49" s="37">
        <v>7</v>
      </c>
      <c r="E49" s="37">
        <v>0</v>
      </c>
      <c r="F49" s="37">
        <v>0</v>
      </c>
    </row>
    <row r="50" spans="1:6">
      <c r="A50" s="12">
        <v>93</v>
      </c>
      <c r="B50" s="55" t="s">
        <v>51</v>
      </c>
      <c r="C50" s="37">
        <v>13</v>
      </c>
      <c r="D50" s="37">
        <v>2</v>
      </c>
      <c r="E50" s="37">
        <v>3</v>
      </c>
      <c r="F50" s="37">
        <v>0</v>
      </c>
    </row>
    <row r="51" spans="1:6">
      <c r="A51" s="12">
        <v>95</v>
      </c>
      <c r="B51" s="55" t="s">
        <v>52</v>
      </c>
      <c r="C51" s="37">
        <v>37</v>
      </c>
      <c r="D51" s="37">
        <v>4</v>
      </c>
      <c r="E51" s="37">
        <v>0</v>
      </c>
      <c r="F51" s="37">
        <v>0</v>
      </c>
    </row>
    <row r="52" spans="1:6">
      <c r="A52" s="12">
        <v>97</v>
      </c>
      <c r="B52" s="55" t="s">
        <v>53</v>
      </c>
      <c r="C52" s="37">
        <v>57</v>
      </c>
      <c r="D52" s="37">
        <v>10</v>
      </c>
      <c r="E52" s="37">
        <v>0</v>
      </c>
      <c r="F52" s="37">
        <v>0</v>
      </c>
    </row>
    <row r="53" spans="1:6">
      <c r="A53" s="12">
        <v>77</v>
      </c>
      <c r="B53" s="58" t="s">
        <v>54</v>
      </c>
      <c r="C53" s="45">
        <v>210</v>
      </c>
      <c r="D53" s="45">
        <v>71</v>
      </c>
      <c r="E53" s="45">
        <v>2</v>
      </c>
      <c r="F53" s="45">
        <v>0</v>
      </c>
    </row>
    <row r="54" spans="1:6">
      <c r="C54" s="25"/>
      <c r="D54" s="25"/>
      <c r="E54" s="25"/>
      <c r="F54" s="25"/>
    </row>
    <row r="55" spans="1:6">
      <c r="B55" s="12" t="s">
        <v>55</v>
      </c>
    </row>
    <row r="56" spans="1:6" ht="23.25" customHeight="1">
      <c r="B56" s="201" t="s">
        <v>65</v>
      </c>
      <c r="C56" s="202"/>
      <c r="D56" s="202"/>
      <c r="E56" s="202"/>
      <c r="F56" s="202"/>
    </row>
    <row r="57" spans="1:6" ht="15" customHeight="1">
      <c r="B57" s="202"/>
      <c r="C57" s="202"/>
      <c r="D57" s="202"/>
      <c r="E57" s="202"/>
      <c r="F57" s="202"/>
    </row>
    <row r="58" spans="1:6" ht="13.5" customHeight="1">
      <c r="B58" s="202"/>
      <c r="C58" s="202"/>
      <c r="D58" s="202"/>
      <c r="E58" s="202"/>
      <c r="F58" s="202"/>
    </row>
    <row r="59" spans="1:6" ht="12.75" customHeight="1">
      <c r="B59" s="202"/>
      <c r="C59" s="202"/>
      <c r="D59" s="202"/>
      <c r="E59" s="202"/>
      <c r="F59" s="202"/>
    </row>
    <row r="60" spans="1:6" ht="15.75" customHeight="1">
      <c r="B60" s="202"/>
      <c r="C60" s="202"/>
      <c r="D60" s="202"/>
      <c r="E60" s="202"/>
      <c r="F60" s="202"/>
    </row>
    <row r="61" spans="1:6" ht="39" customHeight="1">
      <c r="B61" s="202"/>
      <c r="C61" s="202"/>
      <c r="D61" s="202"/>
      <c r="E61" s="202"/>
      <c r="F61" s="202"/>
    </row>
    <row r="62" spans="1:6" ht="15" customHeight="1">
      <c r="B62" s="57"/>
      <c r="C62" s="57"/>
      <c r="D62" s="57"/>
      <c r="E62" s="57"/>
      <c r="F62" s="57"/>
    </row>
    <row r="63" spans="1:6">
      <c r="B63" s="24" t="s">
        <v>57</v>
      </c>
    </row>
    <row r="65" spans="2:2">
      <c r="B65" s="27"/>
    </row>
  </sheetData>
  <mergeCells count="5">
    <mergeCell ref="B1:F1"/>
    <mergeCell ref="C2:C3"/>
    <mergeCell ref="D2:E2"/>
    <mergeCell ref="F2:F3"/>
    <mergeCell ref="B56:F6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I68"/>
  <sheetViews>
    <sheetView showGridLines="0" zoomScale="85" workbookViewId="0">
      <pane xSplit="2" ySplit="3" topLeftCell="C4" activePane="bottomRight" state="frozen"/>
      <selection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RowHeight="12.75"/>
  <cols>
    <col min="1" max="1" width="5.7109375" style="1" hidden="1" customWidth="1"/>
    <col min="2" max="2" width="28.7109375" style="124" customWidth="1"/>
    <col min="3" max="4" width="20" style="124" customWidth="1"/>
    <col min="5" max="5" width="15.140625" style="124" customWidth="1"/>
    <col min="6" max="6" width="17.7109375" style="124" customWidth="1"/>
    <col min="7" max="255" width="9.140625" style="124"/>
    <col min="256" max="256" width="0" style="124" hidden="1" customWidth="1"/>
    <col min="257" max="257" width="2.5703125" style="124" customWidth="1"/>
    <col min="258" max="258" width="28.7109375" style="124" customWidth="1"/>
    <col min="259" max="260" width="20" style="124" customWidth="1"/>
    <col min="261" max="261" width="15.140625" style="124" customWidth="1"/>
    <col min="262" max="262" width="17.7109375" style="124" customWidth="1"/>
    <col min="263" max="511" width="9.140625" style="124"/>
    <col min="512" max="512" width="0" style="124" hidden="1" customWidth="1"/>
    <col min="513" max="513" width="2.5703125" style="124" customWidth="1"/>
    <col min="514" max="514" width="28.7109375" style="124" customWidth="1"/>
    <col min="515" max="516" width="20" style="124" customWidth="1"/>
    <col min="517" max="517" width="15.140625" style="124" customWidth="1"/>
    <col min="518" max="518" width="17.7109375" style="124" customWidth="1"/>
    <col min="519" max="767" width="9.140625" style="124"/>
    <col min="768" max="768" width="0" style="124" hidden="1" customWidth="1"/>
    <col min="769" max="769" width="2.5703125" style="124" customWidth="1"/>
    <col min="770" max="770" width="28.7109375" style="124" customWidth="1"/>
    <col min="771" max="772" width="20" style="124" customWidth="1"/>
    <col min="773" max="773" width="15.140625" style="124" customWidth="1"/>
    <col min="774" max="774" width="17.7109375" style="124" customWidth="1"/>
    <col min="775" max="1023" width="9.140625" style="124"/>
    <col min="1024" max="1024" width="0" style="124" hidden="1" customWidth="1"/>
    <col min="1025" max="1025" width="2.5703125" style="124" customWidth="1"/>
    <col min="1026" max="1026" width="28.7109375" style="124" customWidth="1"/>
    <col min="1027" max="1028" width="20" style="124" customWidth="1"/>
    <col min="1029" max="1029" width="15.140625" style="124" customWidth="1"/>
    <col min="1030" max="1030" width="17.7109375" style="124" customWidth="1"/>
    <col min="1031" max="1279" width="9.140625" style="124"/>
    <col min="1280" max="1280" width="0" style="124" hidden="1" customWidth="1"/>
    <col min="1281" max="1281" width="2.5703125" style="124" customWidth="1"/>
    <col min="1282" max="1282" width="28.7109375" style="124" customWidth="1"/>
    <col min="1283" max="1284" width="20" style="124" customWidth="1"/>
    <col min="1285" max="1285" width="15.140625" style="124" customWidth="1"/>
    <col min="1286" max="1286" width="17.7109375" style="124" customWidth="1"/>
    <col min="1287" max="1535" width="9.140625" style="124"/>
    <col min="1536" max="1536" width="0" style="124" hidden="1" customWidth="1"/>
    <col min="1537" max="1537" width="2.5703125" style="124" customWidth="1"/>
    <col min="1538" max="1538" width="28.7109375" style="124" customWidth="1"/>
    <col min="1539" max="1540" width="20" style="124" customWidth="1"/>
    <col min="1541" max="1541" width="15.140625" style="124" customWidth="1"/>
    <col min="1542" max="1542" width="17.7109375" style="124" customWidth="1"/>
    <col min="1543" max="1791" width="9.140625" style="124"/>
    <col min="1792" max="1792" width="0" style="124" hidden="1" customWidth="1"/>
    <col min="1793" max="1793" width="2.5703125" style="124" customWidth="1"/>
    <col min="1794" max="1794" width="28.7109375" style="124" customWidth="1"/>
    <col min="1795" max="1796" width="20" style="124" customWidth="1"/>
    <col min="1797" max="1797" width="15.140625" style="124" customWidth="1"/>
    <col min="1798" max="1798" width="17.7109375" style="124" customWidth="1"/>
    <col min="1799" max="2047" width="9.140625" style="124"/>
    <col min="2048" max="2048" width="0" style="124" hidden="1" customWidth="1"/>
    <col min="2049" max="2049" width="2.5703125" style="124" customWidth="1"/>
    <col min="2050" max="2050" width="28.7109375" style="124" customWidth="1"/>
    <col min="2051" max="2052" width="20" style="124" customWidth="1"/>
    <col min="2053" max="2053" width="15.140625" style="124" customWidth="1"/>
    <col min="2054" max="2054" width="17.7109375" style="124" customWidth="1"/>
    <col min="2055" max="2303" width="9.140625" style="124"/>
    <col min="2304" max="2304" width="0" style="124" hidden="1" customWidth="1"/>
    <col min="2305" max="2305" width="2.5703125" style="124" customWidth="1"/>
    <col min="2306" max="2306" width="28.7109375" style="124" customWidth="1"/>
    <col min="2307" max="2308" width="20" style="124" customWidth="1"/>
    <col min="2309" max="2309" width="15.140625" style="124" customWidth="1"/>
    <col min="2310" max="2310" width="17.7109375" style="124" customWidth="1"/>
    <col min="2311" max="2559" width="9.140625" style="124"/>
    <col min="2560" max="2560" width="0" style="124" hidden="1" customWidth="1"/>
    <col min="2561" max="2561" width="2.5703125" style="124" customWidth="1"/>
    <col min="2562" max="2562" width="28.7109375" style="124" customWidth="1"/>
    <col min="2563" max="2564" width="20" style="124" customWidth="1"/>
    <col min="2565" max="2565" width="15.140625" style="124" customWidth="1"/>
    <col min="2566" max="2566" width="17.7109375" style="124" customWidth="1"/>
    <col min="2567" max="2815" width="9.140625" style="124"/>
    <col min="2816" max="2816" width="0" style="124" hidden="1" customWidth="1"/>
    <col min="2817" max="2817" width="2.5703125" style="124" customWidth="1"/>
    <col min="2818" max="2818" width="28.7109375" style="124" customWidth="1"/>
    <col min="2819" max="2820" width="20" style="124" customWidth="1"/>
    <col min="2821" max="2821" width="15.140625" style="124" customWidth="1"/>
    <col min="2822" max="2822" width="17.7109375" style="124" customWidth="1"/>
    <col min="2823" max="3071" width="9.140625" style="124"/>
    <col min="3072" max="3072" width="0" style="124" hidden="1" customWidth="1"/>
    <col min="3073" max="3073" width="2.5703125" style="124" customWidth="1"/>
    <col min="3074" max="3074" width="28.7109375" style="124" customWidth="1"/>
    <col min="3075" max="3076" width="20" style="124" customWidth="1"/>
    <col min="3077" max="3077" width="15.140625" style="124" customWidth="1"/>
    <col min="3078" max="3078" width="17.7109375" style="124" customWidth="1"/>
    <col min="3079" max="3327" width="9.140625" style="124"/>
    <col min="3328" max="3328" width="0" style="124" hidden="1" customWidth="1"/>
    <col min="3329" max="3329" width="2.5703125" style="124" customWidth="1"/>
    <col min="3330" max="3330" width="28.7109375" style="124" customWidth="1"/>
    <col min="3331" max="3332" width="20" style="124" customWidth="1"/>
    <col min="3333" max="3333" width="15.140625" style="124" customWidth="1"/>
    <col min="3334" max="3334" width="17.7109375" style="124" customWidth="1"/>
    <col min="3335" max="3583" width="9.140625" style="124"/>
    <col min="3584" max="3584" width="0" style="124" hidden="1" customWidth="1"/>
    <col min="3585" max="3585" width="2.5703125" style="124" customWidth="1"/>
    <col min="3586" max="3586" width="28.7109375" style="124" customWidth="1"/>
    <col min="3587" max="3588" width="20" style="124" customWidth="1"/>
    <col min="3589" max="3589" width="15.140625" style="124" customWidth="1"/>
    <col min="3590" max="3590" width="17.7109375" style="124" customWidth="1"/>
    <col min="3591" max="3839" width="9.140625" style="124"/>
    <col min="3840" max="3840" width="0" style="124" hidden="1" customWidth="1"/>
    <col min="3841" max="3841" width="2.5703125" style="124" customWidth="1"/>
    <col min="3842" max="3842" width="28.7109375" style="124" customWidth="1"/>
    <col min="3843" max="3844" width="20" style="124" customWidth="1"/>
    <col min="3845" max="3845" width="15.140625" style="124" customWidth="1"/>
    <col min="3846" max="3846" width="17.7109375" style="124" customWidth="1"/>
    <col min="3847" max="4095" width="9.140625" style="124"/>
    <col min="4096" max="4096" width="0" style="124" hidden="1" customWidth="1"/>
    <col min="4097" max="4097" width="2.5703125" style="124" customWidth="1"/>
    <col min="4098" max="4098" width="28.7109375" style="124" customWidth="1"/>
    <col min="4099" max="4100" width="20" style="124" customWidth="1"/>
    <col min="4101" max="4101" width="15.140625" style="124" customWidth="1"/>
    <col min="4102" max="4102" width="17.7109375" style="124" customWidth="1"/>
    <col min="4103" max="4351" width="9.140625" style="124"/>
    <col min="4352" max="4352" width="0" style="124" hidden="1" customWidth="1"/>
    <col min="4353" max="4353" width="2.5703125" style="124" customWidth="1"/>
    <col min="4354" max="4354" width="28.7109375" style="124" customWidth="1"/>
    <col min="4355" max="4356" width="20" style="124" customWidth="1"/>
    <col min="4357" max="4357" width="15.140625" style="124" customWidth="1"/>
    <col min="4358" max="4358" width="17.7109375" style="124" customWidth="1"/>
    <col min="4359" max="4607" width="9.140625" style="124"/>
    <col min="4608" max="4608" width="0" style="124" hidden="1" customWidth="1"/>
    <col min="4609" max="4609" width="2.5703125" style="124" customWidth="1"/>
    <col min="4610" max="4610" width="28.7109375" style="124" customWidth="1"/>
    <col min="4611" max="4612" width="20" style="124" customWidth="1"/>
    <col min="4613" max="4613" width="15.140625" style="124" customWidth="1"/>
    <col min="4614" max="4614" width="17.7109375" style="124" customWidth="1"/>
    <col min="4615" max="4863" width="9.140625" style="124"/>
    <col min="4864" max="4864" width="0" style="124" hidden="1" customWidth="1"/>
    <col min="4865" max="4865" width="2.5703125" style="124" customWidth="1"/>
    <col min="4866" max="4866" width="28.7109375" style="124" customWidth="1"/>
    <col min="4867" max="4868" width="20" style="124" customWidth="1"/>
    <col min="4869" max="4869" width="15.140625" style="124" customWidth="1"/>
    <col min="4870" max="4870" width="17.7109375" style="124" customWidth="1"/>
    <col min="4871" max="5119" width="9.140625" style="124"/>
    <col min="5120" max="5120" width="0" style="124" hidden="1" customWidth="1"/>
    <col min="5121" max="5121" width="2.5703125" style="124" customWidth="1"/>
    <col min="5122" max="5122" width="28.7109375" style="124" customWidth="1"/>
    <col min="5123" max="5124" width="20" style="124" customWidth="1"/>
    <col min="5125" max="5125" width="15.140625" style="124" customWidth="1"/>
    <col min="5126" max="5126" width="17.7109375" style="124" customWidth="1"/>
    <col min="5127" max="5375" width="9.140625" style="124"/>
    <col min="5376" max="5376" width="0" style="124" hidden="1" customWidth="1"/>
    <col min="5377" max="5377" width="2.5703125" style="124" customWidth="1"/>
    <col min="5378" max="5378" width="28.7109375" style="124" customWidth="1"/>
    <col min="5379" max="5380" width="20" style="124" customWidth="1"/>
    <col min="5381" max="5381" width="15.140625" style="124" customWidth="1"/>
    <col min="5382" max="5382" width="17.7109375" style="124" customWidth="1"/>
    <col min="5383" max="5631" width="9.140625" style="124"/>
    <col min="5632" max="5632" width="0" style="124" hidden="1" customWidth="1"/>
    <col min="5633" max="5633" width="2.5703125" style="124" customWidth="1"/>
    <col min="5634" max="5634" width="28.7109375" style="124" customWidth="1"/>
    <col min="5635" max="5636" width="20" style="124" customWidth="1"/>
    <col min="5637" max="5637" width="15.140625" style="124" customWidth="1"/>
    <col min="5638" max="5638" width="17.7109375" style="124" customWidth="1"/>
    <col min="5639" max="5887" width="9.140625" style="124"/>
    <col min="5888" max="5888" width="0" style="124" hidden="1" customWidth="1"/>
    <col min="5889" max="5889" width="2.5703125" style="124" customWidth="1"/>
    <col min="5890" max="5890" width="28.7109375" style="124" customWidth="1"/>
    <col min="5891" max="5892" width="20" style="124" customWidth="1"/>
    <col min="5893" max="5893" width="15.140625" style="124" customWidth="1"/>
    <col min="5894" max="5894" width="17.7109375" style="124" customWidth="1"/>
    <col min="5895" max="6143" width="9.140625" style="124"/>
    <col min="6144" max="6144" width="0" style="124" hidden="1" customWidth="1"/>
    <col min="6145" max="6145" width="2.5703125" style="124" customWidth="1"/>
    <col min="6146" max="6146" width="28.7109375" style="124" customWidth="1"/>
    <col min="6147" max="6148" width="20" style="124" customWidth="1"/>
    <col min="6149" max="6149" width="15.140625" style="124" customWidth="1"/>
    <col min="6150" max="6150" width="17.7109375" style="124" customWidth="1"/>
    <col min="6151" max="6399" width="9.140625" style="124"/>
    <col min="6400" max="6400" width="0" style="124" hidden="1" customWidth="1"/>
    <col min="6401" max="6401" width="2.5703125" style="124" customWidth="1"/>
    <col min="6402" max="6402" width="28.7109375" style="124" customWidth="1"/>
    <col min="6403" max="6404" width="20" style="124" customWidth="1"/>
    <col min="6405" max="6405" width="15.140625" style="124" customWidth="1"/>
    <col min="6406" max="6406" width="17.7109375" style="124" customWidth="1"/>
    <col min="6407" max="6655" width="9.140625" style="124"/>
    <col min="6656" max="6656" width="0" style="124" hidden="1" customWidth="1"/>
    <col min="6657" max="6657" width="2.5703125" style="124" customWidth="1"/>
    <col min="6658" max="6658" width="28.7109375" style="124" customWidth="1"/>
    <col min="6659" max="6660" width="20" style="124" customWidth="1"/>
    <col min="6661" max="6661" width="15.140625" style="124" customWidth="1"/>
    <col min="6662" max="6662" width="17.7109375" style="124" customWidth="1"/>
    <col min="6663" max="6911" width="9.140625" style="124"/>
    <col min="6912" max="6912" width="0" style="124" hidden="1" customWidth="1"/>
    <col min="6913" max="6913" width="2.5703125" style="124" customWidth="1"/>
    <col min="6914" max="6914" width="28.7109375" style="124" customWidth="1"/>
    <col min="6915" max="6916" width="20" style="124" customWidth="1"/>
    <col min="6917" max="6917" width="15.140625" style="124" customWidth="1"/>
    <col min="6918" max="6918" width="17.7109375" style="124" customWidth="1"/>
    <col min="6919" max="7167" width="9.140625" style="124"/>
    <col min="7168" max="7168" width="0" style="124" hidden="1" customWidth="1"/>
    <col min="7169" max="7169" width="2.5703125" style="124" customWidth="1"/>
    <col min="7170" max="7170" width="28.7109375" style="124" customWidth="1"/>
    <col min="7171" max="7172" width="20" style="124" customWidth="1"/>
    <col min="7173" max="7173" width="15.140625" style="124" customWidth="1"/>
    <col min="7174" max="7174" width="17.7109375" style="124" customWidth="1"/>
    <col min="7175" max="7423" width="9.140625" style="124"/>
    <col min="7424" max="7424" width="0" style="124" hidden="1" customWidth="1"/>
    <col min="7425" max="7425" width="2.5703125" style="124" customWidth="1"/>
    <col min="7426" max="7426" width="28.7109375" style="124" customWidth="1"/>
    <col min="7427" max="7428" width="20" style="124" customWidth="1"/>
    <col min="7429" max="7429" width="15.140625" style="124" customWidth="1"/>
    <col min="7430" max="7430" width="17.7109375" style="124" customWidth="1"/>
    <col min="7431" max="7679" width="9.140625" style="124"/>
    <col min="7680" max="7680" width="0" style="124" hidden="1" customWidth="1"/>
    <col min="7681" max="7681" width="2.5703125" style="124" customWidth="1"/>
    <col min="7682" max="7682" width="28.7109375" style="124" customWidth="1"/>
    <col min="7683" max="7684" width="20" style="124" customWidth="1"/>
    <col min="7685" max="7685" width="15.140625" style="124" customWidth="1"/>
    <col min="7686" max="7686" width="17.7109375" style="124" customWidth="1"/>
    <col min="7687" max="7935" width="9.140625" style="124"/>
    <col min="7936" max="7936" width="0" style="124" hidden="1" customWidth="1"/>
    <col min="7937" max="7937" width="2.5703125" style="124" customWidth="1"/>
    <col min="7938" max="7938" width="28.7109375" style="124" customWidth="1"/>
    <col min="7939" max="7940" width="20" style="124" customWidth="1"/>
    <col min="7941" max="7941" width="15.140625" style="124" customWidth="1"/>
    <col min="7942" max="7942" width="17.7109375" style="124" customWidth="1"/>
    <col min="7943" max="8191" width="9.140625" style="124"/>
    <col min="8192" max="8192" width="0" style="124" hidden="1" customWidth="1"/>
    <col min="8193" max="8193" width="2.5703125" style="124" customWidth="1"/>
    <col min="8194" max="8194" width="28.7109375" style="124" customWidth="1"/>
    <col min="8195" max="8196" width="20" style="124" customWidth="1"/>
    <col min="8197" max="8197" width="15.140625" style="124" customWidth="1"/>
    <col min="8198" max="8198" width="17.7109375" style="124" customWidth="1"/>
    <col min="8199" max="8447" width="9.140625" style="124"/>
    <col min="8448" max="8448" width="0" style="124" hidden="1" customWidth="1"/>
    <col min="8449" max="8449" width="2.5703125" style="124" customWidth="1"/>
    <col min="8450" max="8450" width="28.7109375" style="124" customWidth="1"/>
    <col min="8451" max="8452" width="20" style="124" customWidth="1"/>
    <col min="8453" max="8453" width="15.140625" style="124" customWidth="1"/>
    <col min="8454" max="8454" width="17.7109375" style="124" customWidth="1"/>
    <col min="8455" max="8703" width="9.140625" style="124"/>
    <col min="8704" max="8704" width="0" style="124" hidden="1" customWidth="1"/>
    <col min="8705" max="8705" width="2.5703125" style="124" customWidth="1"/>
    <col min="8706" max="8706" width="28.7109375" style="124" customWidth="1"/>
    <col min="8707" max="8708" width="20" style="124" customWidth="1"/>
    <col min="8709" max="8709" width="15.140625" style="124" customWidth="1"/>
    <col min="8710" max="8710" width="17.7109375" style="124" customWidth="1"/>
    <col min="8711" max="8959" width="9.140625" style="124"/>
    <col min="8960" max="8960" width="0" style="124" hidden="1" customWidth="1"/>
    <col min="8961" max="8961" width="2.5703125" style="124" customWidth="1"/>
    <col min="8962" max="8962" width="28.7109375" style="124" customWidth="1"/>
    <col min="8963" max="8964" width="20" style="124" customWidth="1"/>
    <col min="8965" max="8965" width="15.140625" style="124" customWidth="1"/>
    <col min="8966" max="8966" width="17.7109375" style="124" customWidth="1"/>
    <col min="8967" max="9215" width="9.140625" style="124"/>
    <col min="9216" max="9216" width="0" style="124" hidden="1" customWidth="1"/>
    <col min="9217" max="9217" width="2.5703125" style="124" customWidth="1"/>
    <col min="9218" max="9218" width="28.7109375" style="124" customWidth="1"/>
    <col min="9219" max="9220" width="20" style="124" customWidth="1"/>
    <col min="9221" max="9221" width="15.140625" style="124" customWidth="1"/>
    <col min="9222" max="9222" width="17.7109375" style="124" customWidth="1"/>
    <col min="9223" max="9471" width="9.140625" style="124"/>
    <col min="9472" max="9472" width="0" style="124" hidden="1" customWidth="1"/>
    <col min="9473" max="9473" width="2.5703125" style="124" customWidth="1"/>
    <col min="9474" max="9474" width="28.7109375" style="124" customWidth="1"/>
    <col min="9475" max="9476" width="20" style="124" customWidth="1"/>
    <col min="9477" max="9477" width="15.140625" style="124" customWidth="1"/>
    <col min="9478" max="9478" width="17.7109375" style="124" customWidth="1"/>
    <col min="9479" max="9727" width="9.140625" style="124"/>
    <col min="9728" max="9728" width="0" style="124" hidden="1" customWidth="1"/>
    <col min="9729" max="9729" width="2.5703125" style="124" customWidth="1"/>
    <col min="9730" max="9730" width="28.7109375" style="124" customWidth="1"/>
    <col min="9731" max="9732" width="20" style="124" customWidth="1"/>
    <col min="9733" max="9733" width="15.140625" style="124" customWidth="1"/>
    <col min="9734" max="9734" width="17.7109375" style="124" customWidth="1"/>
    <col min="9735" max="9983" width="9.140625" style="124"/>
    <col min="9984" max="9984" width="0" style="124" hidden="1" customWidth="1"/>
    <col min="9985" max="9985" width="2.5703125" style="124" customWidth="1"/>
    <col min="9986" max="9986" width="28.7109375" style="124" customWidth="1"/>
    <col min="9987" max="9988" width="20" style="124" customWidth="1"/>
    <col min="9989" max="9989" width="15.140625" style="124" customWidth="1"/>
    <col min="9990" max="9990" width="17.7109375" style="124" customWidth="1"/>
    <col min="9991" max="10239" width="9.140625" style="124"/>
    <col min="10240" max="10240" width="0" style="124" hidden="1" customWidth="1"/>
    <col min="10241" max="10241" width="2.5703125" style="124" customWidth="1"/>
    <col min="10242" max="10242" width="28.7109375" style="124" customWidth="1"/>
    <col min="10243" max="10244" width="20" style="124" customWidth="1"/>
    <col min="10245" max="10245" width="15.140625" style="124" customWidth="1"/>
    <col min="10246" max="10246" width="17.7109375" style="124" customWidth="1"/>
    <col min="10247" max="10495" width="9.140625" style="124"/>
    <col min="10496" max="10496" width="0" style="124" hidden="1" customWidth="1"/>
    <col min="10497" max="10497" width="2.5703125" style="124" customWidth="1"/>
    <col min="10498" max="10498" width="28.7109375" style="124" customWidth="1"/>
    <col min="10499" max="10500" width="20" style="124" customWidth="1"/>
    <col min="10501" max="10501" width="15.140625" style="124" customWidth="1"/>
    <col min="10502" max="10502" width="17.7109375" style="124" customWidth="1"/>
    <col min="10503" max="10751" width="9.140625" style="124"/>
    <col min="10752" max="10752" width="0" style="124" hidden="1" customWidth="1"/>
    <col min="10753" max="10753" width="2.5703125" style="124" customWidth="1"/>
    <col min="10754" max="10754" width="28.7109375" style="124" customWidth="1"/>
    <col min="10755" max="10756" width="20" style="124" customWidth="1"/>
    <col min="10757" max="10757" width="15.140625" style="124" customWidth="1"/>
    <col min="10758" max="10758" width="17.7109375" style="124" customWidth="1"/>
    <col min="10759" max="11007" width="9.140625" style="124"/>
    <col min="11008" max="11008" width="0" style="124" hidden="1" customWidth="1"/>
    <col min="11009" max="11009" width="2.5703125" style="124" customWidth="1"/>
    <col min="11010" max="11010" width="28.7109375" style="124" customWidth="1"/>
    <col min="11011" max="11012" width="20" style="124" customWidth="1"/>
    <col min="11013" max="11013" width="15.140625" style="124" customWidth="1"/>
    <col min="11014" max="11014" width="17.7109375" style="124" customWidth="1"/>
    <col min="11015" max="11263" width="9.140625" style="124"/>
    <col min="11264" max="11264" width="0" style="124" hidden="1" customWidth="1"/>
    <col min="11265" max="11265" width="2.5703125" style="124" customWidth="1"/>
    <col min="11266" max="11266" width="28.7109375" style="124" customWidth="1"/>
    <col min="11267" max="11268" width="20" style="124" customWidth="1"/>
    <col min="11269" max="11269" width="15.140625" style="124" customWidth="1"/>
    <col min="11270" max="11270" width="17.7109375" style="124" customWidth="1"/>
    <col min="11271" max="11519" width="9.140625" style="124"/>
    <col min="11520" max="11520" width="0" style="124" hidden="1" customWidth="1"/>
    <col min="11521" max="11521" width="2.5703125" style="124" customWidth="1"/>
    <col min="11522" max="11522" width="28.7109375" style="124" customWidth="1"/>
    <col min="11523" max="11524" width="20" style="124" customWidth="1"/>
    <col min="11525" max="11525" width="15.140625" style="124" customWidth="1"/>
    <col min="11526" max="11526" width="17.7109375" style="124" customWidth="1"/>
    <col min="11527" max="11775" width="9.140625" style="124"/>
    <col min="11776" max="11776" width="0" style="124" hidden="1" customWidth="1"/>
    <col min="11777" max="11777" width="2.5703125" style="124" customWidth="1"/>
    <col min="11778" max="11778" width="28.7109375" style="124" customWidth="1"/>
    <col min="11779" max="11780" width="20" style="124" customWidth="1"/>
    <col min="11781" max="11781" width="15.140625" style="124" customWidth="1"/>
    <col min="11782" max="11782" width="17.7109375" style="124" customWidth="1"/>
    <col min="11783" max="12031" width="9.140625" style="124"/>
    <col min="12032" max="12032" width="0" style="124" hidden="1" customWidth="1"/>
    <col min="12033" max="12033" width="2.5703125" style="124" customWidth="1"/>
    <col min="12034" max="12034" width="28.7109375" style="124" customWidth="1"/>
    <col min="12035" max="12036" width="20" style="124" customWidth="1"/>
    <col min="12037" max="12037" width="15.140625" style="124" customWidth="1"/>
    <col min="12038" max="12038" width="17.7109375" style="124" customWidth="1"/>
    <col min="12039" max="12287" width="9.140625" style="124"/>
    <col min="12288" max="12288" width="0" style="124" hidden="1" customWidth="1"/>
    <col min="12289" max="12289" width="2.5703125" style="124" customWidth="1"/>
    <col min="12290" max="12290" width="28.7109375" style="124" customWidth="1"/>
    <col min="12291" max="12292" width="20" style="124" customWidth="1"/>
    <col min="12293" max="12293" width="15.140625" style="124" customWidth="1"/>
    <col min="12294" max="12294" width="17.7109375" style="124" customWidth="1"/>
    <col min="12295" max="12543" width="9.140625" style="124"/>
    <col min="12544" max="12544" width="0" style="124" hidden="1" customWidth="1"/>
    <col min="12545" max="12545" width="2.5703125" style="124" customWidth="1"/>
    <col min="12546" max="12546" width="28.7109375" style="124" customWidth="1"/>
    <col min="12547" max="12548" width="20" style="124" customWidth="1"/>
    <col min="12549" max="12549" width="15.140625" style="124" customWidth="1"/>
    <col min="12550" max="12550" width="17.7109375" style="124" customWidth="1"/>
    <col min="12551" max="12799" width="9.140625" style="124"/>
    <col min="12800" max="12800" width="0" style="124" hidden="1" customWidth="1"/>
    <col min="12801" max="12801" width="2.5703125" style="124" customWidth="1"/>
    <col min="12802" max="12802" width="28.7109375" style="124" customWidth="1"/>
    <col min="12803" max="12804" width="20" style="124" customWidth="1"/>
    <col min="12805" max="12805" width="15.140625" style="124" customWidth="1"/>
    <col min="12806" max="12806" width="17.7109375" style="124" customWidth="1"/>
    <col min="12807" max="13055" width="9.140625" style="124"/>
    <col min="13056" max="13056" width="0" style="124" hidden="1" customWidth="1"/>
    <col min="13057" max="13057" width="2.5703125" style="124" customWidth="1"/>
    <col min="13058" max="13058" width="28.7109375" style="124" customWidth="1"/>
    <col min="13059" max="13060" width="20" style="124" customWidth="1"/>
    <col min="13061" max="13061" width="15.140625" style="124" customWidth="1"/>
    <col min="13062" max="13062" width="17.7109375" style="124" customWidth="1"/>
    <col min="13063" max="13311" width="9.140625" style="124"/>
    <col min="13312" max="13312" width="0" style="124" hidden="1" customWidth="1"/>
    <col min="13313" max="13313" width="2.5703125" style="124" customWidth="1"/>
    <col min="13314" max="13314" width="28.7109375" style="124" customWidth="1"/>
    <col min="13315" max="13316" width="20" style="124" customWidth="1"/>
    <col min="13317" max="13317" width="15.140625" style="124" customWidth="1"/>
    <col min="13318" max="13318" width="17.7109375" style="124" customWidth="1"/>
    <col min="13319" max="13567" width="9.140625" style="124"/>
    <col min="13568" max="13568" width="0" style="124" hidden="1" customWidth="1"/>
    <col min="13569" max="13569" width="2.5703125" style="124" customWidth="1"/>
    <col min="13570" max="13570" width="28.7109375" style="124" customWidth="1"/>
    <col min="13571" max="13572" width="20" style="124" customWidth="1"/>
    <col min="13573" max="13573" width="15.140625" style="124" customWidth="1"/>
    <col min="13574" max="13574" width="17.7109375" style="124" customWidth="1"/>
    <col min="13575" max="13823" width="9.140625" style="124"/>
    <col min="13824" max="13824" width="0" style="124" hidden="1" customWidth="1"/>
    <col min="13825" max="13825" width="2.5703125" style="124" customWidth="1"/>
    <col min="13826" max="13826" width="28.7109375" style="124" customWidth="1"/>
    <col min="13827" max="13828" width="20" style="124" customWidth="1"/>
    <col min="13829" max="13829" width="15.140625" style="124" customWidth="1"/>
    <col min="13830" max="13830" width="17.7109375" style="124" customWidth="1"/>
    <col min="13831" max="14079" width="9.140625" style="124"/>
    <col min="14080" max="14080" width="0" style="124" hidden="1" customWidth="1"/>
    <col min="14081" max="14081" width="2.5703125" style="124" customWidth="1"/>
    <col min="14082" max="14082" width="28.7109375" style="124" customWidth="1"/>
    <col min="14083" max="14084" width="20" style="124" customWidth="1"/>
    <col min="14085" max="14085" width="15.140625" style="124" customWidth="1"/>
    <col min="14086" max="14086" width="17.7109375" style="124" customWidth="1"/>
    <col min="14087" max="14335" width="9.140625" style="124"/>
    <col min="14336" max="14336" width="0" style="124" hidden="1" customWidth="1"/>
    <col min="14337" max="14337" width="2.5703125" style="124" customWidth="1"/>
    <col min="14338" max="14338" width="28.7109375" style="124" customWidth="1"/>
    <col min="14339" max="14340" width="20" style="124" customWidth="1"/>
    <col min="14341" max="14341" width="15.140625" style="124" customWidth="1"/>
    <col min="14342" max="14342" width="17.7109375" style="124" customWidth="1"/>
    <col min="14343" max="14591" width="9.140625" style="124"/>
    <col min="14592" max="14592" width="0" style="124" hidden="1" customWidth="1"/>
    <col min="14593" max="14593" width="2.5703125" style="124" customWidth="1"/>
    <col min="14594" max="14594" width="28.7109375" style="124" customWidth="1"/>
    <col min="14595" max="14596" width="20" style="124" customWidth="1"/>
    <col min="14597" max="14597" width="15.140625" style="124" customWidth="1"/>
    <col min="14598" max="14598" width="17.7109375" style="124" customWidth="1"/>
    <col min="14599" max="14847" width="9.140625" style="124"/>
    <col min="14848" max="14848" width="0" style="124" hidden="1" customWidth="1"/>
    <col min="14849" max="14849" width="2.5703125" style="124" customWidth="1"/>
    <col min="14850" max="14850" width="28.7109375" style="124" customWidth="1"/>
    <col min="14851" max="14852" width="20" style="124" customWidth="1"/>
    <col min="14853" max="14853" width="15.140625" style="124" customWidth="1"/>
    <col min="14854" max="14854" width="17.7109375" style="124" customWidth="1"/>
    <col min="14855" max="15103" width="9.140625" style="124"/>
    <col min="15104" max="15104" width="0" style="124" hidden="1" customWidth="1"/>
    <col min="15105" max="15105" width="2.5703125" style="124" customWidth="1"/>
    <col min="15106" max="15106" width="28.7109375" style="124" customWidth="1"/>
    <col min="15107" max="15108" width="20" style="124" customWidth="1"/>
    <col min="15109" max="15109" width="15.140625" style="124" customWidth="1"/>
    <col min="15110" max="15110" width="17.7109375" style="124" customWidth="1"/>
    <col min="15111" max="15359" width="9.140625" style="124"/>
    <col min="15360" max="15360" width="0" style="124" hidden="1" customWidth="1"/>
    <col min="15361" max="15361" width="2.5703125" style="124" customWidth="1"/>
    <col min="15362" max="15362" width="28.7109375" style="124" customWidth="1"/>
    <col min="15363" max="15364" width="20" style="124" customWidth="1"/>
    <col min="15365" max="15365" width="15.140625" style="124" customWidth="1"/>
    <col min="15366" max="15366" width="17.7109375" style="124" customWidth="1"/>
    <col min="15367" max="15615" width="9.140625" style="124"/>
    <col min="15616" max="15616" width="0" style="124" hidden="1" customWidth="1"/>
    <col min="15617" max="15617" width="2.5703125" style="124" customWidth="1"/>
    <col min="15618" max="15618" width="28.7109375" style="124" customWidth="1"/>
    <col min="15619" max="15620" width="20" style="124" customWidth="1"/>
    <col min="15621" max="15621" width="15.140625" style="124" customWidth="1"/>
    <col min="15622" max="15622" width="17.7109375" style="124" customWidth="1"/>
    <col min="15623" max="15871" width="9.140625" style="124"/>
    <col min="15872" max="15872" width="0" style="124" hidden="1" customWidth="1"/>
    <col min="15873" max="15873" width="2.5703125" style="124" customWidth="1"/>
    <col min="15874" max="15874" width="28.7109375" style="124" customWidth="1"/>
    <col min="15875" max="15876" width="20" style="124" customWidth="1"/>
    <col min="15877" max="15877" width="15.140625" style="124" customWidth="1"/>
    <col min="15878" max="15878" width="17.7109375" style="124" customWidth="1"/>
    <col min="15879" max="16127" width="9.140625" style="124"/>
    <col min="16128" max="16128" width="0" style="124" hidden="1" customWidth="1"/>
    <col min="16129" max="16129" width="2.5703125" style="124" customWidth="1"/>
    <col min="16130" max="16130" width="28.7109375" style="124" customWidth="1"/>
    <col min="16131" max="16132" width="20" style="124" customWidth="1"/>
    <col min="16133" max="16133" width="15.140625" style="124" customWidth="1"/>
    <col min="16134" max="16134" width="17.7109375" style="124" customWidth="1"/>
    <col min="16135" max="16384" width="9.140625" style="124"/>
  </cols>
  <sheetData>
    <row r="1" spans="1:9" ht="60" customHeight="1">
      <c r="B1" s="196" t="s">
        <v>99</v>
      </c>
      <c r="C1" s="196"/>
      <c r="D1" s="196"/>
      <c r="E1" s="196"/>
      <c r="F1" s="196"/>
    </row>
    <row r="2" spans="1:9" ht="14.25">
      <c r="B2" s="197"/>
      <c r="C2" s="198" t="s">
        <v>1</v>
      </c>
      <c r="D2" s="200" t="s">
        <v>2</v>
      </c>
      <c r="E2" s="200"/>
    </row>
    <row r="3" spans="1:9" ht="27">
      <c r="A3" s="4"/>
      <c r="B3" s="197"/>
      <c r="C3" s="199"/>
      <c r="D3" s="125" t="s">
        <v>3</v>
      </c>
      <c r="E3" s="125" t="s">
        <v>4</v>
      </c>
      <c r="F3" s="125" t="s">
        <v>5</v>
      </c>
    </row>
    <row r="4" spans="1:9" ht="24" customHeight="1">
      <c r="A4" s="4"/>
      <c r="B4" s="126" t="s">
        <v>6</v>
      </c>
      <c r="C4" s="127">
        <v>3383</v>
      </c>
      <c r="D4" s="127">
        <v>665</v>
      </c>
      <c r="E4" s="127">
        <v>60</v>
      </c>
      <c r="F4" s="127">
        <v>0</v>
      </c>
    </row>
    <row r="5" spans="1:9" s="129" customFormat="1" ht="25.5" customHeight="1">
      <c r="A5" s="9"/>
      <c r="B5" s="128" t="s">
        <v>7</v>
      </c>
      <c r="C5" s="127">
        <v>2337</v>
      </c>
      <c r="D5" s="127">
        <v>447</v>
      </c>
      <c r="E5" s="127">
        <v>42</v>
      </c>
      <c r="F5" s="127">
        <v>0</v>
      </c>
    </row>
    <row r="6" spans="1:9" ht="12.75" customHeight="1">
      <c r="A6" s="12">
        <v>51</v>
      </c>
      <c r="B6" s="130" t="s">
        <v>8</v>
      </c>
      <c r="C6" s="165">
        <v>79</v>
      </c>
      <c r="D6" s="165">
        <v>18</v>
      </c>
      <c r="E6" s="165">
        <v>0</v>
      </c>
      <c r="F6" s="165">
        <v>0</v>
      </c>
    </row>
    <row r="7" spans="1:9" ht="12.75" customHeight="1">
      <c r="A7" s="12">
        <v>52</v>
      </c>
      <c r="B7" s="130" t="s">
        <v>9</v>
      </c>
      <c r="C7" s="165">
        <v>72</v>
      </c>
      <c r="D7" s="165">
        <v>15</v>
      </c>
      <c r="E7" s="165">
        <v>0</v>
      </c>
      <c r="F7" s="165">
        <v>0</v>
      </c>
    </row>
    <row r="8" spans="1:9">
      <c r="A8" s="12">
        <v>86</v>
      </c>
      <c r="B8" s="130" t="s">
        <v>10</v>
      </c>
      <c r="C8" s="165">
        <v>60</v>
      </c>
      <c r="D8" s="165">
        <v>9</v>
      </c>
      <c r="E8" s="165">
        <v>2</v>
      </c>
      <c r="F8" s="165">
        <v>0</v>
      </c>
    </row>
    <row r="9" spans="1:9" ht="12.75" customHeight="1">
      <c r="A9" s="12">
        <v>53</v>
      </c>
      <c r="B9" s="130" t="s">
        <v>11</v>
      </c>
      <c r="C9" s="165">
        <v>40</v>
      </c>
      <c r="D9" s="165">
        <v>11</v>
      </c>
      <c r="E9" s="165">
        <v>1</v>
      </c>
      <c r="F9" s="165">
        <v>0</v>
      </c>
    </row>
    <row r="10" spans="1:9" ht="12.75" customHeight="1">
      <c r="A10" s="12">
        <v>54</v>
      </c>
      <c r="B10" s="130" t="s">
        <v>12</v>
      </c>
      <c r="C10" s="165">
        <v>87</v>
      </c>
      <c r="D10" s="165">
        <v>8</v>
      </c>
      <c r="E10" s="165">
        <v>0</v>
      </c>
      <c r="F10" s="165">
        <v>0</v>
      </c>
    </row>
    <row r="11" spans="1:9" ht="12.75" customHeight="1">
      <c r="A11" s="12">
        <v>55</v>
      </c>
      <c r="B11" s="130" t="s">
        <v>13</v>
      </c>
      <c r="C11" s="165">
        <v>45</v>
      </c>
      <c r="D11" s="165">
        <v>5</v>
      </c>
      <c r="E11" s="165">
        <v>2</v>
      </c>
      <c r="F11" s="165">
        <v>0</v>
      </c>
    </row>
    <row r="12" spans="1:9" ht="12.75" customHeight="1">
      <c r="A12" s="12">
        <v>56</v>
      </c>
      <c r="B12" s="130" t="s">
        <v>14</v>
      </c>
      <c r="C12" s="165">
        <v>45</v>
      </c>
      <c r="D12" s="165">
        <v>2</v>
      </c>
      <c r="E12" s="165">
        <v>2</v>
      </c>
      <c r="F12" s="165">
        <v>0</v>
      </c>
      <c r="I12" s="174"/>
    </row>
    <row r="13" spans="1:9" ht="12.75" customHeight="1">
      <c r="A13" s="12">
        <v>57</v>
      </c>
      <c r="B13" s="130" t="s">
        <v>15</v>
      </c>
      <c r="C13" s="165">
        <v>38</v>
      </c>
      <c r="D13" s="165">
        <v>3</v>
      </c>
      <c r="E13" s="165">
        <v>0</v>
      </c>
      <c r="F13" s="165">
        <v>0</v>
      </c>
      <c r="I13" s="174"/>
    </row>
    <row r="14" spans="1:9" ht="12.75" customHeight="1">
      <c r="A14" s="12">
        <v>59</v>
      </c>
      <c r="B14" s="130" t="s">
        <v>16</v>
      </c>
      <c r="C14" s="165">
        <v>33</v>
      </c>
      <c r="D14" s="165">
        <v>6</v>
      </c>
      <c r="E14" s="165">
        <v>0</v>
      </c>
      <c r="F14" s="165">
        <v>0</v>
      </c>
    </row>
    <row r="15" spans="1:9" ht="12.75" customHeight="1">
      <c r="A15" s="12">
        <v>60</v>
      </c>
      <c r="B15" s="130" t="s">
        <v>17</v>
      </c>
      <c r="C15" s="165">
        <v>40</v>
      </c>
      <c r="D15" s="165">
        <v>7</v>
      </c>
      <c r="E15" s="165">
        <v>0</v>
      </c>
      <c r="F15" s="165">
        <v>0</v>
      </c>
    </row>
    <row r="16" spans="1:9" ht="12.75" customHeight="1">
      <c r="A16" s="12">
        <v>61</v>
      </c>
      <c r="B16" s="132" t="s">
        <v>18</v>
      </c>
      <c r="C16" s="165">
        <v>80</v>
      </c>
      <c r="D16" s="165">
        <v>13</v>
      </c>
      <c r="E16" s="165">
        <v>3</v>
      </c>
      <c r="F16" s="165">
        <v>0</v>
      </c>
    </row>
    <row r="17" spans="1:9" s="184" customFormat="1" ht="12.75" customHeight="1">
      <c r="A17" s="12"/>
      <c r="B17" s="132" t="s">
        <v>125</v>
      </c>
      <c r="C17" s="165" t="s">
        <v>126</v>
      </c>
      <c r="D17" s="165" t="s">
        <v>126</v>
      </c>
      <c r="E17" s="165" t="s">
        <v>126</v>
      </c>
      <c r="F17" s="165" t="s">
        <v>126</v>
      </c>
    </row>
    <row r="18" spans="1:9" ht="12.75" customHeight="1">
      <c r="A18" s="12">
        <v>62</v>
      </c>
      <c r="B18" s="130" t="s">
        <v>19</v>
      </c>
      <c r="C18" s="165">
        <v>68</v>
      </c>
      <c r="D18" s="165">
        <v>8</v>
      </c>
      <c r="E18" s="165">
        <v>0</v>
      </c>
      <c r="F18" s="165">
        <v>0</v>
      </c>
    </row>
    <row r="19" spans="1:9" ht="12.75" customHeight="1">
      <c r="A19" s="12">
        <v>58</v>
      </c>
      <c r="B19" s="130" t="s">
        <v>20</v>
      </c>
      <c r="C19" s="165">
        <v>15</v>
      </c>
      <c r="D19" s="165">
        <v>2</v>
      </c>
      <c r="E19" s="165">
        <v>0</v>
      </c>
      <c r="F19" s="165">
        <v>0</v>
      </c>
    </row>
    <row r="20" spans="1:9" ht="12.75" customHeight="1">
      <c r="A20" s="12">
        <v>63</v>
      </c>
      <c r="B20" s="130" t="s">
        <v>21</v>
      </c>
      <c r="C20" s="165">
        <v>88</v>
      </c>
      <c r="D20" s="165">
        <v>16</v>
      </c>
      <c r="E20" s="165">
        <v>0</v>
      </c>
      <c r="F20" s="165">
        <v>0</v>
      </c>
    </row>
    <row r="21" spans="1:9" ht="12.75" customHeight="1">
      <c r="A21" s="12">
        <v>64</v>
      </c>
      <c r="B21" s="130" t="s">
        <v>22</v>
      </c>
      <c r="C21" s="165">
        <v>144</v>
      </c>
      <c r="D21" s="165">
        <v>39</v>
      </c>
      <c r="E21" s="165">
        <v>6</v>
      </c>
      <c r="F21" s="165">
        <v>0</v>
      </c>
    </row>
    <row r="22" spans="1:9">
      <c r="A22" s="12">
        <v>65</v>
      </c>
      <c r="B22" s="130" t="s">
        <v>23</v>
      </c>
      <c r="C22" s="165">
        <v>63</v>
      </c>
      <c r="D22" s="165">
        <v>12</v>
      </c>
      <c r="E22" s="165">
        <v>1</v>
      </c>
      <c r="F22" s="165">
        <v>0</v>
      </c>
    </row>
    <row r="23" spans="1:9" ht="12.75" customHeight="1">
      <c r="A23" s="12">
        <v>67</v>
      </c>
      <c r="B23" s="130" t="s">
        <v>24</v>
      </c>
      <c r="C23" s="165">
        <v>93</v>
      </c>
      <c r="D23" s="165">
        <v>21</v>
      </c>
      <c r="E23" s="165">
        <v>7</v>
      </c>
      <c r="F23" s="165">
        <v>0</v>
      </c>
    </row>
    <row r="24" spans="1:9">
      <c r="A24" s="12">
        <v>68</v>
      </c>
      <c r="B24" s="130" t="s">
        <v>25</v>
      </c>
      <c r="C24" s="165">
        <v>88</v>
      </c>
      <c r="D24" s="165">
        <v>19</v>
      </c>
      <c r="E24" s="165">
        <v>2</v>
      </c>
      <c r="F24" s="165">
        <v>0</v>
      </c>
    </row>
    <row r="25" spans="1:9">
      <c r="A25" s="12">
        <v>69</v>
      </c>
      <c r="B25" s="130" t="s">
        <v>26</v>
      </c>
      <c r="C25" s="165">
        <v>65</v>
      </c>
      <c r="D25" s="165">
        <v>17</v>
      </c>
      <c r="E25" s="165">
        <v>3</v>
      </c>
      <c r="F25" s="165">
        <v>0</v>
      </c>
    </row>
    <row r="26" spans="1:9">
      <c r="A26" s="12">
        <v>70</v>
      </c>
      <c r="B26" s="130" t="s">
        <v>27</v>
      </c>
      <c r="C26" s="165">
        <v>74</v>
      </c>
      <c r="D26" s="165">
        <v>12</v>
      </c>
      <c r="E26" s="165">
        <v>3</v>
      </c>
      <c r="F26" s="165">
        <v>0</v>
      </c>
    </row>
    <row r="27" spans="1:9">
      <c r="A27" s="12">
        <v>71</v>
      </c>
      <c r="B27" s="133" t="s">
        <v>28</v>
      </c>
      <c r="C27" s="165">
        <v>12</v>
      </c>
      <c r="D27" s="165">
        <v>4</v>
      </c>
      <c r="E27" s="165">
        <v>0</v>
      </c>
      <c r="F27" s="165">
        <v>0</v>
      </c>
    </row>
    <row r="28" spans="1:9">
      <c r="A28" s="12">
        <v>73</v>
      </c>
      <c r="B28" s="130" t="s">
        <v>29</v>
      </c>
      <c r="C28" s="134">
        <v>75</v>
      </c>
      <c r="D28" s="134">
        <v>14</v>
      </c>
      <c r="E28" s="134">
        <v>0</v>
      </c>
      <c r="F28" s="134">
        <v>0</v>
      </c>
    </row>
    <row r="29" spans="1:9">
      <c r="A29" s="12">
        <v>74</v>
      </c>
      <c r="B29" s="130" t="s">
        <v>30</v>
      </c>
      <c r="C29" s="165">
        <v>62</v>
      </c>
      <c r="D29" s="165">
        <v>16</v>
      </c>
      <c r="E29" s="165">
        <v>0</v>
      </c>
      <c r="F29" s="165">
        <v>0</v>
      </c>
    </row>
    <row r="30" spans="1:9">
      <c r="A30" s="12">
        <v>75</v>
      </c>
      <c r="B30" s="130" t="s">
        <v>31</v>
      </c>
      <c r="C30" s="165">
        <v>56</v>
      </c>
      <c r="D30" s="165">
        <v>13</v>
      </c>
      <c r="E30" s="165">
        <v>0</v>
      </c>
      <c r="F30" s="165">
        <v>0</v>
      </c>
    </row>
    <row r="31" spans="1:9">
      <c r="A31" s="12">
        <v>76</v>
      </c>
      <c r="B31" s="130" t="s">
        <v>32</v>
      </c>
      <c r="C31" s="165">
        <v>31</v>
      </c>
      <c r="D31" s="165">
        <v>8</v>
      </c>
      <c r="E31" s="165">
        <v>2</v>
      </c>
      <c r="F31" s="165">
        <v>0</v>
      </c>
    </row>
    <row r="32" spans="1:9">
      <c r="A32" s="12">
        <v>79</v>
      </c>
      <c r="B32" s="130" t="s">
        <v>33</v>
      </c>
      <c r="C32" s="165">
        <v>76</v>
      </c>
      <c r="D32" s="165">
        <v>25</v>
      </c>
      <c r="E32" s="165">
        <v>0</v>
      </c>
      <c r="F32" s="165">
        <v>0</v>
      </c>
      <c r="I32" s="175"/>
    </row>
    <row r="33" spans="1:6">
      <c r="A33" s="12">
        <v>80</v>
      </c>
      <c r="B33" s="130" t="s">
        <v>34</v>
      </c>
      <c r="C33" s="165">
        <v>64</v>
      </c>
      <c r="D33" s="165">
        <v>11</v>
      </c>
      <c r="E33" s="165">
        <v>0</v>
      </c>
      <c r="F33" s="165">
        <v>0</v>
      </c>
    </row>
    <row r="34" spans="1:6">
      <c r="A34" s="12">
        <v>81</v>
      </c>
      <c r="B34" s="130" t="s">
        <v>35</v>
      </c>
      <c r="C34" s="165">
        <v>86</v>
      </c>
      <c r="D34" s="165">
        <v>9</v>
      </c>
      <c r="E34" s="165">
        <v>0</v>
      </c>
      <c r="F34" s="165">
        <v>0</v>
      </c>
    </row>
    <row r="35" spans="1:6">
      <c r="A35" s="12">
        <v>83</v>
      </c>
      <c r="B35" s="130" t="s">
        <v>36</v>
      </c>
      <c r="C35" s="165">
        <v>26</v>
      </c>
      <c r="D35" s="165">
        <v>6</v>
      </c>
      <c r="E35" s="165">
        <v>0</v>
      </c>
      <c r="F35" s="165">
        <v>0</v>
      </c>
    </row>
    <row r="36" spans="1:6">
      <c r="A36" s="12">
        <v>84</v>
      </c>
      <c r="B36" s="130" t="s">
        <v>37</v>
      </c>
      <c r="C36" s="165">
        <v>61</v>
      </c>
      <c r="D36" s="165">
        <v>17</v>
      </c>
      <c r="E36" s="165">
        <v>2</v>
      </c>
      <c r="F36" s="165">
        <v>0</v>
      </c>
    </row>
    <row r="37" spans="1:6">
      <c r="A37" s="12">
        <v>85</v>
      </c>
      <c r="B37" s="130" t="s">
        <v>38</v>
      </c>
      <c r="C37" s="165">
        <v>62</v>
      </c>
      <c r="D37" s="165">
        <v>4</v>
      </c>
      <c r="E37" s="165">
        <v>2</v>
      </c>
      <c r="F37" s="165">
        <v>0</v>
      </c>
    </row>
    <row r="38" spans="1:6">
      <c r="A38" s="12">
        <v>87</v>
      </c>
      <c r="B38" s="130" t="s">
        <v>39</v>
      </c>
      <c r="C38" s="165">
        <v>45</v>
      </c>
      <c r="D38" s="165">
        <v>9</v>
      </c>
      <c r="E38" s="165">
        <v>0</v>
      </c>
      <c r="F38" s="165">
        <v>0</v>
      </c>
    </row>
    <row r="39" spans="1:6">
      <c r="A39" s="12">
        <v>90</v>
      </c>
      <c r="B39" s="130" t="s">
        <v>40</v>
      </c>
      <c r="C39" s="165">
        <v>90</v>
      </c>
      <c r="D39" s="165">
        <v>13</v>
      </c>
      <c r="E39" s="165">
        <v>0</v>
      </c>
      <c r="F39" s="165">
        <v>0</v>
      </c>
    </row>
    <row r="40" spans="1:6">
      <c r="A40" s="12">
        <v>91</v>
      </c>
      <c r="B40" s="130" t="s">
        <v>41</v>
      </c>
      <c r="C40" s="165">
        <v>73</v>
      </c>
      <c r="D40" s="165">
        <v>4</v>
      </c>
      <c r="E40" s="165">
        <v>1</v>
      </c>
      <c r="F40" s="165">
        <v>0</v>
      </c>
    </row>
    <row r="41" spans="1:6">
      <c r="A41" s="12">
        <v>92</v>
      </c>
      <c r="B41" s="130" t="s">
        <v>42</v>
      </c>
      <c r="C41" s="165">
        <v>75</v>
      </c>
      <c r="D41" s="165">
        <v>18</v>
      </c>
      <c r="E41" s="165">
        <v>1</v>
      </c>
      <c r="F41" s="165">
        <v>0</v>
      </c>
    </row>
    <row r="42" spans="1:6">
      <c r="A42" s="12">
        <v>94</v>
      </c>
      <c r="B42" s="130" t="s">
        <v>43</v>
      </c>
      <c r="C42" s="165">
        <v>46</v>
      </c>
      <c r="D42" s="165">
        <v>15</v>
      </c>
      <c r="E42" s="165">
        <v>0</v>
      </c>
      <c r="F42" s="165">
        <v>0</v>
      </c>
    </row>
    <row r="43" spans="1:6">
      <c r="A43" s="12">
        <v>96</v>
      </c>
      <c r="B43" s="130" t="s">
        <v>44</v>
      </c>
      <c r="C43" s="165">
        <v>48</v>
      </c>
      <c r="D43" s="165">
        <v>11</v>
      </c>
      <c r="E43" s="165">
        <v>1</v>
      </c>
      <c r="F43" s="165">
        <v>0</v>
      </c>
    </row>
    <row r="44" spans="1:6">
      <c r="A44" s="12">
        <v>98</v>
      </c>
      <c r="B44" s="130" t="s">
        <v>45</v>
      </c>
      <c r="C44" s="165">
        <v>31</v>
      </c>
      <c r="D44" s="165">
        <v>7</v>
      </c>
      <c r="E44" s="165">
        <v>0</v>
      </c>
      <c r="F44" s="165">
        <v>0</v>
      </c>
    </row>
    <row r="45" spans="1:6">
      <c r="A45" s="12">
        <v>72</v>
      </c>
      <c r="B45" s="133" t="s">
        <v>46</v>
      </c>
      <c r="C45" s="165">
        <v>1</v>
      </c>
      <c r="D45" s="165">
        <v>0</v>
      </c>
      <c r="E45" s="165">
        <v>1</v>
      </c>
      <c r="F45" s="165">
        <v>0</v>
      </c>
    </row>
    <row r="46" spans="1:6" s="129" customFormat="1" ht="25.5" customHeight="1">
      <c r="B46" s="126" t="s">
        <v>47</v>
      </c>
      <c r="C46" s="127">
        <v>1046</v>
      </c>
      <c r="D46" s="127">
        <v>218</v>
      </c>
      <c r="E46" s="127">
        <v>18</v>
      </c>
      <c r="F46" s="127">
        <v>0</v>
      </c>
    </row>
    <row r="47" spans="1:6" ht="12.75" customHeight="1">
      <c r="A47" s="12">
        <v>66</v>
      </c>
      <c r="B47" s="136" t="s">
        <v>48</v>
      </c>
      <c r="C47" s="165">
        <v>117</v>
      </c>
      <c r="D47" s="165">
        <v>25</v>
      </c>
      <c r="E47" s="165">
        <v>1</v>
      </c>
      <c r="F47" s="165">
        <v>0</v>
      </c>
    </row>
    <row r="48" spans="1:6" ht="12.75" customHeight="1">
      <c r="A48" s="12">
        <v>78</v>
      </c>
      <c r="B48" s="130" t="s">
        <v>49</v>
      </c>
      <c r="C48" s="165">
        <v>58</v>
      </c>
      <c r="D48" s="165">
        <v>7</v>
      </c>
      <c r="E48" s="165">
        <v>2</v>
      </c>
      <c r="F48" s="165">
        <v>0</v>
      </c>
    </row>
    <row r="49" spans="1:6" ht="12.75" customHeight="1">
      <c r="A49" s="12">
        <v>89</v>
      </c>
      <c r="B49" s="130" t="s">
        <v>50</v>
      </c>
      <c r="C49" s="165">
        <v>86</v>
      </c>
      <c r="D49" s="165">
        <v>5</v>
      </c>
      <c r="E49" s="165">
        <v>0</v>
      </c>
      <c r="F49" s="165">
        <v>0</v>
      </c>
    </row>
    <row r="50" spans="1:6" ht="12.75" customHeight="1">
      <c r="A50" s="12">
        <v>93</v>
      </c>
      <c r="B50" s="130" t="s">
        <v>51</v>
      </c>
      <c r="C50" s="165">
        <v>29</v>
      </c>
      <c r="D50" s="165">
        <v>13</v>
      </c>
      <c r="E50" s="165">
        <v>0</v>
      </c>
      <c r="F50" s="165">
        <v>0</v>
      </c>
    </row>
    <row r="51" spans="1:6" ht="12.75" customHeight="1">
      <c r="A51" s="12">
        <v>95</v>
      </c>
      <c r="B51" s="130" t="s">
        <v>52</v>
      </c>
      <c r="C51" s="165">
        <v>109</v>
      </c>
      <c r="D51" s="165">
        <v>17</v>
      </c>
      <c r="E51" s="165">
        <v>4</v>
      </c>
      <c r="F51" s="165">
        <v>0</v>
      </c>
    </row>
    <row r="52" spans="1:6" ht="12.75" customHeight="1">
      <c r="A52" s="12">
        <v>97</v>
      </c>
      <c r="B52" s="130" t="s">
        <v>53</v>
      </c>
      <c r="C52" s="165">
        <v>158</v>
      </c>
      <c r="D52" s="165">
        <v>18</v>
      </c>
      <c r="E52" s="165">
        <v>1</v>
      </c>
      <c r="F52" s="165">
        <v>0</v>
      </c>
    </row>
    <row r="53" spans="1:6" ht="12.75" customHeight="1">
      <c r="A53" s="12">
        <v>77</v>
      </c>
      <c r="B53" s="137" t="s">
        <v>54</v>
      </c>
      <c r="C53" s="166">
        <v>489</v>
      </c>
      <c r="D53" s="166">
        <v>133</v>
      </c>
      <c r="E53" s="166">
        <v>10</v>
      </c>
      <c r="F53" s="166">
        <v>0</v>
      </c>
    </row>
    <row r="55" spans="1:6" ht="12.75" customHeight="1">
      <c r="B55" s="12" t="s">
        <v>55</v>
      </c>
      <c r="C55" s="139"/>
    </row>
    <row r="56" spans="1:6" ht="12.75" customHeight="1">
      <c r="B56" s="201" t="s">
        <v>56</v>
      </c>
      <c r="C56" s="202"/>
      <c r="D56" s="202"/>
      <c r="E56" s="202"/>
      <c r="F56" s="202"/>
    </row>
    <row r="57" spans="1:6" ht="12.75" customHeight="1">
      <c r="B57" s="202"/>
      <c r="C57" s="202"/>
      <c r="D57" s="202"/>
      <c r="E57" s="202"/>
      <c r="F57" s="202"/>
    </row>
    <row r="58" spans="1:6" ht="12.75" customHeight="1">
      <c r="B58" s="202"/>
      <c r="C58" s="202"/>
      <c r="D58" s="202"/>
      <c r="E58" s="202"/>
      <c r="F58" s="202"/>
    </row>
    <row r="59" spans="1:6" ht="12.75" customHeight="1">
      <c r="B59" s="202"/>
      <c r="C59" s="202"/>
      <c r="D59" s="202"/>
      <c r="E59" s="202"/>
      <c r="F59" s="202"/>
    </row>
    <row r="60" spans="1:6" ht="12.75" customHeight="1">
      <c r="B60" s="202"/>
      <c r="C60" s="202"/>
      <c r="D60" s="202"/>
      <c r="E60" s="202"/>
      <c r="F60" s="202"/>
    </row>
    <row r="61" spans="1:6" ht="12.75" customHeight="1">
      <c r="B61" s="202"/>
      <c r="C61" s="202"/>
      <c r="D61" s="202"/>
      <c r="E61" s="202"/>
      <c r="F61" s="202"/>
    </row>
    <row r="62" spans="1:6" ht="39" customHeight="1">
      <c r="B62" s="202"/>
      <c r="C62" s="202"/>
      <c r="D62" s="202"/>
      <c r="E62" s="202"/>
      <c r="F62" s="202"/>
    </row>
    <row r="63" spans="1:6" ht="12.75" customHeight="1">
      <c r="B63" s="23"/>
      <c r="C63" s="23"/>
      <c r="D63" s="23"/>
      <c r="E63" s="23"/>
      <c r="F63" s="23"/>
    </row>
    <row r="64" spans="1:6" ht="12.75" customHeight="1">
      <c r="B64" s="140" t="s">
        <v>57</v>
      </c>
      <c r="C64" s="141"/>
      <c r="D64" s="141"/>
      <c r="E64" s="141"/>
    </row>
    <row r="65" spans="2:5">
      <c r="B65" s="142"/>
      <c r="C65" s="141"/>
      <c r="D65" s="141"/>
      <c r="E65" s="141"/>
    </row>
    <row r="66" spans="2:5">
      <c r="C66" s="141"/>
      <c r="D66" s="141"/>
      <c r="E66" s="141"/>
    </row>
    <row r="67" spans="2:5">
      <c r="B67" s="143"/>
      <c r="C67" s="141"/>
      <c r="D67" s="141"/>
      <c r="E67" s="141"/>
    </row>
    <row r="68" spans="2:5">
      <c r="C68" s="141"/>
      <c r="D68" s="141"/>
      <c r="E68" s="141"/>
    </row>
  </sheetData>
  <mergeCells count="5">
    <mergeCell ref="B1:F1"/>
    <mergeCell ref="B2:B3"/>
    <mergeCell ref="C2:C3"/>
    <mergeCell ref="D2:E2"/>
    <mergeCell ref="B56:F62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40</vt:i4>
      </vt:variant>
      <vt:variant>
        <vt:lpstr>Named Ranges</vt:lpstr>
      </vt:variant>
      <vt:variant>
        <vt:i4>32</vt:i4>
      </vt:variant>
    </vt:vector>
  </HeadingPairs>
  <TitlesOfParts>
    <vt:vector size="72" baseType="lpstr">
      <vt:lpstr>(2009-10a)</vt:lpstr>
      <vt:lpstr>(2009-10b)</vt:lpstr>
      <vt:lpstr>(2009-10c)</vt:lpstr>
      <vt:lpstr>(2009-10d)</vt:lpstr>
      <vt:lpstr>(2010-11a)</vt:lpstr>
      <vt:lpstr>(2010-11b)</vt:lpstr>
      <vt:lpstr>(2010-11c)</vt:lpstr>
      <vt:lpstr>(2010-11d)</vt:lpstr>
      <vt:lpstr>(2011-12a)</vt:lpstr>
      <vt:lpstr>(2011-12b)</vt:lpstr>
      <vt:lpstr>(2011-12c)</vt:lpstr>
      <vt:lpstr>(2011-12d)</vt:lpstr>
      <vt:lpstr>(2012-13a)</vt:lpstr>
      <vt:lpstr>(2012-13b)</vt:lpstr>
      <vt:lpstr>(2012-13c)</vt:lpstr>
      <vt:lpstr>(2012-13d)</vt:lpstr>
      <vt:lpstr>(2013-14a)</vt:lpstr>
      <vt:lpstr>(2013-14b)</vt:lpstr>
      <vt:lpstr>(2013-14c)</vt:lpstr>
      <vt:lpstr>(2013-14d)</vt:lpstr>
      <vt:lpstr>(2014-15a)</vt:lpstr>
      <vt:lpstr>(2014-15b)</vt:lpstr>
      <vt:lpstr>(2014-15c)</vt:lpstr>
      <vt:lpstr>(2014-15d)</vt:lpstr>
      <vt:lpstr>(2015-16a)</vt:lpstr>
      <vt:lpstr>(2015-16b)</vt:lpstr>
      <vt:lpstr>(2015-16c)</vt:lpstr>
      <vt:lpstr>(2015-16d)</vt:lpstr>
      <vt:lpstr>(2016-17a)</vt:lpstr>
      <vt:lpstr>(2016-17b)</vt:lpstr>
      <vt:lpstr>(2016-17c)</vt:lpstr>
      <vt:lpstr>(2016-17d)</vt:lpstr>
      <vt:lpstr>FIRE0508a raw</vt:lpstr>
      <vt:lpstr>FIRE0508b raw</vt:lpstr>
      <vt:lpstr>FIRE0508c raw</vt:lpstr>
      <vt:lpstr>FIRE0508d raw</vt:lpstr>
      <vt:lpstr>FIRE0508a</vt:lpstr>
      <vt:lpstr>FIRE0508b</vt:lpstr>
      <vt:lpstr>FIRE0508c</vt:lpstr>
      <vt:lpstr>FIRE0508d</vt:lpstr>
      <vt:lpstr>'(2009-10a)'!Print_Area</vt:lpstr>
      <vt:lpstr>'(2009-10b)'!Print_Area</vt:lpstr>
      <vt:lpstr>'(2009-10c)'!Print_Area</vt:lpstr>
      <vt:lpstr>'(2009-10d)'!Print_Area</vt:lpstr>
      <vt:lpstr>'(2010-11a)'!Print_Area</vt:lpstr>
      <vt:lpstr>'(2010-11b)'!Print_Area</vt:lpstr>
      <vt:lpstr>'(2010-11c)'!Print_Area</vt:lpstr>
      <vt:lpstr>'(2010-11d)'!Print_Area</vt:lpstr>
      <vt:lpstr>'(2011-12a)'!Print_Area</vt:lpstr>
      <vt:lpstr>'(2011-12b)'!Print_Area</vt:lpstr>
      <vt:lpstr>'(2011-12c)'!Print_Area</vt:lpstr>
      <vt:lpstr>'(2011-12d)'!Print_Area</vt:lpstr>
      <vt:lpstr>'(2012-13a)'!Print_Area</vt:lpstr>
      <vt:lpstr>'(2012-13b)'!Print_Area</vt:lpstr>
      <vt:lpstr>'(2012-13c)'!Print_Area</vt:lpstr>
      <vt:lpstr>'(2012-13d)'!Print_Area</vt:lpstr>
      <vt:lpstr>'(2013-14a)'!Print_Area</vt:lpstr>
      <vt:lpstr>'(2013-14b)'!Print_Area</vt:lpstr>
      <vt:lpstr>'(2013-14c)'!Print_Area</vt:lpstr>
      <vt:lpstr>'(2013-14d)'!Print_Area</vt:lpstr>
      <vt:lpstr>'(2014-15a)'!Print_Area</vt:lpstr>
      <vt:lpstr>'(2014-15b)'!Print_Area</vt:lpstr>
      <vt:lpstr>'(2014-15c)'!Print_Area</vt:lpstr>
      <vt:lpstr>'(2014-15d)'!Print_Area</vt:lpstr>
      <vt:lpstr>'(2015-16a)'!Print_Area</vt:lpstr>
      <vt:lpstr>'(2015-16b)'!Print_Area</vt:lpstr>
      <vt:lpstr>'(2015-16c)'!Print_Area</vt:lpstr>
      <vt:lpstr>'(2015-16d)'!Print_Area</vt:lpstr>
      <vt:lpstr>'(2016-17a)'!Print_Area</vt:lpstr>
      <vt:lpstr>'(2016-17b)'!Print_Area</vt:lpstr>
      <vt:lpstr>'(2016-17c)'!Print_Area</vt:lpstr>
      <vt:lpstr>'(2016-17d)'!Print_Area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FIRE0508: Injuries sustained by firefighters and firefighter fatalities, by fire and rescue authority</dc:title>
  <dc:creator/>
  <cp:keywords>data tables, firefighters, injuries, fatalities, 2017</cp:keywords>
  <cp:lastModifiedBy/>
  <dcterms:created xsi:type="dcterms:W3CDTF">2017-10-23T12:43:53Z</dcterms:created>
  <dcterms:modified xsi:type="dcterms:W3CDTF">2017-10-23T12:46:29Z</dcterms:modified>
</cp:coreProperties>
</file>