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Scott.Mahony\Desktop\"/>
    </mc:Choice>
  </mc:AlternateContent>
  <xr:revisionPtr revIDLastSave="0" documentId="8_{CB9ECD77-064E-40DB-AE69-A44BCDB1C3F2}" xr6:coauthVersionLast="34" xr6:coauthVersionMax="34" xr10:uidLastSave="{00000000-0000-0000-0000-000000000000}"/>
  <bookViews>
    <workbookView xWindow="-6540" yWindow="-60" windowWidth="18200" windowHeight="7080" tabRatio="867" xr2:uid="{00000000-000D-0000-FFFF-FFFF00000000}"/>
  </bookViews>
  <sheets>
    <sheet name="OUTLINE" sheetId="1" r:id="rId1"/>
    <sheet name="1. AVERTED PREGNANCIES" sheetId="2" r:id="rId2"/>
    <sheet name="1.1" sheetId="5" r:id="rId3"/>
    <sheet name="2. COST SAVINGS" sheetId="3" r:id="rId4"/>
    <sheet name="2.1" sheetId="7" r:id="rId5"/>
    <sheet name="2.2" sheetId="16" r:id="rId6"/>
    <sheet name="2.3" sheetId="20" r:id="rId7"/>
    <sheet name="2.4" sheetId="9" r:id="rId8"/>
    <sheet name="2.5" sheetId="6" r:id="rId9"/>
    <sheet name="2.6" sheetId="11" r:id="rId10"/>
    <sheet name="2.7" sheetId="10" r:id="rId11"/>
    <sheet name="2.8" sheetId="18" r:id="rId12"/>
    <sheet name="2.9" sheetId="13" r:id="rId13"/>
    <sheet name="2.10" sheetId="12" r:id="rId14"/>
    <sheet name="Universal Credit" sheetId="19" state="hidden" r:id="rId15"/>
    <sheet name="2.11" sheetId="17" r:id="rId16"/>
    <sheet name="3. PUBLIC SPENDING" sheetId="4" r:id="rId17"/>
    <sheet name="Inflation Index" sheetId="14" r:id="rId18"/>
    <sheet name="Results summary" sheetId="21" state="hidden" r:id="rId19"/>
    <sheet name="Appendix 2" sheetId="15" state="hidden" r:id="rId20"/>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6" i="21" l="1"/>
  <c r="C25" i="21"/>
  <c r="D25" i="21"/>
  <c r="D26" i="21"/>
  <c r="C27" i="21"/>
  <c r="D27" i="21"/>
  <c r="C28" i="21"/>
  <c r="D28" i="21"/>
  <c r="C29" i="21"/>
  <c r="D29" i="21"/>
  <c r="B26" i="21"/>
  <c r="B27" i="21"/>
  <c r="B28" i="21"/>
  <c r="B29" i="21"/>
  <c r="B25" i="21"/>
  <c r="K21" i="12"/>
  <c r="I7" i="12"/>
  <c r="M58" i="1" l="1"/>
  <c r="G16" i="1"/>
  <c r="B51" i="1" l="1"/>
  <c r="G2" i="21"/>
  <c r="I7" i="21" l="1"/>
  <c r="O63" i="1" s="1"/>
  <c r="H6" i="21"/>
  <c r="N62" i="1" s="1"/>
  <c r="J7" i="21"/>
  <c r="P63" i="1" s="1"/>
  <c r="I6" i="21"/>
  <c r="H5" i="21"/>
  <c r="N61" i="1" s="1"/>
  <c r="J6" i="21"/>
  <c r="P62" i="1" s="1"/>
  <c r="I5" i="21"/>
  <c r="O61" i="1" s="1"/>
  <c r="J5" i="21"/>
  <c r="P61" i="1" s="1"/>
  <c r="H7" i="21"/>
  <c r="N63" i="1" s="1"/>
  <c r="O62" i="1"/>
  <c r="E83" i="2"/>
  <c r="G77" i="2"/>
  <c r="G76" i="2"/>
  <c r="E77" i="2"/>
  <c r="E76" i="2"/>
  <c r="D77" i="2"/>
  <c r="D78" i="2"/>
  <c r="D76" i="2"/>
  <c r="G79" i="2"/>
  <c r="G80" i="2"/>
  <c r="G78" i="2"/>
  <c r="E80" i="2"/>
  <c r="E81" i="2"/>
  <c r="E82" i="2"/>
  <c r="E79" i="2"/>
  <c r="E78" i="2"/>
  <c r="D79" i="2"/>
  <c r="D80" i="2"/>
  <c r="D81" i="2"/>
  <c r="D82" i="2"/>
  <c r="F77" i="2"/>
  <c r="C78" i="2"/>
  <c r="G83" i="2" l="1"/>
  <c r="G72" i="2"/>
  <c r="G71" i="2"/>
  <c r="G70" i="2"/>
  <c r="F71" i="2"/>
  <c r="F83" i="2"/>
  <c r="F72" i="2"/>
  <c r="E71" i="2"/>
  <c r="E72" i="2"/>
  <c r="E70" i="2"/>
  <c r="D72" i="2"/>
  <c r="D83" i="2"/>
  <c r="D71" i="2"/>
  <c r="D70" i="2"/>
  <c r="C77" i="2"/>
  <c r="C79" i="2"/>
  <c r="C80" i="2"/>
  <c r="C81" i="2"/>
  <c r="C82" i="2"/>
  <c r="C83" i="2"/>
  <c r="C76" i="2"/>
  <c r="C72" i="2"/>
  <c r="C71" i="2"/>
  <c r="C70" i="2"/>
  <c r="C34" i="2"/>
  <c r="I71" i="2" l="1"/>
  <c r="I72" i="2"/>
  <c r="I73" i="2"/>
  <c r="I74" i="2"/>
  <c r="I75" i="2"/>
  <c r="I70" i="2"/>
  <c r="C41" i="2" s="1"/>
  <c r="H84" i="2"/>
  <c r="G22" i="20" l="1"/>
  <c r="G8" i="20"/>
  <c r="G15" i="20" s="1"/>
  <c r="G7" i="20"/>
  <c r="G14" i="20" s="1"/>
  <c r="G6" i="20"/>
  <c r="G13" i="20" s="1"/>
  <c r="I22" i="20" s="1"/>
  <c r="N22" i="20" l="1"/>
  <c r="O22" i="20"/>
  <c r="M22" i="20"/>
  <c r="K22" i="20"/>
  <c r="L22" i="20"/>
  <c r="J22" i="20"/>
  <c r="H22" i="20"/>
  <c r="F22" i="20"/>
  <c r="E20" i="2"/>
  <c r="E21" i="2"/>
  <c r="E22" i="2"/>
  <c r="E23" i="2"/>
  <c r="E24" i="2"/>
  <c r="E25" i="2"/>
  <c r="E26" i="2"/>
  <c r="E27" i="2"/>
  <c r="E28" i="2"/>
  <c r="E29" i="2"/>
  <c r="E30" i="2"/>
  <c r="E31" i="2"/>
  <c r="E32" i="2"/>
  <c r="E41" i="2"/>
  <c r="C42" i="2"/>
  <c r="E42" i="2"/>
  <c r="C43" i="2"/>
  <c r="E43" i="2"/>
  <c r="C44" i="2"/>
  <c r="E44" i="2"/>
  <c r="C45" i="2"/>
  <c r="E45" i="2"/>
  <c r="C46" i="2"/>
  <c r="E46" i="2"/>
  <c r="E47" i="2"/>
  <c r="E48" i="2"/>
  <c r="E49" i="2"/>
  <c r="E50" i="2"/>
  <c r="E51" i="2"/>
  <c r="E52" i="2"/>
  <c r="E53" i="2"/>
  <c r="G11" i="17"/>
  <c r="G8" i="17"/>
  <c r="I69" i="2"/>
  <c r="F84" i="2"/>
  <c r="C84" i="2"/>
  <c r="E54" i="2"/>
  <c r="E33" i="2"/>
  <c r="K7" i="12"/>
  <c r="K8" i="12"/>
  <c r="C3" i="3"/>
  <c r="E12" i="19"/>
  <c r="E13" i="19"/>
  <c r="E14" i="19"/>
  <c r="E15" i="19"/>
  <c r="E16" i="19"/>
  <c r="E18" i="19"/>
  <c r="E19" i="19"/>
  <c r="E20" i="19"/>
  <c r="E21" i="19"/>
  <c r="E22" i="19"/>
  <c r="E23" i="19"/>
  <c r="E24" i="19"/>
  <c r="E28" i="19"/>
  <c r="E29" i="19"/>
  <c r="E30" i="19"/>
  <c r="E31" i="19"/>
  <c r="E32" i="19"/>
  <c r="E33" i="19"/>
  <c r="E34" i="19"/>
  <c r="E35" i="19"/>
  <c r="E36" i="19"/>
  <c r="E37" i="19"/>
  <c r="E38" i="19"/>
  <c r="E39" i="19"/>
  <c r="E11" i="19"/>
  <c r="F6" i="19"/>
  <c r="F4" i="19"/>
  <c r="F5" i="19"/>
  <c r="I12" i="7"/>
  <c r="J12" i="18"/>
  <c r="J7" i="18"/>
  <c r="I19" i="7"/>
  <c r="I6" i="7"/>
  <c r="I7" i="7"/>
  <c r="I8" i="7"/>
  <c r="I5" i="7"/>
  <c r="I9" i="7" s="1"/>
  <c r="E3" i="3"/>
  <c r="B38" i="2"/>
  <c r="G6" i="4"/>
  <c r="C23" i="4"/>
  <c r="D16" i="9"/>
  <c r="E16" i="9" s="1"/>
  <c r="F16" i="9" s="1"/>
  <c r="M16" i="10"/>
  <c r="L16" i="10"/>
  <c r="K16" i="10"/>
  <c r="J16" i="10"/>
  <c r="I16" i="10"/>
  <c r="E86" i="15"/>
  <c r="E78" i="15"/>
  <c r="E126" i="15"/>
  <c r="E119" i="15"/>
  <c r="E38" i="15"/>
  <c r="D19" i="15"/>
  <c r="E19" i="15"/>
  <c r="I26" i="7" s="1"/>
  <c r="I27" i="7" s="1"/>
  <c r="D13" i="15"/>
  <c r="E13" i="15"/>
  <c r="L9" i="13"/>
  <c r="L7" i="13"/>
  <c r="L11" i="13"/>
  <c r="L10" i="13"/>
  <c r="K11" i="12"/>
  <c r="K13" i="12" s="1"/>
  <c r="H11" i="11"/>
  <c r="H9" i="11"/>
  <c r="I8" i="12"/>
  <c r="H7" i="11"/>
  <c r="H18" i="11"/>
  <c r="I19" i="11"/>
  <c r="H19" i="11"/>
  <c r="H7" i="10"/>
  <c r="H9" i="10"/>
  <c r="G13" i="6"/>
  <c r="F6" i="6"/>
  <c r="F5" i="6"/>
  <c r="K12" i="12"/>
  <c r="I37" i="5"/>
  <c r="F11" i="19" s="1"/>
  <c r="C37" i="5"/>
  <c r="D37" i="5"/>
  <c r="E20" i="6"/>
  <c r="E37" i="5"/>
  <c r="F37" i="5"/>
  <c r="E21" i="6" s="1"/>
  <c r="G37" i="5"/>
  <c r="H37" i="5"/>
  <c r="F15" i="19"/>
  <c r="J9" i="18"/>
  <c r="E19" i="6"/>
  <c r="G7" i="4"/>
  <c r="I13" i="1"/>
  <c r="G9" i="2" l="1"/>
  <c r="D46" i="2"/>
  <c r="D44" i="2"/>
  <c r="D42" i="2"/>
  <c r="F42" i="2" s="1"/>
  <c r="F13" i="19"/>
  <c r="F46" i="2"/>
  <c r="D22" i="2"/>
  <c r="F22" i="2" s="1"/>
  <c r="D45" i="2"/>
  <c r="F45" i="2" s="1"/>
  <c r="D43" i="2"/>
  <c r="F43" i="2" s="1"/>
  <c r="D41" i="2"/>
  <c r="F41" i="2" s="1"/>
  <c r="D30" i="2"/>
  <c r="F30" i="2" s="1"/>
  <c r="D26" i="2"/>
  <c r="F26" i="2" s="1"/>
  <c r="F44" i="2"/>
  <c r="D21" i="2" l="1"/>
  <c r="F21" i="2" s="1"/>
  <c r="D33" i="2"/>
  <c r="F33" i="2" s="1"/>
  <c r="D24" i="2"/>
  <c r="F24" i="2" s="1"/>
  <c r="D29" i="2"/>
  <c r="F29" i="2" s="1"/>
  <c r="D25" i="2"/>
  <c r="F25" i="2" s="1"/>
  <c r="D31" i="2"/>
  <c r="F31" i="2" s="1"/>
  <c r="D23" i="2"/>
  <c r="F23" i="2" s="1"/>
  <c r="D28" i="2"/>
  <c r="F28" i="2" s="1"/>
  <c r="D27" i="2"/>
  <c r="F27" i="2" s="1"/>
  <c r="D32" i="2"/>
  <c r="F32" i="2" s="1"/>
  <c r="D20" i="2"/>
  <c r="F20" i="2" s="1"/>
  <c r="F34" i="2"/>
  <c r="I78" i="2" l="1"/>
  <c r="C49" i="2" s="1"/>
  <c r="I81" i="2"/>
  <c r="C52" i="2" s="1"/>
  <c r="D52" i="2" s="1"/>
  <c r="F52" i="2" s="1"/>
  <c r="I79" i="2"/>
  <c r="C50" i="2" s="1"/>
  <c r="I80" i="2"/>
  <c r="C51" i="2" s="1"/>
  <c r="I82" i="2"/>
  <c r="C53" i="2" s="1"/>
  <c r="D50" i="2" l="1"/>
  <c r="F50" i="2" s="1"/>
  <c r="D51" i="2"/>
  <c r="F51" i="2" s="1"/>
  <c r="D49" i="2"/>
  <c r="F49" i="2" s="1"/>
  <c r="D53" i="2"/>
  <c r="F53" i="2" s="1"/>
  <c r="I77" i="2"/>
  <c r="C48" i="2" s="1"/>
  <c r="I76" i="2"/>
  <c r="C47" i="2" s="1"/>
  <c r="D48" i="2" l="1"/>
  <c r="F48" i="2" s="1"/>
  <c r="D47" i="2"/>
  <c r="F47" i="2" s="1"/>
  <c r="D84" i="2"/>
  <c r="G84" i="2"/>
  <c r="F55" i="2" l="1"/>
  <c r="F58" i="2" l="1"/>
  <c r="I29" i="7" s="1"/>
  <c r="I30" i="7" s="1"/>
  <c r="L30" i="7" s="1"/>
  <c r="I21" i="7" l="1"/>
  <c r="I22" i="7" s="1"/>
  <c r="F59" i="2"/>
  <c r="K14" i="12" s="1"/>
  <c r="K15" i="12" s="1"/>
  <c r="M15" i="12" s="1"/>
  <c r="F8" i="3"/>
  <c r="I8" i="3" s="1"/>
  <c r="L8" i="3" s="1"/>
  <c r="F7" i="9" l="1"/>
  <c r="F9" i="9" s="1"/>
  <c r="M15" i="9" s="1"/>
  <c r="M14" i="12"/>
  <c r="H10" i="10"/>
  <c r="H11" i="10" s="1"/>
  <c r="G16" i="10" s="1"/>
  <c r="I13" i="7"/>
  <c r="I14" i="7" s="1"/>
  <c r="L14" i="7" s="1"/>
  <c r="G14" i="6"/>
  <c r="G15" i="6" s="1"/>
  <c r="F21" i="6" s="1"/>
  <c r="G6" i="16"/>
  <c r="K13" i="16" s="1"/>
  <c r="L22" i="7"/>
  <c r="F7" i="3"/>
  <c r="K23" i="12"/>
  <c r="K24" i="12" s="1"/>
  <c r="M24" i="12" s="1"/>
  <c r="J8" i="18"/>
  <c r="J14" i="18" s="1"/>
  <c r="I19" i="18" s="1"/>
  <c r="G26" i="11"/>
  <c r="L12" i="13"/>
  <c r="L13" i="13" s="1"/>
  <c r="F18" i="13" s="1"/>
  <c r="G16" i="20"/>
  <c r="H23" i="20" s="1"/>
  <c r="K8" i="3"/>
  <c r="G23" i="11"/>
  <c r="H23" i="11" s="1"/>
  <c r="I23" i="11" s="1"/>
  <c r="N15" i="9" l="1"/>
  <c r="J15" i="9"/>
  <c r="K15" i="9"/>
  <c r="L15" i="9"/>
  <c r="N18" i="13"/>
  <c r="E16" i="10"/>
  <c r="F8" i="9"/>
  <c r="I15" i="9" s="1"/>
  <c r="F16" i="10"/>
  <c r="D16" i="10"/>
  <c r="D17" i="10" s="1"/>
  <c r="H16" i="10"/>
  <c r="L13" i="7"/>
  <c r="M18" i="13"/>
  <c r="I18" i="13"/>
  <c r="F6" i="3"/>
  <c r="E18" i="13"/>
  <c r="E19" i="13" s="1"/>
  <c r="F19" i="13" s="1"/>
  <c r="J18" i="13"/>
  <c r="G18" i="13"/>
  <c r="M23" i="20"/>
  <c r="N13" i="16"/>
  <c r="K18" i="13"/>
  <c r="F19" i="6"/>
  <c r="G19" i="6" s="1"/>
  <c r="G5" i="17"/>
  <c r="G13" i="17" s="1"/>
  <c r="K23" i="20"/>
  <c r="L18" i="13"/>
  <c r="F20" i="6"/>
  <c r="G20" i="6" s="1"/>
  <c r="H19" i="18"/>
  <c r="N23" i="20"/>
  <c r="H18" i="13"/>
  <c r="O23" i="20"/>
  <c r="K27" i="12"/>
  <c r="F18" i="3" s="1"/>
  <c r="I23" i="20"/>
  <c r="M13" i="16"/>
  <c r="F13" i="16"/>
  <c r="F14" i="16" s="1"/>
  <c r="F23" i="20"/>
  <c r="F24" i="20" s="1"/>
  <c r="E19" i="18"/>
  <c r="E20" i="18" s="1"/>
  <c r="M23" i="12"/>
  <c r="I13" i="16"/>
  <c r="O13" i="16"/>
  <c r="G13" i="16"/>
  <c r="K7" i="3"/>
  <c r="I7" i="3"/>
  <c r="L7" i="3" s="1"/>
  <c r="F19" i="18"/>
  <c r="G19" i="18"/>
  <c r="G23" i="20"/>
  <c r="L23" i="20"/>
  <c r="J23" i="20"/>
  <c r="J13" i="16"/>
  <c r="H13" i="16"/>
  <c r="L13" i="16"/>
  <c r="G24" i="11"/>
  <c r="H24" i="11" s="1"/>
  <c r="G25" i="11"/>
  <c r="H25" i="11" s="1"/>
  <c r="I25" i="11" s="1"/>
  <c r="N6" i="3"/>
  <c r="E17" i="10" l="1"/>
  <c r="F17" i="10" s="1"/>
  <c r="G17" i="10" s="1"/>
  <c r="H17" i="10" s="1"/>
  <c r="I17" i="10" s="1"/>
  <c r="J17" i="10" s="1"/>
  <c r="K17" i="10" s="1"/>
  <c r="L17" i="10" s="1"/>
  <c r="M17" i="10" s="1"/>
  <c r="H15" i="9"/>
  <c r="H16" i="9" s="1"/>
  <c r="I16" i="9" s="1"/>
  <c r="J16" i="9" s="1"/>
  <c r="K16" i="9" s="1"/>
  <c r="L16" i="9" s="1"/>
  <c r="M16" i="9" s="1"/>
  <c r="N16" i="9" s="1"/>
  <c r="N18" i="3"/>
  <c r="H18" i="3"/>
  <c r="G18" i="3"/>
  <c r="H6" i="3"/>
  <c r="G6" i="3"/>
  <c r="G19" i="13"/>
  <c r="H19" i="13" s="1"/>
  <c r="I19" i="13" s="1"/>
  <c r="J19" i="13" s="1"/>
  <c r="K19" i="13" s="1"/>
  <c r="L19" i="13" s="1"/>
  <c r="M19" i="13" s="1"/>
  <c r="N19" i="13" s="1"/>
  <c r="G22" i="6"/>
  <c r="J27" i="6" s="1"/>
  <c r="K6" i="3"/>
  <c r="H18" i="17"/>
  <c r="F18" i="17"/>
  <c r="N18" i="17"/>
  <c r="G18" i="17"/>
  <c r="J18" i="17"/>
  <c r="K18" i="17"/>
  <c r="M18" i="17"/>
  <c r="E18" i="17"/>
  <c r="E19" i="17" s="1"/>
  <c r="L18" i="17"/>
  <c r="K18" i="3"/>
  <c r="F20" i="18"/>
  <c r="G20" i="18" s="1"/>
  <c r="H20" i="18" s="1"/>
  <c r="I20" i="18" s="1"/>
  <c r="J20" i="18" s="1"/>
  <c r="K20" i="18" s="1"/>
  <c r="L20" i="18" s="1"/>
  <c r="M20" i="18" s="1"/>
  <c r="N20" i="18" s="1"/>
  <c r="N23" i="18" s="1"/>
  <c r="G14" i="16"/>
  <c r="H14" i="16" s="1"/>
  <c r="I14" i="16" s="1"/>
  <c r="J14" i="16" s="1"/>
  <c r="K14" i="16" s="1"/>
  <c r="L14" i="16" s="1"/>
  <c r="M14" i="16" s="1"/>
  <c r="N14" i="16" s="1"/>
  <c r="O14" i="16" s="1"/>
  <c r="G24" i="20"/>
  <c r="H24" i="20" s="1"/>
  <c r="I24" i="20" s="1"/>
  <c r="J24" i="20" s="1"/>
  <c r="K24" i="20" s="1"/>
  <c r="L24" i="20" s="1"/>
  <c r="M24" i="20" s="1"/>
  <c r="N24" i="20" s="1"/>
  <c r="O24" i="20" s="1"/>
  <c r="O31" i="20" s="1"/>
  <c r="I18" i="17"/>
  <c r="I24" i="11"/>
  <c r="I26" i="11" s="1"/>
  <c r="H26" i="11"/>
  <c r="H27" i="6"/>
  <c r="N21" i="9"/>
  <c r="N22" i="9"/>
  <c r="F12" i="3"/>
  <c r="I18" i="3" l="1"/>
  <c r="O18" i="3" s="1"/>
  <c r="M20" i="10"/>
  <c r="M21" i="10"/>
  <c r="F15" i="3"/>
  <c r="K15" i="3" s="1"/>
  <c r="I6" i="3"/>
  <c r="L6" i="3" s="1"/>
  <c r="F27" i="6"/>
  <c r="E27" i="6"/>
  <c r="L27" i="6"/>
  <c r="I27" i="6"/>
  <c r="K27" i="6"/>
  <c r="G27" i="6"/>
  <c r="D27" i="6"/>
  <c r="D28" i="6" s="1"/>
  <c r="E28" i="6" s="1"/>
  <c r="H12" i="3"/>
  <c r="G12" i="3"/>
  <c r="F10" i="3"/>
  <c r="N10" i="3" s="1"/>
  <c r="M27" i="6"/>
  <c r="N22" i="13"/>
  <c r="N23" i="13"/>
  <c r="F16" i="3"/>
  <c r="F19" i="17"/>
  <c r="G19" i="17" s="1"/>
  <c r="H19" i="17" s="1"/>
  <c r="I19" i="17" s="1"/>
  <c r="J19" i="17" s="1"/>
  <c r="K19" i="17" s="1"/>
  <c r="L19" i="17" s="1"/>
  <c r="M19" i="17" s="1"/>
  <c r="N19" i="17" s="1"/>
  <c r="N22" i="17" s="1"/>
  <c r="O20" i="16"/>
  <c r="F9" i="3"/>
  <c r="F17" i="3"/>
  <c r="N24" i="18"/>
  <c r="O30" i="20"/>
  <c r="O21" i="16"/>
  <c r="G32" i="11"/>
  <c r="J32" i="11"/>
  <c r="E32" i="11"/>
  <c r="E33" i="11" s="1"/>
  <c r="M32" i="11"/>
  <c r="L32" i="11"/>
  <c r="I32" i="11"/>
  <c r="H32" i="11"/>
  <c r="F32" i="11"/>
  <c r="N32" i="11"/>
  <c r="K32" i="11"/>
  <c r="L18" i="3"/>
  <c r="K12" i="3"/>
  <c r="N12" i="3"/>
  <c r="H15" i="3" l="1"/>
  <c r="N15" i="3"/>
  <c r="G15" i="3"/>
  <c r="O6" i="3"/>
  <c r="F28" i="6"/>
  <c r="G28" i="6" s="1"/>
  <c r="H28" i="6" s="1"/>
  <c r="I28" i="6" s="1"/>
  <c r="J28" i="6" s="1"/>
  <c r="K28" i="6" s="1"/>
  <c r="L28" i="6" s="1"/>
  <c r="M28" i="6" s="1"/>
  <c r="M31" i="6" s="1"/>
  <c r="H17" i="3"/>
  <c r="G17" i="3"/>
  <c r="H10" i="3"/>
  <c r="N16" i="3"/>
  <c r="H16" i="3"/>
  <c r="G16" i="3"/>
  <c r="K10" i="3"/>
  <c r="G10" i="3"/>
  <c r="K9" i="3"/>
  <c r="H9" i="3"/>
  <c r="G9" i="3"/>
  <c r="N9" i="3"/>
  <c r="F19" i="3"/>
  <c r="K16" i="3"/>
  <c r="N23" i="17"/>
  <c r="F20" i="3"/>
  <c r="K20" i="3" s="1"/>
  <c r="N17" i="3"/>
  <c r="K17" i="3"/>
  <c r="F33" i="11"/>
  <c r="G33" i="11" s="1"/>
  <c r="H33" i="11" s="1"/>
  <c r="I33" i="11" s="1"/>
  <c r="J33" i="11" s="1"/>
  <c r="K33" i="11" s="1"/>
  <c r="L33" i="11" s="1"/>
  <c r="M33" i="11" s="1"/>
  <c r="N33" i="11" s="1"/>
  <c r="I15" i="3"/>
  <c r="L15" i="3" s="1"/>
  <c r="F13" i="3"/>
  <c r="I12" i="3"/>
  <c r="I17" i="3" l="1"/>
  <c r="O17" i="3" s="1"/>
  <c r="M32" i="6"/>
  <c r="G20" i="3"/>
  <c r="G19" i="3"/>
  <c r="H19" i="3"/>
  <c r="K13" i="3"/>
  <c r="H13" i="3"/>
  <c r="G13" i="3"/>
  <c r="I9" i="3"/>
  <c r="L9" i="3" s="1"/>
  <c r="N20" i="3"/>
  <c r="I16" i="3"/>
  <c r="L16" i="3" s="1"/>
  <c r="H20" i="3"/>
  <c r="N19" i="3"/>
  <c r="K19" i="3"/>
  <c r="I10" i="3"/>
  <c r="L10" i="3" s="1"/>
  <c r="N37" i="11"/>
  <c r="F14" i="3"/>
  <c r="N36" i="11"/>
  <c r="O15" i="3"/>
  <c r="N13" i="3"/>
  <c r="L12" i="3"/>
  <c r="O12" i="3"/>
  <c r="L17" i="3" l="1"/>
  <c r="I19" i="3"/>
  <c r="O19" i="3" s="1"/>
  <c r="F22" i="3"/>
  <c r="K22" i="3" s="1"/>
  <c r="H14" i="3"/>
  <c r="H22" i="3" s="1"/>
  <c r="G14" i="3"/>
  <c r="L19" i="3"/>
  <c r="I20" i="3"/>
  <c r="L20" i="3" s="1"/>
  <c r="O9" i="3"/>
  <c r="O10" i="3"/>
  <c r="O16" i="3"/>
  <c r="F21" i="3"/>
  <c r="K21" i="3" s="1"/>
  <c r="K14" i="3"/>
  <c r="N14" i="3"/>
  <c r="N22" i="3" s="1"/>
  <c r="I13" i="3"/>
  <c r="O20" i="3" l="1"/>
  <c r="H21" i="3"/>
  <c r="N21" i="3"/>
  <c r="I14" i="3"/>
  <c r="I22" i="3" s="1"/>
  <c r="L22" i="3" s="1"/>
  <c r="G21" i="3"/>
  <c r="G22" i="3"/>
  <c r="O13" i="3"/>
  <c r="L13" i="3"/>
  <c r="I83" i="2"/>
  <c r="C54" i="2" s="1"/>
  <c r="I21" i="3" l="1"/>
  <c r="O21" i="3" s="1"/>
  <c r="O14" i="3"/>
  <c r="O22" i="3" s="1"/>
  <c r="L14" i="3"/>
  <c r="E84" i="2"/>
  <c r="D54" i="2"/>
  <c r="F54" i="2" s="1"/>
  <c r="I12" i="1" l="1"/>
  <c r="K12" i="1" s="1"/>
  <c r="G15" i="1" s="1"/>
  <c r="L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Leoni Belsman</author>
  </authors>
  <commentList>
    <comment ref="B21" authorId="0" shapeId="0" xr:uid="{00000000-0006-0000-0000-000001000000}">
      <text>
        <r>
          <rPr>
            <sz val="9"/>
            <color indexed="81"/>
            <rFont val="Tahoma"/>
            <family val="2"/>
          </rPr>
          <t xml:space="preserve">We have provided some hypothetical scenarios of what the pattern of contraceptive use might be if it were not publicly funded. There is no research evidence on which to base this on. However we reason that if contraception was not publicly provided, short-acting methods of contraception would be more readily accessible and affordable than long-acting methods of contraception. Therefore in most of the scenarios below we have reallocated the percentage of users using LARC methods/sterilisation to the most common user-dependent forms of contraception (condoms and the combined pill) and/or 'no method'.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Wikum Jayatunga</author>
  </authors>
  <commentList>
    <comment ref="H7" authorId="0" shapeId="0" xr:uid="{00000000-0006-0000-0300-000001000000}">
      <text>
        <r>
          <rPr>
            <sz val="9"/>
            <color indexed="81"/>
            <rFont val="Tahoma"/>
            <family val="2"/>
          </rPr>
          <t>Adjustment for mistimed births not applied to pregnancies not resulting in births (abortions and miscarriages)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Wikum Jayatunga</author>
  </authors>
  <commentList>
    <comment ref="I22" authorId="0" shapeId="0" xr:uid="{00000000-0006-0000-0900-000001000000}">
      <text>
        <r>
          <rPr>
            <b/>
            <sz val="9"/>
            <color indexed="81"/>
            <rFont val="Tahoma"/>
            <family val="2"/>
          </rPr>
          <t>Wikum Jayatunga:</t>
        </r>
        <r>
          <rPr>
            <sz val="9"/>
            <color indexed="81"/>
            <rFont val="Tahoma"/>
            <family val="2"/>
          </rPr>
          <t xml:space="preserve">
Assumption that the average receipt for those tapering is half the receipt of those receiving the max amount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Wikum Jayatunga</author>
  </authors>
  <commentList>
    <comment ref="I16" authorId="0" shapeId="0" xr:uid="{00000000-0006-0000-0A00-000001000000}">
      <text>
        <r>
          <rPr>
            <sz val="9"/>
            <color indexed="81"/>
            <rFont val="Tahoma"/>
            <family val="2"/>
          </rPr>
          <t>Assumed that childcare is not required from age 5 onwards as the child would be in full time education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Wikum Jayatunga</author>
  </authors>
  <commentList>
    <comment ref="J19" authorId="0" shapeId="0" xr:uid="{00000000-0006-0000-0B00-000001000000}">
      <text>
        <r>
          <rPr>
            <sz val="9"/>
            <color indexed="81"/>
            <rFont val="Tahoma"/>
            <family val="2"/>
          </rPr>
          <t>Income Support for lone parents is available only until the child reaches age 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Wikum Jayatunga</author>
  </authors>
  <commentList>
    <comment ref="K11" authorId="0" shapeId="0" xr:uid="{00000000-0006-0000-0D00-000001000000}">
      <text>
        <r>
          <rPr>
            <sz val="9"/>
            <color indexed="81"/>
            <rFont val="Tahoma"/>
            <family val="2"/>
          </rPr>
          <t>Has been multiplied by 4 to convert the number claiming in a quarter to the number claiming per year</t>
        </r>
      </text>
    </comment>
  </commentList>
</comments>
</file>

<file path=xl/sharedStrings.xml><?xml version="1.0" encoding="utf-8"?>
<sst xmlns="http://schemas.openxmlformats.org/spreadsheetml/2006/main" count="1037" uniqueCount="726">
  <si>
    <t>INTRODUCTION</t>
  </si>
  <si>
    <t>Benefits</t>
  </si>
  <si>
    <t>Costs</t>
  </si>
  <si>
    <t>=</t>
  </si>
  <si>
    <t>MODEL STRUCTURE</t>
  </si>
  <si>
    <t>Section 1</t>
  </si>
  <si>
    <t>Estimating the number of pregnancies averted by contraception</t>
  </si>
  <si>
    <t>Section 2</t>
  </si>
  <si>
    <t>Section 3</t>
  </si>
  <si>
    <t>Public spending on contraception</t>
  </si>
  <si>
    <t>Section 3: Public expenditure on contraception</t>
  </si>
  <si>
    <t xml:space="preserve">Local Authority Spending (England 2016/17) = </t>
  </si>
  <si>
    <t>Source</t>
  </si>
  <si>
    <t xml:space="preserve">https://www.gov.uk/government/statistics/local-authority-revenue-expenditure-and-financing-england-2016-to-2017-budget-individual-local-authority-data  </t>
  </si>
  <si>
    <t xml:space="preserve">NHS Spending (England 2016/17) = </t>
  </si>
  <si>
    <t xml:space="preserve">Total Spending = </t>
  </si>
  <si>
    <t>Reference</t>
  </si>
  <si>
    <t>Sheet</t>
  </si>
  <si>
    <t>Cost saving category</t>
  </si>
  <si>
    <t>Total</t>
  </si>
  <si>
    <t>Abortion costs</t>
  </si>
  <si>
    <t>Miscarriage costs</t>
  </si>
  <si>
    <t xml:space="preserve">Child tax credit </t>
  </si>
  <si>
    <t>Working tax credit (childcare part)</t>
  </si>
  <si>
    <t>Child benefit</t>
  </si>
  <si>
    <t>Housing benefit</t>
  </si>
  <si>
    <t>Healthcare</t>
  </si>
  <si>
    <t>Education</t>
  </si>
  <si>
    <t>∑ = sum for each contraceptive method</t>
  </si>
  <si>
    <t>Method</t>
  </si>
  <si>
    <t>No. of Users</t>
  </si>
  <si>
    <t>Averted pregnancies = ∑ (CN*(P – F))</t>
  </si>
  <si>
    <t>(below)</t>
  </si>
  <si>
    <t>Averted pregnancies</t>
  </si>
  <si>
    <t>Pill</t>
  </si>
  <si>
    <t>Condom</t>
  </si>
  <si>
    <t>Withdrawal</t>
  </si>
  <si>
    <t>IUD</t>
  </si>
  <si>
    <t>Injection</t>
  </si>
  <si>
    <t>Implant</t>
  </si>
  <si>
    <t>Patch</t>
  </si>
  <si>
    <t>Rhythm method</t>
  </si>
  <si>
    <t>Foams/gels</t>
  </si>
  <si>
    <t>Total averted pregnancies</t>
  </si>
  <si>
    <t xml:space="preserve">https://www.ncbi.nlm.nih.gov/pmc/articles/PMC3638209/ </t>
  </si>
  <si>
    <t>% Users*</t>
  </si>
  <si>
    <t xml:space="preserve">**Trussell, 2012 </t>
  </si>
  <si>
    <t xml:space="preserve">Emergency </t>
  </si>
  <si>
    <t>No method</t>
  </si>
  <si>
    <t>Term</t>
  </si>
  <si>
    <t xml:space="preserve">Definition </t>
  </si>
  <si>
    <t>Percentage</t>
  </si>
  <si>
    <t>Number</t>
  </si>
  <si>
    <t xml:space="preserve">https://www.ncbi.nlm.nih.gov/pubmed/16532609 </t>
  </si>
  <si>
    <t xml:space="preserve">https://www.ncbi.nlm.nih.gov/pmc/articles/PMC3496824/#R16 </t>
  </si>
  <si>
    <t>Overall</t>
  </si>
  <si>
    <t>https://www.ons.gov.uk/peoplepopulationandcommunity/birthsdeathsandmarriages/livebirths/adhocs/006402percentagedistributionofwomenofchildbearingagebynumberoflivebornchildrenageandyearofbirthofwoman1920to2001</t>
  </si>
  <si>
    <t>Age</t>
  </si>
  <si>
    <t>*</t>
  </si>
  <si>
    <t>**</t>
  </si>
  <si>
    <t>Cohort Fertility Table 3</t>
  </si>
  <si>
    <t>https://www.ons.gov.uk/peoplepopulationandcommunity/populationandmigration/populationestimates/datasets/populationestimatesforukenglandandwalesscotlandandnorthernireland</t>
  </si>
  <si>
    <t>Number of children (2015)*</t>
  </si>
  <si>
    <t>(over 45)</t>
  </si>
  <si>
    <t>Population 2015 (Eng)**</t>
  </si>
  <si>
    <t>Population 2016 (Eng)</t>
  </si>
  <si>
    <t>Sheet: 'LA Dropdown' Cell E77</t>
  </si>
  <si>
    <t>Cap/diaphragm</t>
  </si>
  <si>
    <t>Partner sterilised (M)</t>
  </si>
  <si>
    <t>Sterilised (F)</t>
  </si>
  <si>
    <t xml:space="preserve">Trussell, 2012 </t>
  </si>
  <si>
    <t>% Failure**</t>
  </si>
  <si>
    <t>Child Benefit Entitlement</t>
  </si>
  <si>
    <t>Weekly</t>
  </si>
  <si>
    <t>Annually</t>
  </si>
  <si>
    <t>First child</t>
  </si>
  <si>
    <t>https://www.gov.uk/child-benefit/what-youll-get</t>
  </si>
  <si>
    <t>Subsequent children</t>
  </si>
  <si>
    <t>Proportion of families claiming in UK</t>
  </si>
  <si>
    <t>Sheet 1 Cell C23</t>
  </si>
  <si>
    <t xml:space="preserve">https://www.gov.uk/government/statistics/child-benefit-statistics-geographical-analysis-august-2016 </t>
  </si>
  <si>
    <t>Total number of UK families 2016</t>
  </si>
  <si>
    <t>Sheet 3 Cell BJ21</t>
  </si>
  <si>
    <t>https://www.ons.gov.uk/peoplepopulationandcommunity/birthsdeathsandmarriages/families/datasets/familiesandhouseholdsfamiliesandhouseholds</t>
  </si>
  <si>
    <t>Proportion of averted births that would claim</t>
  </si>
  <si>
    <t>Hypothetical number of families claiming</t>
  </si>
  <si>
    <t>Discount rate</t>
  </si>
  <si>
    <t>B</t>
  </si>
  <si>
    <t>r</t>
  </si>
  <si>
    <t>d</t>
  </si>
  <si>
    <t>above</t>
  </si>
  <si>
    <t xml:space="preserve">Change in averted pregnancies if there is no public provision </t>
  </si>
  <si>
    <t>Pregnancies averted by the use of contraception</t>
  </si>
  <si>
    <t>Number of families receiving childcare element of WTC</t>
  </si>
  <si>
    <t>Sheet 21 Cell H41</t>
  </si>
  <si>
    <t>https://www.gov.uk/government/statistics/child-and-working-tax-credits-statistics-finalised-annual-awards-2015-to-2016</t>
  </si>
  <si>
    <t>Sheet 21 Cell H48</t>
  </si>
  <si>
    <t>Proportion of all families receiving the childcare element of WTC</t>
  </si>
  <si>
    <t>Sheet 31 Cell  H15</t>
  </si>
  <si>
    <t>Severely disabled child additional element</t>
  </si>
  <si>
    <t>Sheet 29 Cell  K17</t>
  </si>
  <si>
    <t>Disabled child additional element</t>
  </si>
  <si>
    <t>Family element</t>
  </si>
  <si>
    <t>Sheet 16 Cell J12+J24</t>
  </si>
  <si>
    <t>Sheet 16 Cell J11+J13+J22</t>
  </si>
  <si>
    <t xml:space="preserve">https://www.gov.uk/government/statistics/personal-tax-credits-provisional-statistics-2013-to-2009 </t>
  </si>
  <si>
    <t>Sheet 16 Cell J14 + J26</t>
  </si>
  <si>
    <t xml:space="preserve">C = percentage of females using a contraceptive method </t>
  </si>
  <si>
    <t xml:space="preserve">N = number of females of childbearing age (15-44) in England </t>
  </si>
  <si>
    <t>F = percentage failure rate for each contraceptive method in a year</t>
  </si>
  <si>
    <t>P = the percentage of women who would get pregnant in a year with no contraception</t>
  </si>
  <si>
    <t>March to May 2017 (latest quarter)</t>
  </si>
  <si>
    <t>Sheet MA1, Cell B14</t>
  </si>
  <si>
    <t>https://www.gov.uk/government/statistics/maternity-allowance-quarterly-statistics-march-to-may-2017</t>
  </si>
  <si>
    <t>Sheet MA1, Cell D14, F14</t>
  </si>
  <si>
    <t>Sheet MA1, Cell D36, F36</t>
  </si>
  <si>
    <t>Sheet MA3, Cell A17</t>
  </si>
  <si>
    <t>Total number of live births in the UK (2016)</t>
  </si>
  <si>
    <t>'Table 3, Cell C12'</t>
  </si>
  <si>
    <t xml:space="preserve">https://www.ons.gov.uk/peoplepopulationandcommunity/birthsdeathsandmarriages/livebirths/datasets/birthsummarytables </t>
  </si>
  <si>
    <t xml:space="preserve">Total averted maternity allowance costs = </t>
  </si>
  <si>
    <t>SECTION 2: COST SAVINGS FROM AVERTED PREGNANCIES</t>
  </si>
  <si>
    <t>SECTION 1: NUMBER OF AVERTED PREGNANCIES</t>
  </si>
  <si>
    <t>Estimating the cost savings of averted pregnancies</t>
  </si>
  <si>
    <t xml:space="preserve">https://www.gov.uk/government/statistics/housing-benefit-caseload-statistics </t>
  </si>
  <si>
    <t>Scenario 1</t>
  </si>
  <si>
    <t>Scenario 2</t>
  </si>
  <si>
    <t>Abortion</t>
  </si>
  <si>
    <t>Percentage of unplanned pregnancies aborted</t>
  </si>
  <si>
    <t>Total averted abortion costs</t>
  </si>
  <si>
    <t>Number of averted pregnancies</t>
  </si>
  <si>
    <t>Miscarriage</t>
  </si>
  <si>
    <t>Total averted miscarriage costs</t>
  </si>
  <si>
    <t xml:space="preserve">https://www.ncbi.nlm.nih.gov/pmc/articles/PMC4727534/pdf/nihms708229.pdf   </t>
  </si>
  <si>
    <t>Total averted delivery costs</t>
  </si>
  <si>
    <t>Number of averted live births</t>
  </si>
  <si>
    <t>- of which are averted live births</t>
  </si>
  <si>
    <t>Averted births by household size</t>
  </si>
  <si>
    <t>First child in household</t>
  </si>
  <si>
    <t>Second child in household</t>
  </si>
  <si>
    <t>Third (or more) child in household</t>
  </si>
  <si>
    <t>Up to a maximum of 2 children from April 2017</t>
  </si>
  <si>
    <t>Based on the current overall distribution of number of children for females of childbearing age(Sheet 1.1)</t>
  </si>
  <si>
    <t>Child Tax Credit Elements</t>
  </si>
  <si>
    <t>4+</t>
  </si>
  <si>
    <t>Working Tax Credit (childcare element)</t>
  </si>
  <si>
    <t>Average per week help with their childcare costs</t>
  </si>
  <si>
    <t>Average per annum help with their childcare costs</t>
  </si>
  <si>
    <t>Averted live births</t>
  </si>
  <si>
    <t>Additional claim is family element + child element + percentage with disability</t>
  </si>
  <si>
    <t>Adusted for taper</t>
  </si>
  <si>
    <t>Maximum Costs</t>
  </si>
  <si>
    <t xml:space="preserve">           Proportion of all families claiming child tax credit</t>
  </si>
  <si>
    <t>- proportion of those claiming who receive a tapering amount</t>
  </si>
  <si>
    <t>Number of families claiming  who receive a tapering amount</t>
  </si>
  <si>
    <t>- proportion of those claiming who receive the maximum eligible amount</t>
  </si>
  <si>
    <t>Number of families claiming who receive the maximum eligible amount</t>
  </si>
  <si>
    <t>Value</t>
  </si>
  <si>
    <t>Annual claim</t>
  </si>
  <si>
    <t>Which would be 1st child in the household =</t>
  </si>
  <si>
    <t>Which would be 2nd child in the household =</t>
  </si>
  <si>
    <t>Which would be 3rd (or more) child =</t>
  </si>
  <si>
    <t>Number claiming</t>
  </si>
  <si>
    <t xml:space="preserve">% claiming </t>
  </si>
  <si>
    <t>Child element (£2780 per child up to maximum 2 children)</t>
  </si>
  <si>
    <t>Percentage of cases</t>
  </si>
  <si>
    <t xml:space="preserve">Number claiming </t>
  </si>
  <si>
    <t>Proportion of all births where maternity allowance is claimed</t>
  </si>
  <si>
    <t>Spending source</t>
  </si>
  <si>
    <t>http://www.pssru.ac.uk/pub/uc/uc2016/sources-of-information.pdf</t>
  </si>
  <si>
    <t>Year</t>
  </si>
  <si>
    <t>Healthcare Inflation Index</t>
  </si>
  <si>
    <t>The hospital &amp; community health services (HCHS) index</t>
  </si>
  <si>
    <t>2005/06</t>
  </si>
  <si>
    <t>2006/07</t>
  </si>
  <si>
    <t>2007/08</t>
  </si>
  <si>
    <t>Pay and Prices Index</t>
  </si>
  <si>
    <t>2008/09</t>
  </si>
  <si>
    <t>2009/10</t>
  </si>
  <si>
    <t>2010/11</t>
  </si>
  <si>
    <t>2011/12</t>
  </si>
  <si>
    <t>2012/13</t>
  </si>
  <si>
    <t>2013/14</t>
  </si>
  <si>
    <t>2014/15</t>
  </si>
  <si>
    <t>2015/16</t>
  </si>
  <si>
    <t>Housing Benefit</t>
  </si>
  <si>
    <t>Additional claim is the percentage with disability (they would already be claiming family element and maximum child element)</t>
  </si>
  <si>
    <t>Additional claim is child element + percentage with disability (they would already be claiming the family element)</t>
  </si>
  <si>
    <t>Section 16.3</t>
  </si>
  <si>
    <t>Child healthcare costs</t>
  </si>
  <si>
    <t>Education costs</t>
  </si>
  <si>
    <t>Appendix</t>
  </si>
  <si>
    <t>Estimated no. of Users</t>
  </si>
  <si>
    <t>Sheet 1.1</t>
  </si>
  <si>
    <t>- of which receive the maximum rate</t>
  </si>
  <si>
    <t>- of which receive a variable rate</t>
  </si>
  <si>
    <t>Scenario 3</t>
  </si>
  <si>
    <t>SCENARIO SELECTION</t>
  </si>
  <si>
    <t>← Click here to change selection</t>
  </si>
  <si>
    <t xml:space="preserve"> </t>
  </si>
  <si>
    <t xml:space="preserve">Couples with children currently claiming housing benefit </t>
  </si>
  <si>
    <t>Sheet 9b (J7 - I7)</t>
  </si>
  <si>
    <t>Sheet 9b (H7 - E7)</t>
  </si>
  <si>
    <t>Sheet 9a Cell H7</t>
  </si>
  <si>
    <t>Sheet 9a Cell J7</t>
  </si>
  <si>
    <t>- as a proportion of all families</t>
  </si>
  <si>
    <t>Total annual housing benefit costs</t>
  </si>
  <si>
    <t>Increase in average weekly claim costs for single females with (compared to without) children</t>
  </si>
  <si>
    <t>Increase in average weekly claim costs for couples with (compared to without) children</t>
  </si>
  <si>
    <t>https://www.ifs.org.uk/uploads/publications/comms/R126.pdf</t>
  </si>
  <si>
    <t>Primary school cost per place (5-11 yrs)</t>
  </si>
  <si>
    <t>Cost</t>
  </si>
  <si>
    <t>Primary School</t>
  </si>
  <si>
    <t>Pre-school cost per place (3-4 yrs) 2015/16</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</si>
  <si>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</si>
  <si>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</si>
  <si>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</si>
  <si>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</si>
  <si>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</si>
  <si>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</si>
  <si>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</si>
  <si>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</si>
  <si>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</si>
  <si>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</si>
  <si>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</si>
  <si>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</si>
  <si>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</si>
  <si>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</si>
  <si>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http://bmjopen.bmj.com/content/bmjopen/suppl/2013/12/18/bmjopen-2013-003815.DC1/bmjopen-2013-003815supp_appendixA.pdf</t>
  </si>
  <si>
    <t xml:space="preserve">Source: </t>
  </si>
  <si>
    <t>https://www.gov.uk/government/collections/nhs-reference-costs</t>
  </si>
  <si>
    <t>Weighted average</t>
  </si>
  <si>
    <t>Numbers</t>
  </si>
  <si>
    <t>Abortion costs 2015/16</t>
  </si>
  <si>
    <t>MB08A</t>
  </si>
  <si>
    <t>Threatened or Spontaneous Miscarriage, with Interventions</t>
  </si>
  <si>
    <t>MB08B</t>
  </si>
  <si>
    <t>Threatened or Spontaneous Miscarriage, without Interventions</t>
  </si>
  <si>
    <t>Miscarriage costs 2015/16</t>
  </si>
  <si>
    <t>Time Horizon</t>
  </si>
  <si>
    <t>Years</t>
  </si>
  <si>
    <t>Total Education Costs</t>
  </si>
  <si>
    <t>Total Healthcare Costs</t>
  </si>
  <si>
    <t>Preschool</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</si>
  <si>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</si>
  <si>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</si>
  <si>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</si>
  <si>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</si>
  <si>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</si>
  <si>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</si>
  <si>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</si>
  <si>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</si>
  <si>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</si>
  <si>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</si>
  <si>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</si>
  <si>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</si>
  <si>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</si>
  <si>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</si>
  <si>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</si>
  <si>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</si>
  <si>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</si>
  <si>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</si>
  <si>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</si>
  <si>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Ante-Natal Standard Ultrasound Scan</t>
  </si>
  <si>
    <t>NZ22Z</t>
  </si>
  <si>
    <t>Ante-Natal Specialised Ultrasound Scan</t>
  </si>
  <si>
    <t>NZ24A</t>
  </si>
  <si>
    <t>Ante-Natal Therapeutic Procedures, including Induction, with CC Score 2+</t>
  </si>
  <si>
    <t>NZ24B</t>
  </si>
  <si>
    <t>Ante-Natal Therapeutic Procedures, including Induction, with CC Score 0-1</t>
  </si>
  <si>
    <t>Antenatal costs 2015/16</t>
  </si>
  <si>
    <t xml:space="preserve">http://bmjopen.bmj.com/content/3/12/e003815 </t>
  </si>
  <si>
    <t>Appendix A:</t>
  </si>
  <si>
    <t xml:space="preserve">Number of NHS births 2015/16: </t>
  </si>
  <si>
    <t>https://digital.nhs.uk/catalogue/PUB22384</t>
  </si>
  <si>
    <t xml:space="preserve">Hospital Delivery </t>
  </si>
  <si>
    <t>National schedule of reference costs: the main schedule</t>
  </si>
  <si>
    <t>NZ30A</t>
  </si>
  <si>
    <t>Normal Delivery with CC Score 2+</t>
  </si>
  <si>
    <t>NZ30B</t>
  </si>
  <si>
    <t>Normal Delivery with CC Score 1</t>
  </si>
  <si>
    <t>NZ30C</t>
  </si>
  <si>
    <t>Normal Delivery with CC Score 0</t>
  </si>
  <si>
    <t>NZ31A</t>
  </si>
  <si>
    <t>Normal Delivery, with Epidural or Induction, with CC Score 2+</t>
  </si>
  <si>
    <t>NZ31B</t>
  </si>
  <si>
    <t>Normal Delivery, with Epidural or Induction, with CC Score 1</t>
  </si>
  <si>
    <t>NZ31C</t>
  </si>
  <si>
    <t>Normal Delivery, with Epidural or Induction, with CC Score 0</t>
  </si>
  <si>
    <t>NZ32A</t>
  </si>
  <si>
    <t>Normal Delivery, with Epidural and Induction, or with Post-Partum Surgical Intervention, with CC Score 2+</t>
  </si>
  <si>
    <t>NZ32B</t>
  </si>
  <si>
    <t>Normal Delivery, with Epidural and Induction, or with Post-Partum Surgical Intervention, with CC Score 1</t>
  </si>
  <si>
    <t>NZ32C</t>
  </si>
  <si>
    <t>Normal Delivery, with Epidural and Induction, or with Post-Partum Surgical Intervention, with CC Score 0</t>
  </si>
  <si>
    <t>NZ33A</t>
  </si>
  <si>
    <t>Normal Delivery, with Epidural or Induction, and with Post-Partum Surgical Intervention, with CC Score 2+</t>
  </si>
  <si>
    <t>NZ33B</t>
  </si>
  <si>
    <t>Normal Delivery, with Epidural or Induction, and with Post-Partum Surgical Intervention, with CC Score 1</t>
  </si>
  <si>
    <t>NZ33C</t>
  </si>
  <si>
    <t>Normal Delivery, with Epidural or Induction, and with Post-Partum Surgical Intervention, with CC Score 0</t>
  </si>
  <si>
    <t>NZ34A</t>
  </si>
  <si>
    <t>Normal Delivery, with Epidural, Induction and Post-Partum Surgical Intervention, with CC Score 2+</t>
  </si>
  <si>
    <t>NZ34B</t>
  </si>
  <si>
    <t>Normal Delivery, with Epidural, Induction and Post-Partum Surgical Intervention, with CC Score 1</t>
  </si>
  <si>
    <t>NZ34C</t>
  </si>
  <si>
    <t>Normal Delivery, with Epidural, Induction and Post-Partum Surgical Intervention, with CC Score 0</t>
  </si>
  <si>
    <t>NZ40A</t>
  </si>
  <si>
    <t>Assisted Delivery with CC Score 2+</t>
  </si>
  <si>
    <t>NZ40B</t>
  </si>
  <si>
    <t>Assisted Delivery with CC Score 1</t>
  </si>
  <si>
    <t>NZ40C</t>
  </si>
  <si>
    <t>Assisted Delivery with CC Score 0</t>
  </si>
  <si>
    <t>NZ41A</t>
  </si>
  <si>
    <t>Assisted Delivery, with Epidural or Induction, with CC Score 2+</t>
  </si>
  <si>
    <t>NZ41B</t>
  </si>
  <si>
    <t>Assisted Delivery, with Epidural or Induction, with CC Score 1</t>
  </si>
  <si>
    <t>NZ41C</t>
  </si>
  <si>
    <t>Assisted Delivery, with Epidural or Induction, with CC Score 0</t>
  </si>
  <si>
    <t>NZ42A</t>
  </si>
  <si>
    <t>Assisted Delivery, with Epidural and Induction, or with Post-Partum Surgical Intervention, with CC Score 2+</t>
  </si>
  <si>
    <t>NZ42B</t>
  </si>
  <si>
    <t>Assisted Delivery, with Epidural and Induction, or with Post-Partum Surgical Intervention, with CC Score 1</t>
  </si>
  <si>
    <t>NZ42C</t>
  </si>
  <si>
    <t>Assisted Delivery, with Epidural and Induction, or with Post-Partum Surgical Intervention, with CC Score 0</t>
  </si>
  <si>
    <t>NZ43A</t>
  </si>
  <si>
    <t>Assisted Delivery, with Epidural or Induction, and with Post-Partum Surgical Intervention, with CC Score 2+</t>
  </si>
  <si>
    <t>NZ43B</t>
  </si>
  <si>
    <t>Assisted Delivery, with Epidural or Induction, and with Post-Partum Surgical Intervention, with CC Score 1</t>
  </si>
  <si>
    <t>NZ43C</t>
  </si>
  <si>
    <t>Assisted Delivery, with Epidural or Induction, and with Post-Partum Surgical Intervention, with CC Score 0</t>
  </si>
  <si>
    <t>NZ44A</t>
  </si>
  <si>
    <t>Assisted Delivery, with Epidural, Induction and Post-Partum Surgical Intervention, with CC Score 2+</t>
  </si>
  <si>
    <t>NZ44B</t>
  </si>
  <si>
    <t>Assisted Delivery, with Epidural, Induction and Post-Partum Surgical Intervention, with CC Score 1</t>
  </si>
  <si>
    <t>NZ44C</t>
  </si>
  <si>
    <t>Assisted Delivery, with Epidural, Induction and Post-Partum Surgical Intervention, with CC Score 0</t>
  </si>
  <si>
    <t>NZ50A</t>
  </si>
  <si>
    <t>Planned Caesarean Section with CC Score 4+</t>
  </si>
  <si>
    <t>NZ50B</t>
  </si>
  <si>
    <t>Planned Caesarean Section with CC Score 2-3</t>
  </si>
  <si>
    <t>NZ50C</t>
  </si>
  <si>
    <t>Planned Caesarean Section with CC Score 0-1</t>
  </si>
  <si>
    <t>NZ51A</t>
  </si>
  <si>
    <t>Emergency Caesarean Section with CC Score 4+</t>
  </si>
  <si>
    <t>NZ51B</t>
  </si>
  <si>
    <t>Emergency Caesarean Section with CC Score 2-3</t>
  </si>
  <si>
    <t>NZ51C</t>
  </si>
  <si>
    <t>Emergency Caesarean Section with CC Score 0-1</t>
  </si>
  <si>
    <t>NZ26A</t>
  </si>
  <si>
    <t>Post-Natal Disorders with CC Score 2+</t>
  </si>
  <si>
    <t>NZ26B</t>
  </si>
  <si>
    <t>Post-Natal Disorders with CC Score 0-1</t>
  </si>
  <si>
    <t>NZ27Z</t>
  </si>
  <si>
    <t>Post-Natal Therapeutic Procedures</t>
  </si>
  <si>
    <t>PB04A</t>
  </si>
  <si>
    <t>Neonatal Diagnoses (Admitted from Other Location or Born in Hospital), with CC Score 6+</t>
  </si>
  <si>
    <t>PB04B</t>
  </si>
  <si>
    <t>Neonatal Diagnoses (Admitted from Other Location or Born in Hospital), with CC Score 4-5</t>
  </si>
  <si>
    <t>PB04C</t>
  </si>
  <si>
    <t>Neonatal Diagnoses (Admitted from Other Location or Born in Hospital), with CC Score 1-3</t>
  </si>
  <si>
    <t>PB04D</t>
  </si>
  <si>
    <t>Neonatal Diagnoses (Admitted from Other Location or Born in Hospital), with CC Score 0</t>
  </si>
  <si>
    <t>PB05A</t>
  </si>
  <si>
    <t>Neonatal Diagnoses (Admitted from Other Hospital Provider), with CC Score 6+</t>
  </si>
  <si>
    <t>PB05B</t>
  </si>
  <si>
    <t>Neonatal Diagnoses (Admitted from Other Hospital Provider), with CC Score 1-5</t>
  </si>
  <si>
    <t>PB05C</t>
  </si>
  <si>
    <t>Neonatal Diagnoses (Admitted from Other Hospital Provider), with CC Score 0</t>
  </si>
  <si>
    <t>PB06A</t>
  </si>
  <si>
    <t>Neonatal Diagnoses (Admitted from Home), with Interventions, with CC Score 6+</t>
  </si>
  <si>
    <t>PB06B</t>
  </si>
  <si>
    <t>Neonatal Diagnoses (Admitted from Home), with Interventions, with CC Score 4-5</t>
  </si>
  <si>
    <t>PB06C</t>
  </si>
  <si>
    <t>Neonatal Diagnoses (Admitted from Home), with Interventions, with CC Score 3</t>
  </si>
  <si>
    <t>PB06D</t>
  </si>
  <si>
    <t>Neonatal Diagnoses (Admitted from Home), with Interventions, with CC Score 2</t>
  </si>
  <si>
    <t>PB06E</t>
  </si>
  <si>
    <t>Neonatal Diagnoses (Admitted from Home), with Interventions, with CC Score 1</t>
  </si>
  <si>
    <t>PB06F</t>
  </si>
  <si>
    <t>Neonatal Diagnoses (Admitted from Home), with Interventions, with CC Score 0</t>
  </si>
  <si>
    <t>PB06G</t>
  </si>
  <si>
    <t>Neonatal Diagnoses (Admitted from Home), without Interventions, with CC Score 6+</t>
  </si>
  <si>
    <t>PB06H</t>
  </si>
  <si>
    <t>Neonatal Diagnoses (Admitted from Home), without Interventions, with CC Score 4-5</t>
  </si>
  <si>
    <t>PB06J</t>
  </si>
  <si>
    <t>Neonatal Diagnoses (Admitted from Home), without Interventions, with CC Score 3</t>
  </si>
  <si>
    <t>PB06K</t>
  </si>
  <si>
    <t>Neonatal Diagnoses (Admitted from Home), without Interventions, with CC Score 2</t>
  </si>
  <si>
    <t>PB06L</t>
  </si>
  <si>
    <t>Neonatal Diagnoses (Admitted from Home), without Interventions, with CC Score 1</t>
  </si>
  <si>
    <t>PB06M</t>
  </si>
  <si>
    <t>Neonatal Diagnoses (Admitted from Home), without Interventions, with CC Score 0</t>
  </si>
  <si>
    <t>Neonatal Care</t>
  </si>
  <si>
    <t>Post-natal Care</t>
  </si>
  <si>
    <t>Calculating Unit Costs (2015/16)</t>
  </si>
  <si>
    <t>XA01Z</t>
  </si>
  <si>
    <t>Neonatal Critical Care, Intensive Care</t>
  </si>
  <si>
    <t>XA02Z</t>
  </si>
  <si>
    <t>Neonatal Critical Care, High Dependency</t>
  </si>
  <si>
    <t>XA03Z</t>
  </si>
  <si>
    <t>Neonatal Critical Care, Special Care, without External Carer</t>
  </si>
  <si>
    <t>XA04Z</t>
  </si>
  <si>
    <t>Neonatal Critical Care, Special Care, with External Carer</t>
  </si>
  <si>
    <t>XA05Z</t>
  </si>
  <si>
    <t>Neonatal Critical Care, Normal Care</t>
  </si>
  <si>
    <t>XA06Z</t>
  </si>
  <si>
    <t>Neonatal Critical Care, Transportation</t>
  </si>
  <si>
    <t>Neonatology (Outpatient)</t>
  </si>
  <si>
    <t>ASNNS</t>
  </si>
  <si>
    <t>Newborn Hearing Screening Programme Attendance</t>
  </si>
  <si>
    <t>N01A</t>
  </si>
  <si>
    <t>Community Midwife, Ante Natal Visit</t>
  </si>
  <si>
    <t>N01P</t>
  </si>
  <si>
    <t>Community Midwife, Post Natal Visit</t>
  </si>
  <si>
    <t>N03A</t>
  </si>
  <si>
    <t>Health Visitor, Ante,Natal Review</t>
  </si>
  <si>
    <t>N03B</t>
  </si>
  <si>
    <t>Health Visitor, New Baby Review</t>
  </si>
  <si>
    <t>N03C</t>
  </si>
  <si>
    <t>Health Visitor, 6 to 8 Weeks Check</t>
  </si>
  <si>
    <t>Perinatal Mental Healthcare</t>
  </si>
  <si>
    <t>SPHMSMBUAPC</t>
  </si>
  <si>
    <t>Specialist Perinatal Mental Health Services, Admitted Patient</t>
  </si>
  <si>
    <t>SPHMSMBUCC</t>
  </si>
  <si>
    <t>Specialist Perinatal Mental Health Services, Community Contacts</t>
  </si>
  <si>
    <t>SPHMSMBUOP</t>
  </si>
  <si>
    <t>Specialist Perinatal Mental Health Services, Outpatient Attendances</t>
  </si>
  <si>
    <t>Total costs per birth</t>
  </si>
  <si>
    <t>PERSPECTIVE SELECTION</t>
  </si>
  <si>
    <t>TIME HORIZON SELECTION</t>
  </si>
  <si>
    <t>Scenario:</t>
  </si>
  <si>
    <t>Perspective:</t>
  </si>
  <si>
    <t>Time Horizon:</t>
  </si>
  <si>
    <t>1 year</t>
  </si>
  <si>
    <t>10 years</t>
  </si>
  <si>
    <t>5 years</t>
  </si>
  <si>
    <t>Cumulative</t>
  </si>
  <si>
    <t>Total Housing benefit</t>
  </si>
  <si>
    <t>Healthcare Costs</t>
  </si>
  <si>
    <t>Ongoing child healthcare costs</t>
  </si>
  <si>
    <t>Time Horizon (years)</t>
  </si>
  <si>
    <t>Month</t>
  </si>
  <si>
    <t>Spend</t>
  </si>
  <si>
    <t>NHS Spending</t>
  </si>
  <si>
    <t xml:space="preserve">https://openprescribing.net/bnf/0703/ </t>
  </si>
  <si>
    <t>Spending on Contraception (BNF Section 7.3) across all NHS GP practices in England</t>
  </si>
  <si>
    <t xml:space="preserve">Paper for method: </t>
  </si>
  <si>
    <t>total pregnancies minus the proportion of abortions and miscarriages (Sheet 2.2)</t>
  </si>
  <si>
    <t>Actual pattern of contraceptive use (NATSAL3)</t>
  </si>
  <si>
    <r>
      <t xml:space="preserve">Question: 'UsualCo2' - </t>
    </r>
    <r>
      <rPr>
        <i/>
        <sz val="11"/>
        <color theme="0" tint="-0.499984740745262"/>
        <rFont val="Calibri"/>
        <family val="2"/>
        <scheme val="minor"/>
      </rPr>
      <t xml:space="preserve">Which would you say is your most usual method these days? </t>
    </r>
  </si>
  <si>
    <t>ADJUSTED</t>
  </si>
  <si>
    <t>Mistimed (60%)</t>
  </si>
  <si>
    <t xml:space="preserve">60% are 'mistimed': would have occurred as intended births at a later date </t>
  </si>
  <si>
    <t>Maternity Allowance</t>
  </si>
  <si>
    <t>Avg weekly claim</t>
  </si>
  <si>
    <t>Avg total claim</t>
  </si>
  <si>
    <t>Sure Start Maternity Grant</t>
  </si>
  <si>
    <t>Total number of Sure Start Maternity Grants (2016/17)</t>
  </si>
  <si>
    <t>https://www.gov.uk/government/uploads/system/uploads/attachment_data/file/630382/social-fund-annual-report-2016-2017.pdf</t>
  </si>
  <si>
    <t>Social Fund Annual Report  pg 17, 18</t>
  </si>
  <si>
    <t>Proportion of all births where Sure Start Maternity Grant is claimed</t>
  </si>
  <si>
    <t>Sure Start Maternity Grant - award value</t>
  </si>
  <si>
    <t xml:space="preserve">Total averted Sure Start costs = </t>
  </si>
  <si>
    <t xml:space="preserve">https://www.gov.uk/sure-start-maternity-grant </t>
  </si>
  <si>
    <t>TOTAL averted maternity benefit costs</t>
  </si>
  <si>
    <t>All benefits (from averted maternity benefit costs) are realised in year 0</t>
  </si>
  <si>
    <t>Child Age*</t>
  </si>
  <si>
    <t>Child benefit costs</t>
  </si>
  <si>
    <t>Child Tax Credit Costs</t>
  </si>
  <si>
    <t>Working Tax Credit Costs</t>
  </si>
  <si>
    <t>See 'Outline' sheet to change scenario</t>
  </si>
  <si>
    <t>*Child Age is offset 1 year from the time horizon because birth occurs 9 months (approximated to 1 year) after contraception would have been used to prevent the birth</t>
  </si>
  <si>
    <t>NHS</t>
  </si>
  <si>
    <t>Revenue Account Budget 2016/17:</t>
  </si>
  <si>
    <t xml:space="preserve"> Contraception (prescribed functions)</t>
  </si>
  <si>
    <t>Antenatal Care (2011)</t>
  </si>
  <si>
    <t>http://www.info.doh.gov.uk/doh/finman.nsf/af3d43e36a4c8f8500256722005b77f8/360a47827991d10a80258036002d8d9f/$FILE/2015.16%20Pay%20&amp;%20Price%20series.xlsx</t>
  </si>
  <si>
    <t>Hospital Delivery (2011)</t>
  </si>
  <si>
    <t>Neonatal Care (2011)</t>
  </si>
  <si>
    <t>2011 price</t>
  </si>
  <si>
    <t>2016 price</t>
  </si>
  <si>
    <t>Postnatal Care including perinatal mental health (2011)</t>
  </si>
  <si>
    <t>Average NHS abortion cost (2011)</t>
  </si>
  <si>
    <t>- converted to 2016 prices</t>
  </si>
  <si>
    <t>Average NHS miscarriage cost (2011)</t>
  </si>
  <si>
    <t>Birth and Care Costs</t>
  </si>
  <si>
    <t>http://bmjopen.bmj.com/content/3/12/e003815</t>
  </si>
  <si>
    <t xml:space="preserve">http://bmjopen.bmj.com/content/bmjopen/suppl/2013/12/18/bmjopen-2013-003815.DC1/bmjopen-2013-003815supp_appendixA.pdf </t>
  </si>
  <si>
    <t>NOT CURRENTLY IN USE IN THE MODEL</t>
  </si>
  <si>
    <t>Child Tax Credit</t>
  </si>
  <si>
    <t>https://www.gov.uk/government/statistics/dwp-statistical-summaries-2017</t>
  </si>
  <si>
    <t>Income Support</t>
  </si>
  <si>
    <t>Sheet 4 Cell E82</t>
  </si>
  <si>
    <t>Average weekly amount for Income Support for females (May 2017)</t>
  </si>
  <si>
    <t>Proportion of lone parent families that claim Income Support</t>
  </si>
  <si>
    <t xml:space="preserve">Sheet 6 Cell D 82 </t>
  </si>
  <si>
    <t>Income Support Costs</t>
  </si>
  <si>
    <t>Sheet 3 BM17</t>
  </si>
  <si>
    <t>Sheet 3 Cell BM21</t>
  </si>
  <si>
    <t>Total number of UK families 2017</t>
  </si>
  <si>
    <t>Single females with children currently claiming housing benefit (Aug 2017)</t>
  </si>
  <si>
    <t xml:space="preserve"> Inflation Index </t>
  </si>
  <si>
    <t>Proportion of averted births which would be first child in the family</t>
  </si>
  <si>
    <t>Proportion of single child families headed by a lone parent</t>
  </si>
  <si>
    <t>Number of lone parents who claim income support (May 2017)</t>
  </si>
  <si>
    <t>Number of lone parent families (2017)</t>
  </si>
  <si>
    <t>DWP</t>
  </si>
  <si>
    <t>ONS</t>
  </si>
  <si>
    <t>Link</t>
  </si>
  <si>
    <t>See sheet 1.1</t>
  </si>
  <si>
    <t>Sheet 3 Cell BM 22</t>
  </si>
  <si>
    <t>Number of single child families in the UK (2017)</t>
  </si>
  <si>
    <t>Number of single child families in the UK headed by a lone parent (2017)</t>
  </si>
  <si>
    <t>Sheet 3 Cell BM 18</t>
  </si>
  <si>
    <t>File name: is_nov17.ods</t>
  </si>
  <si>
    <t>DCLG</t>
  </si>
  <si>
    <t>HMRC</t>
  </si>
  <si>
    <t>Total number of UK families (2016)</t>
  </si>
  <si>
    <t>Total number of UK families (2017)</t>
  </si>
  <si>
    <t>Number of families claiming child tax credit (April 2017)</t>
  </si>
  <si>
    <t>https://www.gov.uk/government/publications/rates-and-allowances-tax-credits-child-benefit-and-guardians-allowance/tax-credits-child-benefit-and-guardians-allowance</t>
  </si>
  <si>
    <t>CTC Rates</t>
  </si>
  <si>
    <t>.Gov</t>
  </si>
  <si>
    <t>(April 2017)</t>
  </si>
  <si>
    <t>Number of UK families claiming child benefit (Aug 2016)</t>
  </si>
  <si>
    <t xml:space="preserve">Total annual pre-school costs </t>
  </si>
  <si>
    <t>Total annual primary school costs</t>
  </si>
  <si>
    <t>Total annual child benefit costs</t>
  </si>
  <si>
    <t>Total annual CTC costs</t>
  </si>
  <si>
    <t>Total annual working tax credit (childcare) costs</t>
  </si>
  <si>
    <t>Total annual WTC (childcare) costs</t>
  </si>
  <si>
    <t>IFS</t>
  </si>
  <si>
    <t>pg 34</t>
  </si>
  <si>
    <t>pg 6</t>
  </si>
  <si>
    <t>Thomas, Cameron (2013)</t>
  </si>
  <si>
    <t>Gilda et al (2014)</t>
  </si>
  <si>
    <t>Montouchet and Trussell  (2012)</t>
  </si>
  <si>
    <t>Mid-2016 , MYE2-F, Cell S9-AV9</t>
  </si>
  <si>
    <t>Mid-2015 , MYE2-population-by-sex, Cell S7-AV7</t>
  </si>
  <si>
    <t>Time series, Cell B39</t>
  </si>
  <si>
    <t>NHS England</t>
  </si>
  <si>
    <t>https://digital.nhs.uk/catalogue/PUB30137</t>
  </si>
  <si>
    <t xml:space="preserve">Number of all live births in England (2016) </t>
  </si>
  <si>
    <t>2.10 Universal Credit</t>
  </si>
  <si>
    <t>Replaces</t>
  </si>
  <si>
    <t>Jobseeker’s Allowance (JSA)</t>
  </si>
  <si>
    <t>Employment and Support Allowance (ESA)</t>
  </si>
  <si>
    <t>Working Tax Credit</t>
  </si>
  <si>
    <t>Element</t>
  </si>
  <si>
    <t>2017-18 rates per month</t>
  </si>
  <si>
    <t>Standard Allowance</t>
  </si>
  <si>
    <t>Single claimant under 25</t>
  </si>
  <si>
    <t>Single claimant 25 and over</t>
  </si>
  <si>
    <t>Joint claimants, both under 25</t>
  </si>
  <si>
    <t>Joint claimants, either/both 25 and over</t>
  </si>
  <si>
    <t>Child Element</t>
  </si>
  <si>
    <t>2nd &amp; subsequent child or qualifying young person. First child as well if born on or after 6 April 2017.</t>
  </si>
  <si>
    <t>Additional amount for disabled child or qualifying young person</t>
  </si>
  <si>
    <t>Lower rate</t>
  </si>
  <si>
    <t>Higher rate</t>
  </si>
  <si>
    <t>Limited capability for work</t>
  </si>
  <si>
    <t>(Only for claims started before 3 April 2017)</t>
  </si>
  <si>
    <t>Limited capability for work &amp; work related activity</t>
  </si>
  <si>
    <t>Carer element</t>
  </si>
  <si>
    <t>Childcare costs element</t>
  </si>
  <si>
    <t>Maximum amount of childcare costs for one child (UC pays up to 85% or maximum whichever is lower)</t>
  </si>
  <si>
    <t>Maximum amount for 2 or more children (UC pays up to 85% or maximum whichever is lower)</t>
  </si>
  <si>
    <t>Capital limits</t>
  </si>
  <si>
    <t>Lower limit</t>
  </si>
  <si>
    <t>Upper limit</t>
  </si>
  <si>
    <t>Tariff income</t>
  </si>
  <si>
    <t>£4.35 per £250 of income (or part of £250) between the lower limit and upper limit</t>
  </si>
  <si>
    <t>Higher work allowance (where the UC award does not contain any housing costs element)</t>
  </si>
  <si>
    <t>Single claimant – no responsibility for a child or qualifying young person</t>
  </si>
  <si>
    <t>Single claimant – responsible for one or more children or qualifying young people</t>
  </si>
  <si>
    <t>Single claimant – limited capability for work</t>
  </si>
  <si>
    <t>Joint claimants – neither responsible for a child or qualifying young person</t>
  </si>
  <si>
    <t>Joint claimants – responsible for one or more children or qualifying young people</t>
  </si>
  <si>
    <t>Joint claimants – one or both have limited capability for work</t>
  </si>
  <si>
    <t>Lower work allowance (where the UC award contains housing costs element)</t>
  </si>
  <si>
    <t>2017-18 rates per year</t>
  </si>
  <si>
    <t>1st child  (if born after April 2017)</t>
  </si>
  <si>
    <t>Birth costs</t>
  </si>
  <si>
    <t>2.1 Birth, Abortion and Miscarriage Costs</t>
  </si>
  <si>
    <t xml:space="preserve">Average allowance duration (in weeks): </t>
  </si>
  <si>
    <t>Table 3, Cell C12</t>
  </si>
  <si>
    <t>CONTRACEPTIVE USE</t>
  </si>
  <si>
    <t>Proportion of births that occur in the NHS (as opposed to private sector)</t>
  </si>
  <si>
    <t>Typical Use</t>
  </si>
  <si>
    <t>Costs mostly relate to the costs of birth, as well as maternity benefits</t>
  </si>
  <si>
    <t>Increasing impact of costs of welfare, and ongoing child healthcare costs</t>
  </si>
  <si>
    <t>Increasing impact of costs of welfare and in particular, education</t>
  </si>
  <si>
    <t>Perfect Use</t>
  </si>
  <si>
    <t>* NATSAL-3 , 2010/12, analysis of raw data</t>
  </si>
  <si>
    <t>IUD failure rate: Paragard and Mirena have different failure rates; midpoint taken</t>
  </si>
  <si>
    <t>Both 2015 and 2016 population data are presented here as they serve different functions in the model. For calculating the distribution of number of children in females age 15-44, the 2015 data is used, as the cohort fertility data used in the calculation is also from 2015.  The main population figure in the model (used to calculate the number of averted pregnancies) uses the 2016 figure as this is the latest available population data.</t>
  </si>
  <si>
    <t>1.1    Female Population of Child-bearing Age, including distribution by number of children</t>
  </si>
  <si>
    <t>Cohort Fertility 'Exact Age 16 yrs old ' = 'Up to age 16', here taken as 15 years old.</t>
  </si>
  <si>
    <t>e.g. Row 105 for 16 year olds (in 2015), row 201 for 17 year olds (in 2015)</t>
  </si>
  <si>
    <t>Birth costs, abortion and miscarriage costs, and ongoing child healthcare costs</t>
  </si>
  <si>
    <t>5842 respondents (females aged 16-44 years: note 16 is the youngest age of respondents so there is no ability to inclue 15 year olds)</t>
  </si>
  <si>
    <t>Failure Rate refers to % of women experiencing unintended pregnancy within one year of use (typical use or perfect use)</t>
  </si>
  <si>
    <t>Paper:</t>
  </si>
  <si>
    <t>Method:</t>
  </si>
  <si>
    <t>Benefit-Cost Ratio</t>
  </si>
  <si>
    <t>total future cost savings from pregnancies averted by contraception</t>
  </si>
  <si>
    <t xml:space="preserve">      total annual public spend on contraception</t>
  </si>
  <si>
    <t>Perfect use</t>
  </si>
  <si>
    <t>OBR</t>
  </si>
  <si>
    <t>By age (below)</t>
  </si>
  <si>
    <t xml:space="preserve">http://budgetresponsibility.org.uk/fsr/fiscal-sustainability-analytical-papers-july-2016/ </t>
  </si>
  <si>
    <t>Per capita health costs* (undiscounted)</t>
  </si>
  <si>
    <t>Total Healthcare Costs (discounted)</t>
  </si>
  <si>
    <t>Public spending on Health, Chart 2.3</t>
  </si>
  <si>
    <t>Annual Per capita healthcare costs</t>
  </si>
  <si>
    <t>Proportion of all children in care</t>
  </si>
  <si>
    <t>Average annual spend on a foster place for a child</t>
  </si>
  <si>
    <t>Percentage of children in care who are fostered</t>
  </si>
  <si>
    <t>Average annual spend on a residential place for a child</t>
  </si>
  <si>
    <t>Percentage of children in care in a residential place</t>
  </si>
  <si>
    <t>Children in Care</t>
  </si>
  <si>
    <t>Total annual cost of children in care</t>
  </si>
  <si>
    <t>Children in Care costs</t>
  </si>
  <si>
    <t>NAO</t>
  </si>
  <si>
    <t>https://www.nao.org.uk/wp-content/uploads/2014/11/Children-in-care1.pdf</t>
  </si>
  <si>
    <t>Report on Children in Care (Nov, 2014)</t>
  </si>
  <si>
    <t>100% lone parents</t>
  </si>
  <si>
    <t>100% couples</t>
  </si>
  <si>
    <t>Income support for lone parents</t>
  </si>
  <si>
    <t>Maternity benefits</t>
  </si>
  <si>
    <t>Children in care</t>
  </si>
  <si>
    <t>LARCs replaced by pill and condom equally</t>
  </si>
  <si>
    <t>LARCs replaced by pill, condom and no method equally</t>
  </si>
  <si>
    <t>LARCs replaced by 'no method'</t>
  </si>
  <si>
    <t>Cost per pregnancy</t>
  </si>
  <si>
    <t>10 year cost saving per averted pregnancy</t>
  </si>
  <si>
    <t>10 year cost saving per averted birth</t>
  </si>
  <si>
    <t>Scenario 4</t>
  </si>
  <si>
    <t>All methods replaced by privately purchased condoms</t>
  </si>
  <si>
    <t xml:space="preserve"> SELECTION</t>
  </si>
  <si>
    <t>IUD/IUS</t>
  </si>
  <si>
    <t>CURRENT</t>
  </si>
  <si>
    <t>Custom</t>
  </si>
  <si>
    <t>2010-11</t>
  </si>
  <si>
    <t>2011-12</t>
  </si>
  <si>
    <t>2012-13</t>
  </si>
  <si>
    <t>2013-14</t>
  </si>
  <si>
    <t>2014-15</t>
  </si>
  <si>
    <t>2015-16</t>
  </si>
  <si>
    <t>2016-17</t>
  </si>
  <si>
    <t>GDP Deflator</t>
  </si>
  <si>
    <t>Cost per birth</t>
  </si>
  <si>
    <t>- converted to 2016/17 price</t>
  </si>
  <si>
    <t>GDP Deflator (Inflation sheet)</t>
  </si>
  <si>
    <t>Scenario 5</t>
  </si>
  <si>
    <t>https://www.gov.uk/government/collections/gdp-deflators-at-market-prices-and-money-gdp</t>
  </si>
  <si>
    <t>GDP Deflators</t>
  </si>
  <si>
    <t>Input custom percentages on "Sheet 1"</t>
  </si>
  <si>
    <t>Total Public Sector Costs</t>
  </si>
  <si>
    <t xml:space="preserve">Unadjusted </t>
  </si>
  <si>
    <t>Adjusted</t>
  </si>
  <si>
    <t>Overall Methodology (McGuire &amp; Hughes, 1995)</t>
  </si>
  <si>
    <t>UNADJUSTED</t>
  </si>
  <si>
    <t>Number of live births occurring in the NHS in England (2016/17)</t>
  </si>
  <si>
    <t>Total Public Sector</t>
  </si>
  <si>
    <t>Costs of education, child-related benefits, housing benefit, maternity benefits, and children in care</t>
  </si>
  <si>
    <t>Total healthcare and non-healthcare savings</t>
  </si>
  <si>
    <t>Non-healthcare costs</t>
  </si>
  <si>
    <t>Time horizon:</t>
  </si>
  <si>
    <t>Unplanned (40%)</t>
  </si>
  <si>
    <t>Non-Healthcare</t>
  </si>
  <si>
    <t>Total Non-Healthcare Costs</t>
  </si>
  <si>
    <t>Perspective</t>
  </si>
  <si>
    <t>-</t>
  </si>
  <si>
    <t>per pregnancy</t>
  </si>
  <si>
    <t>per live birth</t>
  </si>
  <si>
    <t>Number of years by which birth delayed</t>
  </si>
  <si>
    <t>Unadjusted</t>
  </si>
  <si>
    <t>Population Cost Savings</t>
  </si>
  <si>
    <t>Cost saving per pregnancy</t>
  </si>
  <si>
    <t>Cost saving per live birth</t>
  </si>
  <si>
    <t>- citing evidence from US National Survey of Family Growth  (2005)</t>
  </si>
  <si>
    <t>Hypothetical pattern of use if no public provision</t>
  </si>
  <si>
    <t>% Users</t>
  </si>
  <si>
    <t>% Failure</t>
  </si>
  <si>
    <t>40% would not have occurred as intended births in the future</t>
  </si>
  <si>
    <r>
      <t>Cost of mistimed birth = B – B/(1+r)</t>
    </r>
    <r>
      <rPr>
        <b/>
        <vertAlign val="superscript"/>
        <sz val="11"/>
        <color theme="1"/>
        <rFont val="Calibri"/>
        <family val="2"/>
        <scheme val="minor"/>
      </rPr>
      <t>d</t>
    </r>
  </si>
  <si>
    <t>Cost of birth</t>
  </si>
  <si>
    <t>cost per pregnancy</t>
  </si>
  <si>
    <t>ADJUSTMENT FOR MISTIMED BIRTHS</t>
  </si>
  <si>
    <t>Note we have included hospital, community, family health, and  pharmaceutical spending but not capital spending</t>
  </si>
  <si>
    <t>LARCs and sterilisation replaced by condoms and pill</t>
  </si>
  <si>
    <t>Mandated 0-5 children’s services (prescribed functions)</t>
  </si>
  <si>
    <t>£m</t>
  </si>
  <si>
    <t xml:space="preserve">Children’s 5-19 public health programmes </t>
  </si>
  <si>
    <t xml:space="preserve">All other 0-5 children’s services (non-prescribed functions) </t>
  </si>
  <si>
    <t>0-5 year olds</t>
  </si>
  <si>
    <t>5-19 year olds</t>
  </si>
  <si>
    <t>https://www.ons.gov.uk/peoplepopulationandcommunity/birthsdeathsandmarriages/lifeexpectancies/adhocs/007598populationestimatesanddeathsbysingleyearofageforenglandandwalesandtheuk1961to2016</t>
  </si>
  <si>
    <t>Population 2016 - England</t>
  </si>
  <si>
    <t>EW female pops, EW males pops, 5% adjustment to remove Wales population</t>
  </si>
  <si>
    <t>Public health services for children</t>
  </si>
  <si>
    <t>Annual Public Health Grant spending  (2016/17) - Total</t>
  </si>
  <si>
    <t>Annual Public Health Grant spending (2016/17) - Per capita</t>
  </si>
  <si>
    <t>Public Health Services for Children  - Public Health Grant Spending</t>
  </si>
  <si>
    <t>MHCLG</t>
  </si>
  <si>
    <t xml:space="preserve">Select a hypotherical scenario of how the pattern of contraception use may change if publically funded contraception were not avaliable: </t>
  </si>
  <si>
    <t>NB. Percentage of users have been adjusted to sum to 100% due to non-responders in the NATSAL survey</t>
  </si>
  <si>
    <t>Percentages have been adjusted to account for non-respondents</t>
  </si>
  <si>
    <t>2.3 Public Health Services for Children</t>
  </si>
  <si>
    <t>Total public sector</t>
  </si>
  <si>
    <t>For chart</t>
  </si>
  <si>
    <t>Estimation of Return on Investment (ROI) for publicly funded contraception in England</t>
  </si>
  <si>
    <t>This model calculates the Return on Investment (Benefit-Cost ratio) for publicly funded contraception in England.  The ‘benefits’ can be regarded as the healthcare and non-healthcare cost savings that result from averting conceptions,  through the use of publicly provided contraception. The ‘cost’ is the total amount of public money spent on contraception in a year. Averted pregnancies are calculated from the current pattern of contraceptive use compared to a hypothetical pattern of use if public provision were not available. An adjustment is made for the proportion of these pregnancies that are 'mistimed' rather than 'unwanted'.</t>
  </si>
  <si>
    <t>Users should use the drop-down menus below to tailor Return on Investment results based on different scenarios, percepectives and time horizons:</t>
  </si>
  <si>
    <t>Check</t>
  </si>
  <si>
    <t>2.2 Ongoing child healthcare costs</t>
  </si>
  <si>
    <t>2.4 Education Costs</t>
  </si>
  <si>
    <t>2.5 Child Benefit</t>
  </si>
  <si>
    <t>2.6 Child Tax Credits</t>
  </si>
  <si>
    <t>2.7 Working Tax Credit</t>
  </si>
  <si>
    <t>2.8 Income Support for Lone Parents</t>
  </si>
  <si>
    <t>2.9 Housing Benefit</t>
  </si>
  <si>
    <t>2.11 Children in Care</t>
  </si>
  <si>
    <t>2.10 Maternity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</si>
</sst>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0.0%"/>
    <numFmt numFmtId="165" formatCode="0.0"/>
    <numFmt numFmtId="166" formatCode="&quot;£&quot;#,##0"/>
    <numFmt numFmtId="167" formatCode="mm\-yy"/>
    <numFmt numFmtId="168" formatCode="&quot;£&quot;#,##0.00"/>
    <numFmt numFmtId="169" formatCode="#,##0_ ;\-#,##0\ "/>
    <numFmt numFmtId="170" formatCode="&quot;£&quot;#.##,,&quot;m&quot;;"/>
    <numFmt numFmtId="171" formatCode="#,##0_ ;[Red]\-#,##0\ "/>
    <numFmt numFmtId="172" formatCode="_-* #,##0_-;\-* #,##0_-;_-* &quot;-&quot;??_-;_-@_-"/>
    <numFmt numFmtId="173" formatCode="&quot;£&quot;#.#,,&quot;m&quot;;"/>
    <numFmt numFmtId="174" formatCode="0.000000000000000%"/>
    <numFmt numFmtId="175" formatCode="0.00000"/>
    <numFmt numFmtId="176" formatCode="0.00000%"/>
    <numFmt numFmtId="177" formatCode="0.0000000000000%"/>
    <numFmt numFmtId="178" formatCode="0_)"/>
  </numFmts>
  <fonts count="47"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u/>
      <sz val="11"/>
      <color theme="1"/>
      <name val="Calibri"/>
      <family val="2"/>
      <scheme val="minor"/>
    </font>
    <font>
      <sz val="11"/>
      <color theme="0" tint="-0.499984740745262"/>
      <name val="Calibri"/>
      <family val="2"/>
      <scheme val="minor"/>
    </font>
    <font>
      <u/>
      <sz val="11"/>
      <color theme="10"/>
      <name val="Calibri"/>
      <family val="2"/>
      <scheme val="minor"/>
    </font>
    <font>
      <sz val="9"/>
      <color indexed="81"/>
      <name val="Tahoma"/>
      <family val="2"/>
    </font>
    <font>
      <b/>
      <sz val="9"/>
      <color indexed="81"/>
      <name val="Tahoma"/>
      <family val="2"/>
    </font>
    <font>
      <sz val="10"/>
      <color theme="1"/>
      <name val="Arial"/>
      <family val="2"/>
    </font>
    <font>
      <u/>
      <sz val="10"/>
      <color indexed="12"/>
      <name val="Arial"/>
      <family val="2"/>
    </font>
    <font>
      <b/>
      <sz val="14"/>
      <color theme="1"/>
      <name val="Calibri"/>
      <family val="2"/>
      <scheme val="minor"/>
    </font>
    <font>
      <sz val="11"/>
      <color indexed="8"/>
      <name val="Calibri"/>
      <family val="2"/>
    </font>
    <font>
      <u/>
      <sz val="10"/>
      <color indexed="30"/>
      <name val="Arial"/>
      <family val="2"/>
    </font>
    <font>
      <u/>
      <sz val="11"/>
      <color indexed="12"/>
      <name val="Calibri"/>
      <family val="2"/>
    </font>
    <font>
      <sz val="10"/>
      <name val="Arial"/>
      <family val="2"/>
    </font>
    <font>
      <sz val="11"/>
      <color theme="1"/>
      <name val="Calibri"/>
      <family val="2"/>
      <scheme val="minor"/>
    </font>
    <font>
      <sz val="11"/>
      <color rgb="FFFF0000"/>
      <name val="Calibri"/>
      <family val="2"/>
      <scheme val="minor"/>
    </font>
    <font>
      <u/>
      <sz val="10"/>
      <color indexed="12"/>
      <name val="MS Sans Serif"/>
      <family val="2"/>
    </font>
    <font>
      <sz val="10"/>
      <name val="MS Sans Serif"/>
      <family val="2"/>
    </font>
    <font>
      <sz val="8"/>
      <color theme="1"/>
      <name val="Arial"/>
      <family val="2"/>
    </font>
    <font>
      <sz val="11"/>
      <name val="Calibri"/>
      <family val="2"/>
      <scheme val="minor"/>
    </font>
    <font>
      <b/>
      <vertAlign val="superscript"/>
      <sz val="11"/>
      <color theme="1"/>
      <name val="Calibri"/>
      <family val="2"/>
      <scheme val="minor"/>
    </font>
    <font>
      <b/>
      <sz val="11"/>
      <name val="Calibri"/>
      <family val="2"/>
      <scheme val="minor"/>
    </font>
    <font>
      <i/>
      <sz val="11"/>
      <name val="Calibri"/>
      <family val="2"/>
      <scheme val="minor"/>
    </font>
    <font>
      <sz val="10"/>
      <name val="Times New Roman"/>
      <family val="1"/>
    </font>
    <font>
      <i/>
      <sz val="10"/>
      <name val="Times New Roman"/>
      <family val="1"/>
    </font>
    <font>
      <b/>
      <sz val="10"/>
      <color rgb="FFFF0000"/>
      <name val="Times New Roman"/>
      <family val="1"/>
    </font>
    <font>
      <vertAlign val="superscript"/>
      <sz val="10"/>
      <name val="Times New Roman"/>
      <family val="1"/>
    </font>
    <font>
      <b/>
      <sz val="11"/>
      <color rgb="FFFF0000"/>
      <name val="Calibri"/>
      <family val="2"/>
      <scheme val="minor"/>
    </font>
    <font>
      <b/>
      <sz val="16"/>
      <color theme="1"/>
      <name val="Calibri"/>
      <family val="2"/>
      <scheme val="minor"/>
    </font>
    <font>
      <i/>
      <sz val="11"/>
      <color theme="1"/>
      <name val="Calibri"/>
      <family val="2"/>
      <scheme val="minor"/>
    </font>
    <font>
      <b/>
      <sz val="11"/>
      <color theme="0"/>
      <name val="Calibri"/>
      <family val="2"/>
    </font>
    <font>
      <b/>
      <sz val="11"/>
      <color theme="8" tint="-0.249977111117893"/>
      <name val="Calibri"/>
      <family val="2"/>
      <scheme val="minor"/>
    </font>
    <font>
      <b/>
      <sz val="14"/>
      <color theme="0"/>
      <name val="Calibri"/>
      <family val="2"/>
      <scheme val="minor"/>
    </font>
    <font>
      <i/>
      <sz val="11"/>
      <color theme="0" tint="-0.499984740745262"/>
      <name val="Calibri"/>
      <family val="2"/>
      <scheme val="minor"/>
    </font>
    <font>
      <sz val="9.3000000000000007"/>
      <color rgb="FF000000"/>
      <name val="Times New Roman"/>
      <family val="1"/>
    </font>
    <font>
      <b/>
      <sz val="9.3000000000000007"/>
      <color rgb="FF000000"/>
      <name val="Times New Roman"/>
      <family val="1"/>
    </font>
    <font>
      <sz val="11"/>
      <color theme="1"/>
      <name val="Calibri"/>
      <family val="2"/>
    </font>
    <font>
      <b/>
      <sz val="18"/>
      <color theme="0"/>
      <name val="Calibri"/>
      <family val="2"/>
      <scheme val="minor"/>
    </font>
    <font>
      <b/>
      <sz val="10"/>
      <name val="Arial"/>
      <family val="2"/>
    </font>
    <font>
      <sz val="11"/>
      <color theme="1"/>
      <name val="Arial"/>
      <family val="2"/>
    </font>
    <font>
      <sz val="9"/>
      <color theme="1"/>
      <name val="Arial"/>
      <family val="2"/>
    </font>
    <font>
      <b/>
      <sz val="12"/>
      <name val="Arial"/>
      <family val="2"/>
    </font>
    <font>
      <b/>
      <u/>
      <sz val="11"/>
      <color rgb="FF000000"/>
      <name val="Calibri"/>
      <family val="2"/>
      <scheme val="minor"/>
    </font>
    <font>
      <b/>
      <sz val="11"/>
      <color rgb="FF000000"/>
      <name val="Calibri"/>
      <family val="2"/>
      <scheme val="minor"/>
    </font>
    <font>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822433"/>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499984740745262"/>
        <bgColor indexed="64"/>
      </patternFill>
    </fill>
    <fill>
      <patternFill patternType="solid">
        <fgColor theme="8"/>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26"/>
      </patternFill>
    </fill>
    <fill>
      <patternFill patternType="solid">
        <fgColor theme="5" tint="0.59999389629810485"/>
        <bgColor indexed="64"/>
      </patternFill>
    </fill>
    <fill>
      <patternFill patternType="solid">
        <fgColor rgb="FFFFFFFF"/>
        <bgColor indexed="64"/>
      </patternFill>
    </fill>
  </fills>
  <borders count="51">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style="medium">
        <color theme="8" tint="-0.499984740745262"/>
      </left>
      <right/>
      <top style="medium">
        <color theme="8" tint="-0.499984740745262"/>
      </top>
      <bottom/>
      <diagonal/>
    </border>
    <border>
      <left style="medium">
        <color theme="8" tint="-0.499984740745262"/>
      </left>
      <right style="medium">
        <color theme="8" tint="-0.499984740745262"/>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theme="0"/>
      </bottom>
      <diagonal/>
    </border>
    <border>
      <left/>
      <right/>
      <top style="medium">
        <color indexed="64"/>
      </top>
      <bottom/>
      <diagonal/>
    </border>
    <border>
      <left style="medium">
        <color indexed="64"/>
      </left>
      <right style="medium">
        <color indexed="64"/>
      </right>
      <top style="medium">
        <color indexed="64"/>
      </top>
      <bottom/>
      <diagonal/>
    </border>
    <border>
      <left/>
      <right/>
      <top/>
      <bottom style="thin">
        <color theme="0"/>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1">
    <xf numFmtId="0" fontId="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2" fillId="0" borderId="0"/>
    <xf numFmtId="0" fontId="12" fillId="0" borderId="0"/>
    <xf numFmtId="0" fontId="15" fillId="0" borderId="0"/>
    <xf numFmtId="0" fontId="15" fillId="0" borderId="0"/>
    <xf numFmtId="0" fontId="15" fillId="0" borderId="0"/>
    <xf numFmtId="0" fontId="12" fillId="12" borderId="12" applyNumberFormat="0" applyFont="0" applyAlignment="0" applyProtection="0"/>
    <xf numFmtId="0" fontId="10" fillId="0" borderId="0" applyNumberFormat="0" applyFill="0" applyBorder="0" applyAlignment="0" applyProtection="0">
      <alignment vertical="top"/>
      <protection locked="0"/>
    </xf>
    <xf numFmtId="44" fontId="16" fillId="0" borderId="0" applyFont="0" applyFill="0" applyBorder="0" applyAlignment="0" applyProtection="0"/>
    <xf numFmtId="0" fontId="18" fillId="0" borderId="0" applyNumberFormat="0" applyFill="0" applyBorder="0" applyAlignment="0" applyProtection="0"/>
    <xf numFmtId="0" fontId="19" fillId="0" borderId="0"/>
    <xf numFmtId="0" fontId="15" fillId="0" borderId="0"/>
    <xf numFmtId="0" fontId="19" fillId="0" borderId="0"/>
    <xf numFmtId="0" fontId="16" fillId="0" borderId="0"/>
    <xf numFmtId="0" fontId="16" fillId="0" borderId="0"/>
    <xf numFmtId="43" fontId="16" fillId="0" borderId="0" applyFont="0" applyFill="0" applyBorder="0" applyAlignment="0" applyProtection="0"/>
    <xf numFmtId="0" fontId="15" fillId="0" borderId="0"/>
    <xf numFmtId="0" fontId="15" fillId="0" borderId="0"/>
  </cellStyleXfs>
  <cellXfs count="520">
    <xf numFmtId="0" fontId="0" fillId="0" borderId="0" xfId="0"/>
    <xf numFmtId="0" fontId="0" fillId="0" borderId="0" xfId="0" applyBorder="1"/>
    <xf numFmtId="0" fontId="0" fillId="2" borderId="0" xfId="0" applyFill="1" applyBorder="1"/>
    <xf numFmtId="0" fontId="0" fillId="3" borderId="0" xfId="0" applyFill="1"/>
    <xf numFmtId="0" fontId="3" fillId="3" borderId="0" xfId="0" applyFont="1" applyFill="1"/>
    <xf numFmtId="0" fontId="2" fillId="0" borderId="0" xfId="0" applyFont="1"/>
    <xf numFmtId="0" fontId="0" fillId="2" borderId="0" xfId="0" applyFill="1"/>
    <xf numFmtId="0" fontId="2" fillId="2" borderId="0" xfId="0" applyFont="1" applyFill="1"/>
    <xf numFmtId="0" fontId="4" fillId="2" borderId="0" xfId="0" applyFont="1" applyFill="1" applyBorder="1" applyAlignment="1">
      <alignment horizontal="center"/>
    </xf>
    <xf numFmtId="0" fontId="2" fillId="2" borderId="0" xfId="0" applyFont="1" applyFill="1" applyAlignment="1">
      <alignment wrapText="1"/>
    </xf>
    <xf numFmtId="0" fontId="1" fillId="5" borderId="0" xfId="0" applyFont="1" applyFill="1"/>
    <xf numFmtId="0" fontId="1" fillId="4" borderId="0" xfId="0" applyFont="1" applyFill="1"/>
    <xf numFmtId="0" fontId="1" fillId="7" borderId="0" xfId="0" applyFont="1" applyFill="1"/>
    <xf numFmtId="0" fontId="1" fillId="8" borderId="0" xfId="0" applyFont="1" applyFill="1"/>
    <xf numFmtId="0" fontId="3" fillId="8" borderId="0" xfId="0" applyFont="1" applyFill="1"/>
    <xf numFmtId="42" fontId="0" fillId="0" borderId="0" xfId="0" applyNumberFormat="1"/>
    <xf numFmtId="0" fontId="5" fillId="0" borderId="0" xfId="0" applyFont="1"/>
    <xf numFmtId="0" fontId="6" fillId="0" borderId="0" xfId="1"/>
    <xf numFmtId="0" fontId="5" fillId="9" borderId="0" xfId="0" applyFont="1" applyFill="1"/>
    <xf numFmtId="0" fontId="3" fillId="4" borderId="0" xfId="0" applyFont="1" applyFill="1"/>
    <xf numFmtId="9" fontId="0" fillId="0" borderId="0" xfId="0" applyNumberFormat="1"/>
    <xf numFmtId="0" fontId="3" fillId="5" borderId="0" xfId="0" applyFont="1" applyFill="1"/>
    <xf numFmtId="0" fontId="6" fillId="0" borderId="0" xfId="1" applyAlignment="1" applyProtection="1"/>
    <xf numFmtId="0" fontId="0" fillId="0" borderId="0" xfId="0" applyAlignment="1">
      <alignment horizontal="right"/>
    </xf>
    <xf numFmtId="0" fontId="11" fillId="0" borderId="0" xfId="0" applyFont="1"/>
    <xf numFmtId="0" fontId="0" fillId="10" borderId="0" xfId="0" applyFill="1"/>
    <xf numFmtId="0" fontId="0" fillId="10" borderId="2" xfId="0" applyFill="1" applyBorder="1"/>
    <xf numFmtId="0" fontId="0" fillId="10" borderId="0" xfId="0" applyFill="1" applyBorder="1"/>
    <xf numFmtId="0" fontId="0" fillId="11" borderId="7" xfId="0" applyFill="1" applyBorder="1"/>
    <xf numFmtId="0" fontId="0" fillId="11" borderId="0" xfId="0" applyFill="1" applyBorder="1"/>
    <xf numFmtId="0" fontId="0" fillId="11" borderId="9" xfId="0" applyFill="1" applyBorder="1"/>
    <xf numFmtId="0" fontId="0" fillId="11" borderId="1" xfId="0" applyFill="1" applyBorder="1"/>
    <xf numFmtId="0" fontId="0" fillId="11" borderId="10" xfId="0" applyFill="1" applyBorder="1"/>
    <xf numFmtId="164" fontId="0" fillId="0" borderId="0" xfId="0" applyNumberFormat="1"/>
    <xf numFmtId="3" fontId="0" fillId="0" borderId="0" xfId="0" applyNumberFormat="1" applyBorder="1"/>
    <xf numFmtId="0" fontId="2" fillId="0" borderId="0" xfId="0" applyFont="1" applyBorder="1" applyAlignment="1">
      <alignment horizontal="center" wrapText="1"/>
    </xf>
    <xf numFmtId="3" fontId="9" fillId="0" borderId="0" xfId="0" applyNumberFormat="1" applyFont="1" applyFill="1"/>
    <xf numFmtId="0" fontId="2" fillId="10" borderId="3" xfId="0" applyFont="1" applyFill="1" applyBorder="1"/>
    <xf numFmtId="0" fontId="0" fillId="0" borderId="0" xfId="0"/>
    <xf numFmtId="3" fontId="20" fillId="0" borderId="0" xfId="0" applyNumberFormat="1" applyFont="1" applyFill="1"/>
    <xf numFmtId="0" fontId="0" fillId="0" borderId="0" xfId="0" applyBorder="1" applyAlignment="1"/>
    <xf numFmtId="9" fontId="0" fillId="10" borderId="0" xfId="0" applyNumberFormat="1" applyFill="1" applyAlignment="1">
      <alignment horizontal="center"/>
    </xf>
    <xf numFmtId="3" fontId="0" fillId="10" borderId="0" xfId="0" applyNumberFormat="1" applyFill="1" applyAlignment="1">
      <alignment horizontal="center"/>
    </xf>
    <xf numFmtId="3" fontId="0" fillId="10" borderId="0" xfId="0" applyNumberFormat="1" applyFill="1" applyBorder="1" applyAlignment="1">
      <alignment horizontal="center"/>
    </xf>
    <xf numFmtId="164" fontId="0" fillId="10" borderId="0" xfId="0" applyNumberFormat="1" applyFill="1" applyAlignment="1">
      <alignment horizontal="center"/>
    </xf>
    <xf numFmtId="3" fontId="0" fillId="0" borderId="0" xfId="0" applyNumberFormat="1"/>
    <xf numFmtId="0" fontId="0" fillId="10" borderId="2" xfId="0" applyFont="1" applyFill="1" applyBorder="1" applyAlignment="1">
      <alignment vertical="center"/>
    </xf>
    <xf numFmtId="0" fontId="0" fillId="10" borderId="2" xfId="0" applyFont="1" applyFill="1" applyBorder="1" applyAlignment="1">
      <alignment horizontal="center" vertical="center"/>
    </xf>
    <xf numFmtId="0" fontId="0" fillId="10" borderId="2" xfId="0" applyFont="1" applyFill="1" applyBorder="1" applyAlignment="1">
      <alignment horizontal="center" vertical="center" wrapText="1"/>
    </xf>
    <xf numFmtId="0" fontId="0" fillId="0" borderId="0" xfId="0" applyFont="1"/>
    <xf numFmtId="0" fontId="5" fillId="0" borderId="0" xfId="0" quotePrefix="1" applyFont="1"/>
    <xf numFmtId="0" fontId="2" fillId="0" borderId="0" xfId="0" applyFont="1" applyFill="1"/>
    <xf numFmtId="0" fontId="2" fillId="0" borderId="0" xfId="0" applyFont="1" applyFill="1" applyAlignment="1">
      <alignment horizontal="right"/>
    </xf>
    <xf numFmtId="3" fontId="2" fillId="0" borderId="0" xfId="0" applyNumberFormat="1" applyFont="1" applyFill="1" applyAlignment="1">
      <alignment horizontal="center"/>
    </xf>
    <xf numFmtId="0" fontId="0" fillId="0" borderId="0" xfId="0" applyFill="1"/>
    <xf numFmtId="0" fontId="0" fillId="0" borderId="0" xfId="0" applyFill="1" applyAlignment="1">
      <alignment horizontal="right"/>
    </xf>
    <xf numFmtId="10" fontId="0" fillId="0" borderId="0" xfId="0" applyNumberFormat="1"/>
    <xf numFmtId="0" fontId="2" fillId="11" borderId="0" xfId="0" applyFont="1" applyFill="1"/>
    <xf numFmtId="0" fontId="0" fillId="11" borderId="0" xfId="0" applyFill="1"/>
    <xf numFmtId="9" fontId="0" fillId="11" borderId="0" xfId="0" applyNumberFormat="1" applyFill="1"/>
    <xf numFmtId="0" fontId="0" fillId="2" borderId="7" xfId="0" applyFill="1" applyBorder="1"/>
    <xf numFmtId="0" fontId="0" fillId="2" borderId="8" xfId="0" applyFill="1" applyBorder="1"/>
    <xf numFmtId="0" fontId="2" fillId="11" borderId="7" xfId="0" applyFont="1" applyFill="1" applyBorder="1"/>
    <xf numFmtId="0" fontId="2" fillId="11" borderId="0" xfId="0" applyFont="1" applyFill="1" applyBorder="1"/>
    <xf numFmtId="10" fontId="0" fillId="11" borderId="8" xfId="0" applyNumberFormat="1" applyFill="1" applyBorder="1"/>
    <xf numFmtId="0" fontId="0" fillId="2" borderId="9" xfId="0" applyFill="1" applyBorder="1"/>
    <xf numFmtId="0" fontId="0" fillId="2" borderId="1" xfId="0" applyFill="1" applyBorder="1"/>
    <xf numFmtId="0" fontId="0" fillId="11" borderId="8" xfId="0" applyFill="1" applyBorder="1" applyAlignment="1">
      <alignment horizontal="right"/>
    </xf>
    <xf numFmtId="0" fontId="0" fillId="11" borderId="2" xfId="0" applyFill="1" applyBorder="1"/>
    <xf numFmtId="0" fontId="0" fillId="10" borderId="7" xfId="0" applyFill="1" applyBorder="1"/>
    <xf numFmtId="0" fontId="0" fillId="10" borderId="9" xfId="0" applyFill="1" applyBorder="1"/>
    <xf numFmtId="0" fontId="0" fillId="10" borderId="1" xfId="0" applyFill="1" applyBorder="1"/>
    <xf numFmtId="0" fontId="1" fillId="5" borderId="0" xfId="0" applyFont="1" applyFill="1" applyAlignment="1">
      <alignment horizontal="left"/>
    </xf>
    <xf numFmtId="3" fontId="1" fillId="5" borderId="0" xfId="0" applyNumberFormat="1" applyFont="1" applyFill="1" applyAlignment="1">
      <alignment horizontal="right"/>
    </xf>
    <xf numFmtId="0" fontId="0" fillId="10" borderId="8" xfId="0" applyFill="1" applyBorder="1" applyAlignment="1">
      <alignment horizontal="center"/>
    </xf>
    <xf numFmtId="3" fontId="0" fillId="10" borderId="8" xfId="0" applyNumberFormat="1" applyFill="1" applyBorder="1" applyAlignment="1">
      <alignment horizontal="center"/>
    </xf>
    <xf numFmtId="9" fontId="0" fillId="10" borderId="8" xfId="0" applyNumberFormat="1" applyFill="1" applyBorder="1" applyAlignment="1">
      <alignment horizontal="center"/>
    </xf>
    <xf numFmtId="0" fontId="0" fillId="10" borderId="10" xfId="0" applyFill="1" applyBorder="1" applyAlignment="1">
      <alignment horizontal="left"/>
    </xf>
    <xf numFmtId="0" fontId="0" fillId="0" borderId="0" xfId="0" applyFill="1" applyAlignment="1">
      <alignment vertical="top" wrapText="1"/>
    </xf>
    <xf numFmtId="0" fontId="25" fillId="0" borderId="0" xfId="0" applyFont="1" applyFill="1"/>
    <xf numFmtId="0" fontId="25" fillId="0" borderId="0" xfId="0" applyFont="1" applyAlignment="1">
      <alignment horizontal="left" vertical="center" indent="1"/>
    </xf>
    <xf numFmtId="3" fontId="25" fillId="0" borderId="0" xfId="0" quotePrefix="1" applyNumberFormat="1" applyFont="1" applyFill="1" applyBorder="1" applyAlignment="1">
      <alignment horizontal="left" vertical="top" wrapText="1"/>
    </xf>
    <xf numFmtId="0" fontId="27" fillId="0" borderId="0" xfId="0" applyFont="1" applyAlignment="1">
      <alignment horizontal="left" vertical="center" indent="1"/>
    </xf>
    <xf numFmtId="165" fontId="25" fillId="0" borderId="0" xfId="0" applyNumberFormat="1" applyFont="1" applyFill="1"/>
    <xf numFmtId="44" fontId="25" fillId="0" borderId="0" xfId="11" applyFont="1" applyAlignment="1">
      <alignment horizontal="left" vertical="center" indent="1"/>
    </xf>
    <xf numFmtId="3" fontId="25" fillId="0" borderId="0" xfId="0" quotePrefix="1" applyNumberFormat="1" applyFont="1" applyFill="1" applyBorder="1" applyAlignment="1">
      <alignment horizontal="right" wrapText="1"/>
    </xf>
    <xf numFmtId="0" fontId="26" fillId="0" borderId="0" xfId="0" applyFont="1" applyAlignment="1">
      <alignment horizontal="left" vertical="center" indent="1"/>
    </xf>
    <xf numFmtId="9" fontId="26" fillId="0" borderId="0" xfId="0" quotePrefix="1" applyNumberFormat="1" applyFont="1" applyFill="1" applyBorder="1" applyAlignment="1">
      <alignment horizontal="right" vertical="top" wrapText="1"/>
    </xf>
    <xf numFmtId="0" fontId="28" fillId="0" borderId="0" xfId="0" applyFont="1" applyFill="1" applyBorder="1" applyAlignment="1">
      <alignment vertical="top"/>
    </xf>
    <xf numFmtId="0" fontId="28" fillId="0" borderId="0" xfId="0" applyFont="1" applyBorder="1" applyAlignment="1">
      <alignment vertical="top"/>
    </xf>
    <xf numFmtId="3" fontId="25" fillId="0" borderId="0" xfId="0" applyNumberFormat="1" applyFont="1" applyBorder="1"/>
    <xf numFmtId="0" fontId="25" fillId="0" borderId="0" xfId="0" applyFont="1" applyBorder="1"/>
    <xf numFmtId="0" fontId="28" fillId="0" borderId="0" xfId="0" applyFont="1" applyBorder="1" applyAlignment="1"/>
    <xf numFmtId="0" fontId="28" fillId="0" borderId="0" xfId="0" applyFont="1" applyBorder="1" applyAlignment="1">
      <alignment vertical="top" wrapText="1"/>
    </xf>
    <xf numFmtId="0" fontId="28" fillId="0" borderId="0" xfId="0" applyFont="1" applyBorder="1" applyAlignment="1">
      <alignment horizontal="left"/>
    </xf>
    <xf numFmtId="0" fontId="28" fillId="0" borderId="0" xfId="0" applyFont="1" applyBorder="1"/>
    <xf numFmtId="0" fontId="25" fillId="0" borderId="0" xfId="0" applyFont="1" applyBorder="1" applyAlignment="1">
      <alignment horizontal="left" vertical="center" indent="1"/>
    </xf>
    <xf numFmtId="3" fontId="25" fillId="0" borderId="0" xfId="0" applyNumberFormat="1" applyFont="1" applyFill="1" applyBorder="1" applyAlignment="1">
      <alignment horizontal="left" vertical="top" wrapText="1"/>
    </xf>
    <xf numFmtId="0" fontId="25" fillId="0" borderId="0" xfId="0" applyFont="1" applyFill="1" applyBorder="1"/>
    <xf numFmtId="0" fontId="25" fillId="0" borderId="0" xfId="0" applyFont="1" applyAlignment="1">
      <alignment vertical="center"/>
    </xf>
    <xf numFmtId="0" fontId="29" fillId="0" borderId="0" xfId="0" applyFont="1"/>
    <xf numFmtId="0" fontId="0" fillId="0" borderId="0" xfId="0" applyBorder="1" applyAlignment="1">
      <alignment wrapText="1"/>
    </xf>
    <xf numFmtId="16" fontId="0" fillId="0" borderId="0" xfId="0" applyNumberFormat="1"/>
    <xf numFmtId="3" fontId="0" fillId="0" borderId="0" xfId="0" applyNumberFormat="1" applyFill="1"/>
    <xf numFmtId="6" fontId="0" fillId="11" borderId="0" xfId="0" applyNumberFormat="1" applyFill="1"/>
    <xf numFmtId="3" fontId="0" fillId="11" borderId="0" xfId="0" applyNumberFormat="1" applyFill="1"/>
    <xf numFmtId="3" fontId="0" fillId="11" borderId="1" xfId="0" applyNumberFormat="1" applyFill="1" applyBorder="1"/>
    <xf numFmtId="3" fontId="0" fillId="0" borderId="0" xfId="0" applyNumberFormat="1" applyFill="1" applyAlignment="1">
      <alignment horizontal="center"/>
    </xf>
    <xf numFmtId="0" fontId="1" fillId="5" borderId="0" xfId="0" quotePrefix="1" applyFont="1" applyFill="1" applyAlignment="1">
      <alignment horizontal="left"/>
    </xf>
    <xf numFmtId="0" fontId="1" fillId="4" borderId="0" xfId="0" applyFont="1" applyFill="1" applyAlignment="1">
      <alignment horizontal="left"/>
    </xf>
    <xf numFmtId="8" fontId="0" fillId="11" borderId="0" xfId="0" applyNumberFormat="1" applyFill="1" applyAlignment="1">
      <alignment horizontal="left"/>
    </xf>
    <xf numFmtId="0" fontId="2" fillId="0" borderId="0" xfId="0" applyFont="1" applyAlignment="1">
      <alignment horizontal="center"/>
    </xf>
    <xf numFmtId="3" fontId="0" fillId="11" borderId="0" xfId="0" applyNumberFormat="1" applyFill="1" applyBorder="1"/>
    <xf numFmtId="0" fontId="0" fillId="11" borderId="0" xfId="0" applyFont="1" applyFill="1"/>
    <xf numFmtId="164" fontId="0" fillId="11" borderId="0" xfId="0" applyNumberFormat="1" applyFill="1"/>
    <xf numFmtId="3" fontId="2" fillId="11" borderId="0" xfId="0" applyNumberFormat="1" applyFont="1" applyFill="1"/>
    <xf numFmtId="0" fontId="1" fillId="4" borderId="0" xfId="0" applyFont="1" applyFill="1" applyAlignment="1">
      <alignment horizontal="right"/>
    </xf>
    <xf numFmtId="5" fontId="0" fillId="11" borderId="0" xfId="0" applyNumberFormat="1" applyFill="1"/>
    <xf numFmtId="164" fontId="0" fillId="11" borderId="1" xfId="0" applyNumberFormat="1" applyFill="1" applyBorder="1"/>
    <xf numFmtId="0" fontId="21" fillId="11" borderId="1" xfId="0" applyFont="1" applyFill="1" applyBorder="1"/>
    <xf numFmtId="0" fontId="21" fillId="11" borderId="0" xfId="0" applyFont="1" applyFill="1" applyAlignment="1">
      <alignment horizontal="left" vertical="top" indent="1"/>
    </xf>
    <xf numFmtId="0" fontId="21" fillId="11" borderId="0" xfId="0" applyFont="1" applyFill="1"/>
    <xf numFmtId="3" fontId="0" fillId="11" borderId="0" xfId="0" applyNumberFormat="1" applyFont="1" applyFill="1"/>
    <xf numFmtId="10" fontId="0" fillId="11" borderId="1" xfId="0" applyNumberFormat="1" applyFont="1" applyFill="1" applyBorder="1"/>
    <xf numFmtId="3" fontId="21" fillId="11" borderId="0" xfId="0" applyNumberFormat="1" applyFont="1" applyFill="1" applyBorder="1" applyAlignment="1">
      <alignment horizontal="right" vertical="top" wrapText="1"/>
    </xf>
    <xf numFmtId="3" fontId="21" fillId="11" borderId="0" xfId="0" quotePrefix="1" applyNumberFormat="1" applyFont="1" applyFill="1" applyBorder="1" applyAlignment="1">
      <alignment horizontal="right" wrapText="1"/>
    </xf>
    <xf numFmtId="167" fontId="0" fillId="11" borderId="0" xfId="0" applyNumberFormat="1" applyFont="1" applyFill="1" applyAlignment="1">
      <alignment horizontal="left" vertical="center" indent="1"/>
    </xf>
    <xf numFmtId="0" fontId="2" fillId="11" borderId="0" xfId="0" applyFont="1" applyFill="1" applyBorder="1" applyAlignment="1">
      <alignment horizontal="right"/>
    </xf>
    <xf numFmtId="10" fontId="2" fillId="0" borderId="0" xfId="0" applyNumberFormat="1" applyFont="1" applyFill="1" applyBorder="1"/>
    <xf numFmtId="0" fontId="21" fillId="11" borderId="0" xfId="0" applyFont="1" applyFill="1" applyBorder="1" applyAlignment="1">
      <alignment horizontal="left" vertical="top" indent="1"/>
    </xf>
    <xf numFmtId="0" fontId="21" fillId="11" borderId="0" xfId="0" applyFont="1" applyFill="1" applyBorder="1"/>
    <xf numFmtId="3" fontId="0" fillId="11" borderId="0" xfId="0" applyNumberFormat="1" applyFont="1" applyFill="1" applyBorder="1"/>
    <xf numFmtId="10" fontId="0" fillId="11" borderId="0" xfId="0" applyNumberFormat="1" applyFont="1" applyFill="1" applyBorder="1"/>
    <xf numFmtId="0" fontId="0" fillId="0" borderId="0" xfId="0" applyFill="1" applyBorder="1"/>
    <xf numFmtId="0" fontId="21" fillId="0" borderId="0" xfId="0" applyFont="1" applyFill="1" applyBorder="1" applyAlignment="1">
      <alignment horizontal="left" vertical="top" indent="1"/>
    </xf>
    <xf numFmtId="0" fontId="21" fillId="0" borderId="0" xfId="0" applyFont="1" applyFill="1" applyBorder="1"/>
    <xf numFmtId="3" fontId="0" fillId="0" borderId="0" xfId="0" applyNumberFormat="1" applyFont="1" applyFill="1" applyBorder="1"/>
    <xf numFmtId="10" fontId="0" fillId="0" borderId="0" xfId="0" applyNumberFormat="1" applyFont="1" applyFill="1" applyBorder="1"/>
    <xf numFmtId="164" fontId="0" fillId="0" borderId="0" xfId="0" applyNumberFormat="1" applyFill="1" applyBorder="1"/>
    <xf numFmtId="0" fontId="5" fillId="0" borderId="0" xfId="0" applyFont="1" applyFill="1" applyBorder="1"/>
    <xf numFmtId="0" fontId="6" fillId="0" borderId="0" xfId="1" applyFill="1" applyBorder="1"/>
    <xf numFmtId="0" fontId="21" fillId="11" borderId="0" xfId="0" quotePrefix="1" applyFont="1" applyFill="1" applyBorder="1" applyAlignment="1">
      <alignment horizontal="left" vertical="top" indent="1"/>
    </xf>
    <xf numFmtId="0" fontId="0" fillId="11" borderId="0" xfId="0" applyFont="1" applyFill="1" applyBorder="1"/>
    <xf numFmtId="0" fontId="1" fillId="0" borderId="0" xfId="0" applyFont="1" applyFill="1"/>
    <xf numFmtId="10" fontId="2" fillId="0" borderId="0" xfId="0" applyNumberFormat="1" applyFont="1" applyFill="1"/>
    <xf numFmtId="10" fontId="0" fillId="0" borderId="0" xfId="0" applyNumberFormat="1" applyFont="1" applyFill="1"/>
    <xf numFmtId="166" fontId="21" fillId="11" borderId="0" xfId="0" applyNumberFormat="1" applyFont="1" applyFill="1" applyBorder="1" applyAlignment="1">
      <alignment horizontal="right" vertical="top" wrapText="1"/>
    </xf>
    <xf numFmtId="3" fontId="21" fillId="11" borderId="0" xfId="0" applyNumberFormat="1" applyFont="1" applyFill="1" applyBorder="1"/>
    <xf numFmtId="3" fontId="21" fillId="11" borderId="1" xfId="0" applyNumberFormat="1" applyFont="1" applyFill="1" applyBorder="1"/>
    <xf numFmtId="167" fontId="0" fillId="11" borderId="1" xfId="0" applyNumberFormat="1" applyFont="1" applyFill="1" applyBorder="1" applyAlignment="1">
      <alignment horizontal="left" vertical="center" indent="1"/>
    </xf>
    <xf numFmtId="167" fontId="0" fillId="11" borderId="0" xfId="0" applyNumberFormat="1" applyFont="1" applyFill="1" applyBorder="1" applyAlignment="1">
      <alignment horizontal="left" vertical="center" indent="1"/>
    </xf>
    <xf numFmtId="0" fontId="0" fillId="11" borderId="0" xfId="0" applyFont="1" applyFill="1" applyBorder="1" applyAlignment="1">
      <alignment horizontal="left" vertical="center" indent="1"/>
    </xf>
    <xf numFmtId="166" fontId="21" fillId="11" borderId="0" xfId="0" quotePrefix="1" applyNumberFormat="1" applyFont="1" applyFill="1" applyBorder="1" applyAlignment="1">
      <alignment horizontal="right" vertical="top" wrapText="1"/>
    </xf>
    <xf numFmtId="0" fontId="0" fillId="11" borderId="0" xfId="0" applyFont="1" applyFill="1" applyBorder="1" applyAlignment="1">
      <alignment horizontal="left" indent="1"/>
    </xf>
    <xf numFmtId="166" fontId="21" fillId="11" borderId="0" xfId="0" quotePrefix="1" applyNumberFormat="1" applyFont="1" applyFill="1" applyBorder="1" applyAlignment="1">
      <alignment horizontal="right" wrapText="1"/>
    </xf>
    <xf numFmtId="166" fontId="0" fillId="11" borderId="0" xfId="0" applyNumberFormat="1" applyFill="1"/>
    <xf numFmtId="0" fontId="5" fillId="0" borderId="0" xfId="0" applyFont="1" applyFill="1"/>
    <xf numFmtId="164" fontId="0" fillId="11" borderId="0" xfId="0" applyNumberFormat="1" applyFill="1" applyBorder="1"/>
    <xf numFmtId="168" fontId="0" fillId="11" borderId="0" xfId="0" applyNumberFormat="1" applyFill="1" applyBorder="1"/>
    <xf numFmtId="168" fontId="0" fillId="11" borderId="1" xfId="0" applyNumberFormat="1" applyFill="1" applyBorder="1"/>
    <xf numFmtId="0" fontId="0" fillId="10" borderId="0" xfId="0" applyFont="1" applyFill="1"/>
    <xf numFmtId="0" fontId="2" fillId="10" borderId="0" xfId="0" applyFont="1" applyFill="1"/>
    <xf numFmtId="0" fontId="0" fillId="10" borderId="1" xfId="0" applyFont="1" applyFill="1" applyBorder="1"/>
    <xf numFmtId="0" fontId="0" fillId="8" borderId="0" xfId="0" applyFill="1"/>
    <xf numFmtId="0" fontId="0" fillId="4" borderId="0" xfId="0" applyFill="1"/>
    <xf numFmtId="0" fontId="0" fillId="3" borderId="8" xfId="0" applyFill="1" applyBorder="1"/>
    <xf numFmtId="0" fontId="0" fillId="0" borderId="8" xfId="0" applyBorder="1"/>
    <xf numFmtId="0" fontId="0" fillId="3" borderId="0" xfId="0" applyFill="1" applyBorder="1"/>
    <xf numFmtId="0" fontId="2" fillId="2" borderId="0" xfId="0" applyFont="1" applyFill="1" applyBorder="1"/>
    <xf numFmtId="0" fontId="4" fillId="2" borderId="0" xfId="0" applyFont="1" applyFill="1" applyBorder="1"/>
    <xf numFmtId="0" fontId="0" fillId="2" borderId="0" xfId="0" applyFill="1" applyBorder="1" applyAlignment="1">
      <alignment horizontal="center"/>
    </xf>
    <xf numFmtId="0" fontId="0" fillId="5" borderId="0" xfId="0" applyFill="1"/>
    <xf numFmtId="0" fontId="0" fillId="13" borderId="0" xfId="0" applyFill="1"/>
    <xf numFmtId="0" fontId="30" fillId="13" borderId="0" xfId="0" applyFont="1" applyFill="1"/>
    <xf numFmtId="0" fontId="2" fillId="13" borderId="3" xfId="0" applyFont="1" applyFill="1" applyBorder="1"/>
    <xf numFmtId="0" fontId="0" fillId="11" borderId="16" xfId="0" applyFill="1" applyBorder="1"/>
    <xf numFmtId="0" fontId="0" fillId="11" borderId="11" xfId="0" applyFill="1" applyBorder="1"/>
    <xf numFmtId="0" fontId="0" fillId="11" borderId="17" xfId="0" applyFill="1" applyBorder="1"/>
    <xf numFmtId="165" fontId="0" fillId="11" borderId="16" xfId="0" applyNumberFormat="1" applyFill="1" applyBorder="1"/>
    <xf numFmtId="165" fontId="0" fillId="11" borderId="11" xfId="0" applyNumberFormat="1" applyFill="1" applyBorder="1"/>
    <xf numFmtId="165" fontId="0" fillId="11" borderId="17" xfId="0" applyNumberFormat="1" applyFill="1" applyBorder="1"/>
    <xf numFmtId="0" fontId="5" fillId="4" borderId="0" xfId="0" applyFont="1" applyFill="1"/>
    <xf numFmtId="0" fontId="0" fillId="0" borderId="0" xfId="0" applyFill="1" applyBorder="1" applyAlignment="1">
      <alignment wrapText="1"/>
    </xf>
    <xf numFmtId="6" fontId="1" fillId="0" borderId="0" xfId="0" applyNumberFormat="1" applyFont="1" applyFill="1"/>
    <xf numFmtId="0" fontId="31" fillId="0" borderId="0" xfId="0" applyFont="1" applyBorder="1"/>
    <xf numFmtId="0" fontId="0" fillId="4" borderId="0" xfId="0" applyFill="1" applyBorder="1"/>
    <xf numFmtId="168" fontId="1" fillId="4" borderId="0" xfId="0" applyNumberFormat="1" applyFont="1" applyFill="1" applyBorder="1" applyAlignment="1">
      <alignment horizontal="right"/>
    </xf>
    <xf numFmtId="0" fontId="0" fillId="11" borderId="0" xfId="0" quotePrefix="1" applyFill="1" applyBorder="1"/>
    <xf numFmtId="0" fontId="0" fillId="11" borderId="1" xfId="0" quotePrefix="1" applyFill="1" applyBorder="1"/>
    <xf numFmtId="0" fontId="2" fillId="13" borderId="0" xfId="0" applyFont="1" applyFill="1"/>
    <xf numFmtId="164" fontId="0" fillId="10" borderId="0" xfId="0" applyNumberFormat="1" applyFill="1" applyBorder="1" applyAlignment="1">
      <alignment horizontal="center"/>
    </xf>
    <xf numFmtId="164" fontId="0" fillId="10" borderId="2" xfId="0" applyNumberFormat="1" applyFill="1" applyBorder="1" applyAlignment="1">
      <alignment horizontal="center"/>
    </xf>
    <xf numFmtId="3" fontId="0" fillId="10" borderId="2" xfId="0" applyNumberFormat="1" applyFill="1" applyBorder="1" applyAlignment="1">
      <alignment horizontal="center"/>
    </xf>
    <xf numFmtId="0" fontId="17" fillId="0" borderId="0" xfId="0" applyFont="1"/>
    <xf numFmtId="0" fontId="17" fillId="0" borderId="0" xfId="0" applyFont="1" applyFill="1" applyAlignment="1">
      <alignment vertical="top" wrapText="1"/>
    </xf>
    <xf numFmtId="0" fontId="1" fillId="0" borderId="0" xfId="0" applyFont="1" applyFill="1" applyAlignment="1">
      <alignment horizontal="left"/>
    </xf>
    <xf numFmtId="0" fontId="29" fillId="0" borderId="0" xfId="0" applyFont="1" applyFill="1" applyAlignment="1">
      <alignment horizontal="left"/>
    </xf>
    <xf numFmtId="7" fontId="0" fillId="11" borderId="0" xfId="0" applyNumberFormat="1" applyFill="1"/>
    <xf numFmtId="169" fontId="0" fillId="11" borderId="0" xfId="0" applyNumberFormat="1" applyFill="1"/>
    <xf numFmtId="0" fontId="0" fillId="11" borderId="0" xfId="0" quotePrefix="1" applyFill="1"/>
    <xf numFmtId="170" fontId="0" fillId="11" borderId="0" xfId="0" applyNumberFormat="1" applyFill="1"/>
    <xf numFmtId="44" fontId="0" fillId="0" borderId="0" xfId="0" applyNumberFormat="1"/>
    <xf numFmtId="170" fontId="0" fillId="11" borderId="0" xfId="0" applyNumberFormat="1" applyFill="1" applyBorder="1"/>
    <xf numFmtId="0" fontId="1" fillId="4" borderId="0" xfId="0" applyFont="1" applyFill="1" applyAlignment="1">
      <alignment horizontal="center" wrapText="1"/>
    </xf>
    <xf numFmtId="171" fontId="21" fillId="11" borderId="0" xfId="14" applyNumberFormat="1" applyFont="1" applyFill="1" applyBorder="1" applyAlignment="1"/>
    <xf numFmtId="0" fontId="21" fillId="11" borderId="0" xfId="6" applyFont="1" applyFill="1" applyBorder="1"/>
    <xf numFmtId="172" fontId="21" fillId="11" borderId="0" xfId="6" applyNumberFormat="1" applyFont="1" applyFill="1" applyBorder="1"/>
    <xf numFmtId="44" fontId="16" fillId="11" borderId="0" xfId="0" applyNumberFormat="1" applyFont="1" applyFill="1" applyBorder="1"/>
    <xf numFmtId="168" fontId="21" fillId="11" borderId="0" xfId="14" applyNumberFormat="1" applyFont="1" applyFill="1" applyBorder="1" applyAlignment="1"/>
    <xf numFmtId="168" fontId="16" fillId="11" borderId="0" xfId="0" applyNumberFormat="1" applyFont="1" applyFill="1" applyBorder="1"/>
    <xf numFmtId="0" fontId="23" fillId="11" borderId="0" xfId="6" applyFont="1" applyFill="1" applyBorder="1"/>
    <xf numFmtId="172" fontId="2" fillId="11" borderId="0" xfId="0" applyNumberFormat="1" applyFont="1" applyFill="1" applyBorder="1"/>
    <xf numFmtId="168" fontId="2" fillId="11" borderId="0" xfId="0" applyNumberFormat="1" applyFont="1" applyFill="1" applyBorder="1"/>
    <xf numFmtId="0" fontId="2" fillId="13" borderId="2" xfId="0" applyFont="1" applyFill="1" applyBorder="1"/>
    <xf numFmtId="171" fontId="21" fillId="11" borderId="2" xfId="14" applyNumberFormat="1" applyFont="1" applyFill="1" applyBorder="1" applyAlignment="1"/>
    <xf numFmtId="0" fontId="21" fillId="11" borderId="2" xfId="6" applyFont="1" applyFill="1" applyBorder="1"/>
    <xf numFmtId="172" fontId="21" fillId="11" borderId="2" xfId="6" applyNumberFormat="1" applyFont="1" applyFill="1" applyBorder="1"/>
    <xf numFmtId="168" fontId="16" fillId="11" borderId="2" xfId="0" applyNumberFormat="1" applyFont="1" applyFill="1" applyBorder="1"/>
    <xf numFmtId="8" fontId="21" fillId="11" borderId="0" xfId="14" applyNumberFormat="1" applyFont="1" applyFill="1" applyBorder="1" applyAlignment="1"/>
    <xf numFmtId="171" fontId="23" fillId="11" borderId="0" xfId="14" applyNumberFormat="1" applyFont="1" applyFill="1" applyBorder="1" applyAlignment="1"/>
    <xf numFmtId="8" fontId="23" fillId="11" borderId="0" xfId="14" applyNumberFormat="1" applyFont="1" applyFill="1" applyBorder="1" applyAlignment="1"/>
    <xf numFmtId="8" fontId="21" fillId="11" borderId="2" xfId="14" applyNumberFormat="1" applyFont="1" applyFill="1" applyBorder="1" applyAlignment="1"/>
    <xf numFmtId="168" fontId="23" fillId="11" borderId="0" xfId="14" applyNumberFormat="1" applyFont="1" applyFill="1" applyBorder="1" applyAlignment="1"/>
    <xf numFmtId="171" fontId="21" fillId="11" borderId="1" xfId="14" applyNumberFormat="1" applyFont="1" applyFill="1" applyBorder="1" applyAlignment="1"/>
    <xf numFmtId="168" fontId="21" fillId="11" borderId="1" xfId="14" applyNumberFormat="1" applyFont="1" applyFill="1" applyBorder="1" applyAlignment="1"/>
    <xf numFmtId="168" fontId="21" fillId="11" borderId="2" xfId="14" applyNumberFormat="1" applyFont="1" applyFill="1" applyBorder="1" applyAlignment="1"/>
    <xf numFmtId="168" fontId="23" fillId="11" borderId="0" xfId="6" applyNumberFormat="1" applyFont="1" applyFill="1" applyBorder="1"/>
    <xf numFmtId="44" fontId="16" fillId="11" borderId="2" xfId="0" applyNumberFormat="1" applyFont="1" applyFill="1" applyBorder="1"/>
    <xf numFmtId="170" fontId="2" fillId="11" borderId="0" xfId="0" applyNumberFormat="1" applyFont="1" applyFill="1"/>
    <xf numFmtId="0" fontId="16" fillId="11" borderId="0" xfId="0" applyFont="1" applyFill="1" applyBorder="1"/>
    <xf numFmtId="172" fontId="16" fillId="11" borderId="0" xfId="0" applyNumberFormat="1" applyFont="1" applyFill="1" applyBorder="1"/>
    <xf numFmtId="44" fontId="16" fillId="11" borderId="1" xfId="0" applyNumberFormat="1" applyFont="1" applyFill="1" applyBorder="1"/>
    <xf numFmtId="171" fontId="21" fillId="11" borderId="0" xfId="14" applyNumberFormat="1" applyFont="1" applyFill="1" applyBorder="1" applyAlignment="1">
      <alignment horizontal="left"/>
    </xf>
    <xf numFmtId="0" fontId="16" fillId="11" borderId="1" xfId="0" applyFont="1" applyFill="1" applyBorder="1"/>
    <xf numFmtId="172" fontId="21" fillId="11" borderId="1" xfId="6" applyNumberFormat="1" applyFont="1" applyFill="1" applyBorder="1"/>
    <xf numFmtId="0" fontId="16" fillId="11" borderId="2" xfId="0" applyFont="1" applyFill="1" applyBorder="1"/>
    <xf numFmtId="44" fontId="2" fillId="11" borderId="0" xfId="0" applyNumberFormat="1" applyFont="1" applyFill="1" applyBorder="1"/>
    <xf numFmtId="166" fontId="0" fillId="11" borderId="1" xfId="0" applyNumberFormat="1" applyFill="1" applyBorder="1"/>
    <xf numFmtId="166" fontId="0" fillId="0" borderId="0" xfId="0" applyNumberFormat="1"/>
    <xf numFmtId="0" fontId="1" fillId="5" borderId="0" xfId="0" applyFont="1" applyFill="1" applyAlignment="1">
      <alignment horizontal="center"/>
    </xf>
    <xf numFmtId="0" fontId="0" fillId="2" borderId="17" xfId="0" applyFill="1" applyBorder="1"/>
    <xf numFmtId="0" fontId="32" fillId="5" borderId="14" xfId="0" applyFont="1" applyFill="1" applyBorder="1" applyAlignment="1">
      <alignment horizontal="left"/>
    </xf>
    <xf numFmtId="0" fontId="1" fillId="5" borderId="14" xfId="0" applyFont="1" applyFill="1" applyBorder="1" applyAlignment="1">
      <alignment horizontal="left"/>
    </xf>
    <xf numFmtId="0" fontId="0" fillId="2" borderId="11" xfId="0" applyFill="1" applyBorder="1"/>
    <xf numFmtId="0" fontId="33" fillId="11" borderId="19" xfId="0" applyFont="1" applyFill="1" applyBorder="1" applyAlignment="1">
      <alignment horizontal="left"/>
    </xf>
    <xf numFmtId="0" fontId="1" fillId="5" borderId="20" xfId="0" applyFont="1" applyFill="1" applyBorder="1" applyAlignment="1">
      <alignment horizontal="left"/>
    </xf>
    <xf numFmtId="170" fontId="0" fillId="11" borderId="0" xfId="0" applyNumberFormat="1" applyFont="1" applyFill="1" applyAlignment="1">
      <alignment horizontal="right" vertical="center" indent="1"/>
    </xf>
    <xf numFmtId="170" fontId="0" fillId="11" borderId="0" xfId="0" applyNumberFormat="1" applyFont="1" applyFill="1" applyBorder="1"/>
    <xf numFmtId="170" fontId="0" fillId="11" borderId="1" xfId="0" applyNumberFormat="1" applyFont="1" applyFill="1" applyBorder="1" applyAlignment="1">
      <alignment horizontal="right" vertical="center" indent="1"/>
    </xf>
    <xf numFmtId="170" fontId="0" fillId="11" borderId="1" xfId="0" applyNumberFormat="1" applyFont="1" applyFill="1" applyBorder="1"/>
    <xf numFmtId="170" fontId="2" fillId="11" borderId="0" xfId="0" applyNumberFormat="1" applyFont="1" applyFill="1" applyBorder="1"/>
    <xf numFmtId="170" fontId="0" fillId="0" borderId="0" xfId="0" applyNumberFormat="1" applyFill="1" applyBorder="1"/>
    <xf numFmtId="170" fontId="0" fillId="0" borderId="0" xfId="0" applyNumberFormat="1" applyFill="1"/>
    <xf numFmtId="0" fontId="1" fillId="0" borderId="0" xfId="0" applyFont="1" applyFill="1" applyBorder="1" applyAlignment="1"/>
    <xf numFmtId="166" fontId="0" fillId="11" borderId="0" xfId="0" applyNumberFormat="1" applyFill="1" applyBorder="1"/>
    <xf numFmtId="166" fontId="0" fillId="0" borderId="0" xfId="0" applyNumberFormat="1" applyFill="1" applyBorder="1"/>
    <xf numFmtId="167" fontId="0" fillId="11" borderId="18" xfId="0" applyNumberFormat="1" applyFont="1" applyFill="1" applyBorder="1" applyAlignment="1">
      <alignment horizontal="left" vertical="center" indent="1"/>
    </xf>
    <xf numFmtId="3" fontId="24" fillId="11" borderId="18" xfId="0" quotePrefix="1" applyNumberFormat="1" applyFont="1" applyFill="1" applyBorder="1" applyAlignment="1">
      <alignment horizontal="right"/>
    </xf>
    <xf numFmtId="3" fontId="24" fillId="11" borderId="18" xfId="0" quotePrefix="1" applyNumberFormat="1" applyFont="1" applyFill="1" applyBorder="1" applyAlignment="1">
      <alignment horizontal="right" wrapText="1"/>
    </xf>
    <xf numFmtId="0" fontId="0" fillId="0" borderId="0" xfId="0" applyFill="1" applyBorder="1" applyAlignment="1"/>
    <xf numFmtId="173" fontId="0" fillId="11" borderId="0" xfId="0" applyNumberFormat="1" applyFill="1" applyBorder="1"/>
    <xf numFmtId="173" fontId="2" fillId="11" borderId="0" xfId="0" applyNumberFormat="1" applyFont="1" applyFill="1"/>
    <xf numFmtId="173" fontId="0" fillId="11" borderId="0" xfId="0" applyNumberFormat="1" applyFill="1"/>
    <xf numFmtId="173" fontId="0" fillId="10" borderId="0" xfId="0" applyNumberFormat="1" applyFont="1" applyFill="1"/>
    <xf numFmtId="173" fontId="0" fillId="10" borderId="1" xfId="0" applyNumberFormat="1" applyFont="1" applyFill="1" applyBorder="1"/>
    <xf numFmtId="0" fontId="1" fillId="5" borderId="21" xfId="0" applyFont="1" applyFill="1" applyBorder="1" applyAlignment="1">
      <alignment horizontal="left"/>
    </xf>
    <xf numFmtId="0" fontId="33" fillId="11" borderId="22" xfId="0" applyFont="1" applyFill="1" applyBorder="1" applyAlignment="1">
      <alignment horizontal="left"/>
    </xf>
    <xf numFmtId="173" fontId="0" fillId="11" borderId="2" xfId="0" applyNumberFormat="1" applyFill="1" applyBorder="1"/>
    <xf numFmtId="0" fontId="1" fillId="2" borderId="0" xfId="0" applyFont="1" applyFill="1" applyBorder="1" applyAlignment="1">
      <alignment horizontal="left"/>
    </xf>
    <xf numFmtId="173" fontId="1" fillId="6" borderId="0" xfId="0" applyNumberFormat="1" applyFont="1" applyFill="1" applyBorder="1" applyAlignment="1">
      <alignment horizontal="center"/>
    </xf>
    <xf numFmtId="0" fontId="32" fillId="5" borderId="23" xfId="0" applyFont="1" applyFill="1" applyBorder="1" applyAlignment="1">
      <alignment horizontal="left"/>
    </xf>
    <xf numFmtId="0" fontId="1" fillId="5" borderId="23" xfId="0" applyFont="1" applyFill="1" applyBorder="1" applyAlignment="1">
      <alignment horizontal="left"/>
    </xf>
    <xf numFmtId="0" fontId="1" fillId="5" borderId="24" xfId="0" applyFont="1" applyFill="1" applyBorder="1" applyAlignment="1">
      <alignment horizontal="left"/>
    </xf>
    <xf numFmtId="0" fontId="2" fillId="11" borderId="0" xfId="0" applyFont="1" applyFill="1" applyAlignment="1">
      <alignment horizontal="center"/>
    </xf>
    <xf numFmtId="0" fontId="1" fillId="4" borderId="0" xfId="0" applyFont="1" applyFill="1" applyAlignment="1">
      <alignment horizontal="center"/>
    </xf>
    <xf numFmtId="0" fontId="2" fillId="2" borderId="7" xfId="0" applyFont="1" applyFill="1" applyBorder="1" applyAlignment="1">
      <alignment horizontal="center" vertical="center"/>
    </xf>
    <xf numFmtId="0" fontId="0" fillId="10" borderId="11" xfId="0" applyFont="1" applyFill="1" applyBorder="1"/>
    <xf numFmtId="9" fontId="0" fillId="10" borderId="7" xfId="0" applyNumberFormat="1" applyFont="1" applyFill="1" applyBorder="1"/>
    <xf numFmtId="9" fontId="0" fillId="10" borderId="0" xfId="0" applyNumberFormat="1" applyFont="1" applyFill="1" applyBorder="1"/>
    <xf numFmtId="9" fontId="0" fillId="10" borderId="8" xfId="0" applyNumberFormat="1" applyFont="1" applyFill="1" applyBorder="1"/>
    <xf numFmtId="3" fontId="0" fillId="10" borderId="11" xfId="0" applyNumberFormat="1" applyFont="1" applyFill="1" applyBorder="1"/>
    <xf numFmtId="14" fontId="0" fillId="10" borderId="0" xfId="0" applyNumberFormat="1" applyFill="1"/>
    <xf numFmtId="166" fontId="0" fillId="10" borderId="0" xfId="0" applyNumberFormat="1" applyFill="1"/>
    <xf numFmtId="166" fontId="2" fillId="10" borderId="0" xfId="0" applyNumberFormat="1" applyFont="1" applyFill="1"/>
    <xf numFmtId="164" fontId="0" fillId="10" borderId="0" xfId="0" applyNumberFormat="1" applyFont="1" applyFill="1" applyAlignment="1">
      <alignment horizontal="center"/>
    </xf>
    <xf numFmtId="3" fontId="0" fillId="10" borderId="0" xfId="0" applyNumberFormat="1" applyFont="1" applyFill="1" applyAlignment="1">
      <alignment horizontal="center"/>
    </xf>
    <xf numFmtId="9" fontId="0" fillId="10" borderId="0" xfId="0" applyNumberFormat="1" applyFont="1" applyFill="1" applyAlignment="1">
      <alignment horizontal="center"/>
    </xf>
    <xf numFmtId="3" fontId="0" fillId="10" borderId="0" xfId="0" applyNumberFormat="1" applyFont="1" applyFill="1" applyBorder="1" applyAlignment="1">
      <alignment horizontal="center"/>
    </xf>
    <xf numFmtId="0" fontId="0" fillId="10" borderId="2" xfId="0" applyFont="1" applyFill="1" applyBorder="1"/>
    <xf numFmtId="3" fontId="0" fillId="10" borderId="2" xfId="0" applyNumberFormat="1" applyFont="1" applyFill="1" applyBorder="1" applyAlignment="1">
      <alignment horizontal="center"/>
    </xf>
    <xf numFmtId="9" fontId="0" fillId="10" borderId="2" xfId="0" applyNumberFormat="1" applyFont="1" applyFill="1" applyBorder="1" applyAlignment="1">
      <alignment horizontal="center"/>
    </xf>
    <xf numFmtId="10" fontId="0" fillId="10" borderId="0" xfId="0" applyNumberFormat="1" applyFont="1" applyFill="1" applyAlignment="1">
      <alignment horizontal="center"/>
    </xf>
    <xf numFmtId="173" fontId="2" fillId="11" borderId="2" xfId="0" applyNumberFormat="1" applyFont="1" applyFill="1" applyBorder="1"/>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vertical="center"/>
    </xf>
    <xf numFmtId="0" fontId="2" fillId="2" borderId="10" xfId="0" applyFont="1" applyFill="1" applyBorder="1" applyAlignment="1">
      <alignment vertical="center"/>
    </xf>
    <xf numFmtId="0" fontId="0" fillId="0" borderId="7" xfId="0" applyBorder="1"/>
    <xf numFmtId="0" fontId="1" fillId="4" borderId="13" xfId="0" applyFont="1" applyFill="1" applyBorder="1"/>
    <xf numFmtId="0" fontId="1" fillId="4" borderId="14" xfId="0" applyFont="1" applyFill="1" applyBorder="1"/>
    <xf numFmtId="0" fontId="1" fillId="4" borderId="15" xfId="0" applyFont="1" applyFill="1" applyBorder="1"/>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0" xfId="0" applyFont="1" applyFill="1" applyBorder="1" applyAlignment="1">
      <alignment horizontal="right" vertical="center"/>
    </xf>
    <xf numFmtId="173" fontId="1" fillId="4" borderId="0" xfId="0" applyNumberFormat="1" applyFont="1" applyFill="1"/>
    <xf numFmtId="1" fontId="0" fillId="11" borderId="0" xfId="0" applyNumberFormat="1" applyFill="1" applyBorder="1"/>
    <xf numFmtId="1" fontId="0" fillId="11" borderId="0" xfId="0" applyNumberFormat="1" applyFill="1"/>
    <xf numFmtId="173" fontId="0" fillId="11" borderId="7" xfId="0" applyNumberFormat="1" applyFill="1" applyBorder="1"/>
    <xf numFmtId="0" fontId="0" fillId="11" borderId="8" xfId="0" applyFill="1" applyBorder="1"/>
    <xf numFmtId="173" fontId="0" fillId="11" borderId="8" xfId="0" applyNumberFormat="1" applyFill="1" applyBorder="1"/>
    <xf numFmtId="9" fontId="0" fillId="10" borderId="0" xfId="0" applyNumberFormat="1" applyFill="1" applyBorder="1"/>
    <xf numFmtId="0" fontId="5" fillId="0" borderId="0" xfId="0" applyFont="1" applyAlignment="1">
      <alignment horizontal="right"/>
    </xf>
    <xf numFmtId="3" fontId="21" fillId="11" borderId="0" xfId="6" applyNumberFormat="1" applyFont="1" applyFill="1" applyBorder="1"/>
    <xf numFmtId="6" fontId="0" fillId="0" borderId="0" xfId="0" applyNumberFormat="1"/>
    <xf numFmtId="0" fontId="0" fillId="11" borderId="5" xfId="0" applyFill="1" applyBorder="1"/>
    <xf numFmtId="5" fontId="0" fillId="11" borderId="1" xfId="0" applyNumberFormat="1" applyFill="1" applyBorder="1"/>
    <xf numFmtId="0" fontId="37" fillId="14" borderId="0" xfId="0" applyFont="1" applyFill="1" applyBorder="1" applyAlignment="1">
      <alignment horizontal="left" vertical="top"/>
    </xf>
    <xf numFmtId="0" fontId="36" fillId="14" borderId="0" xfId="0" applyFont="1" applyFill="1" applyBorder="1" applyAlignment="1">
      <alignment horizontal="right" vertical="top"/>
    </xf>
    <xf numFmtId="10" fontId="36" fillId="14" borderId="0" xfId="0" applyNumberFormat="1" applyFont="1" applyFill="1" applyBorder="1" applyAlignment="1">
      <alignment horizontal="right" vertical="top"/>
    </xf>
    <xf numFmtId="0" fontId="38" fillId="2" borderId="0" xfId="0" applyFont="1" applyFill="1" applyAlignment="1">
      <alignment horizontal="center"/>
    </xf>
    <xf numFmtId="0" fontId="0" fillId="2" borderId="0" xfId="0" applyFill="1" applyAlignment="1">
      <alignment horizontal="left"/>
    </xf>
    <xf numFmtId="9" fontId="2" fillId="11" borderId="1" xfId="0" applyNumberFormat="1" applyFont="1" applyFill="1" applyBorder="1"/>
    <xf numFmtId="0" fontId="2" fillId="11" borderId="0" xfId="0" applyFont="1" applyFill="1" applyBorder="1" applyAlignment="1">
      <alignment horizontal="center"/>
    </xf>
    <xf numFmtId="173" fontId="2" fillId="11" borderId="0" xfId="0" applyNumberFormat="1" applyFont="1" applyFill="1" applyBorder="1"/>
    <xf numFmtId="0" fontId="2" fillId="0" borderId="0" xfId="0" applyFont="1" applyBorder="1"/>
    <xf numFmtId="174" fontId="0" fillId="0" borderId="0" xfId="0" applyNumberFormat="1"/>
    <xf numFmtId="0" fontId="0" fillId="11" borderId="14" xfId="0" applyFill="1" applyBorder="1"/>
    <xf numFmtId="3" fontId="0" fillId="11" borderId="5" xfId="0" applyNumberFormat="1" applyFill="1" applyBorder="1"/>
    <xf numFmtId="164" fontId="2" fillId="11" borderId="1" xfId="0" applyNumberFormat="1" applyFont="1" applyFill="1" applyBorder="1"/>
    <xf numFmtId="0" fontId="0" fillId="11" borderId="25" xfId="0" applyFill="1" applyBorder="1"/>
    <xf numFmtId="8" fontId="0" fillId="11" borderId="25" xfId="0" applyNumberFormat="1" applyFill="1" applyBorder="1"/>
    <xf numFmtId="3" fontId="0" fillId="11" borderId="2" xfId="0" applyNumberFormat="1" applyFill="1" applyBorder="1"/>
    <xf numFmtId="0" fontId="0" fillId="11" borderId="2" xfId="0" quotePrefix="1" applyFill="1" applyBorder="1"/>
    <xf numFmtId="9" fontId="0" fillId="11" borderId="1" xfId="0" applyNumberFormat="1" applyFill="1" applyBorder="1"/>
    <xf numFmtId="10" fontId="0" fillId="11" borderId="1" xfId="0" applyNumberFormat="1" applyFill="1" applyBorder="1"/>
    <xf numFmtId="17" fontId="5" fillId="0" borderId="0" xfId="0" applyNumberFormat="1" applyFont="1"/>
    <xf numFmtId="0" fontId="2" fillId="11" borderId="0" xfId="0" applyFont="1" applyFill="1" applyBorder="1" applyAlignment="1">
      <alignment horizontal="left"/>
    </xf>
    <xf numFmtId="0" fontId="5" fillId="0" borderId="0" xfId="0" applyFont="1" applyAlignment="1">
      <alignment horizontal="left"/>
    </xf>
    <xf numFmtId="166" fontId="0" fillId="11" borderId="14" xfId="0" applyNumberFormat="1" applyFill="1" applyBorder="1"/>
    <xf numFmtId="0" fontId="3" fillId="4" borderId="0" xfId="0" applyFont="1" applyFill="1" applyAlignment="1">
      <alignment wrapText="1"/>
    </xf>
    <xf numFmtId="0" fontId="0" fillId="0" borderId="0" xfId="0" applyAlignment="1">
      <alignment wrapText="1"/>
    </xf>
    <xf numFmtId="0" fontId="2" fillId="0" borderId="0" xfId="0" applyFont="1" applyAlignment="1">
      <alignment wrapText="1"/>
    </xf>
    <xf numFmtId="8" fontId="0" fillId="0" borderId="0" xfId="0" applyNumberFormat="1" applyBorder="1"/>
    <xf numFmtId="8" fontId="0" fillId="0" borderId="27" xfId="0" applyNumberFormat="1" applyBorder="1"/>
    <xf numFmtId="8" fontId="0" fillId="0" borderId="29" xfId="0" applyNumberFormat="1" applyBorder="1"/>
    <xf numFmtId="8" fontId="0" fillId="0" borderId="31" xfId="0" applyNumberFormat="1" applyBorder="1"/>
    <xf numFmtId="0" fontId="0" fillId="0" borderId="26" xfId="0" applyBorder="1" applyAlignment="1">
      <alignment wrapText="1"/>
    </xf>
    <xf numFmtId="0" fontId="0" fillId="0" borderId="30" xfId="0" applyBorder="1" applyAlignment="1">
      <alignment wrapText="1"/>
    </xf>
    <xf numFmtId="0" fontId="0" fillId="0" borderId="32" xfId="0" applyBorder="1" applyAlignment="1">
      <alignment wrapText="1"/>
    </xf>
    <xf numFmtId="8" fontId="0" fillId="0" borderId="33" xfId="0" applyNumberFormat="1" applyBorder="1"/>
    <xf numFmtId="6" fontId="0" fillId="0" borderId="27" xfId="0" applyNumberFormat="1" applyBorder="1"/>
    <xf numFmtId="0" fontId="0" fillId="0" borderId="28" xfId="0" applyBorder="1" applyAlignment="1">
      <alignment wrapText="1"/>
    </xf>
    <xf numFmtId="6" fontId="0" fillId="0" borderId="29" xfId="0" applyNumberFormat="1" applyBorder="1"/>
    <xf numFmtId="0" fontId="0" fillId="0" borderId="31" xfId="0" applyBorder="1"/>
    <xf numFmtId="6" fontId="0" fillId="0" borderId="31" xfId="0" applyNumberFormat="1" applyBorder="1"/>
    <xf numFmtId="0" fontId="0" fillId="0" borderId="26" xfId="0" applyBorder="1" applyAlignment="1">
      <alignment vertical="center" wrapText="1"/>
    </xf>
    <xf numFmtId="0" fontId="0" fillId="0" borderId="30" xfId="0" applyBorder="1" applyAlignment="1">
      <alignment vertical="center" wrapText="1"/>
    </xf>
    <xf numFmtId="0" fontId="0" fillId="0" borderId="32" xfId="0" applyBorder="1" applyAlignment="1">
      <alignment vertical="center" wrapText="1"/>
    </xf>
    <xf numFmtId="0" fontId="0" fillId="0" borderId="28" xfId="0" applyBorder="1" applyAlignment="1">
      <alignment vertical="center" wrapText="1"/>
    </xf>
    <xf numFmtId="9" fontId="3" fillId="4" borderId="0" xfId="0" applyNumberFormat="1" applyFont="1" applyFill="1"/>
    <xf numFmtId="9" fontId="0" fillId="0" borderId="0" xfId="0" applyNumberFormat="1" applyAlignment="1">
      <alignment wrapText="1"/>
    </xf>
    <xf numFmtId="0" fontId="0" fillId="0" borderId="28" xfId="0" applyBorder="1" applyAlignment="1">
      <alignment horizontal="center" vertical="center" wrapText="1"/>
    </xf>
    <xf numFmtId="164" fontId="0" fillId="0" borderId="0" xfId="0" applyNumberFormat="1" applyAlignment="1">
      <alignment horizontal="center"/>
    </xf>
    <xf numFmtId="164" fontId="0" fillId="0" borderId="0" xfId="0" applyNumberFormat="1" applyAlignment="1">
      <alignment horizontal="left"/>
    </xf>
    <xf numFmtId="175" fontId="0" fillId="0" borderId="0" xfId="0" applyNumberFormat="1"/>
    <xf numFmtId="0" fontId="39" fillId="3" borderId="0" xfId="0" applyFont="1" applyFill="1"/>
    <xf numFmtId="164" fontId="2" fillId="10" borderId="13" xfId="0" applyNumberFormat="1" applyFont="1" applyFill="1" applyBorder="1"/>
    <xf numFmtId="164" fontId="2" fillId="10" borderId="14" xfId="0" applyNumberFormat="1" applyFont="1" applyFill="1" applyBorder="1"/>
    <xf numFmtId="164" fontId="2" fillId="10" borderId="15" xfId="0" applyNumberFormat="1" applyFont="1" applyFill="1" applyBorder="1"/>
    <xf numFmtId="3" fontId="2" fillId="10" borderId="3" xfId="0" applyNumberFormat="1" applyFont="1" applyFill="1" applyBorder="1"/>
    <xf numFmtId="0" fontId="32" fillId="5" borderId="5" xfId="0" applyFont="1" applyFill="1" applyBorder="1" applyAlignment="1">
      <alignment horizontal="left"/>
    </xf>
    <xf numFmtId="0" fontId="1" fillId="5" borderId="5" xfId="0" applyFont="1" applyFill="1" applyBorder="1" applyAlignment="1">
      <alignment horizontal="left"/>
    </xf>
    <xf numFmtId="0" fontId="0" fillId="2" borderId="4" xfId="0" applyFill="1" applyBorder="1"/>
    <xf numFmtId="0" fontId="0" fillId="2" borderId="5" xfId="0" applyFill="1" applyBorder="1"/>
    <xf numFmtId="0" fontId="0" fillId="2" borderId="6" xfId="0" applyFill="1" applyBorder="1"/>
    <xf numFmtId="0" fontId="0" fillId="2" borderId="10" xfId="0" applyFill="1" applyBorder="1"/>
    <xf numFmtId="2" fontId="0" fillId="0" borderId="0" xfId="0" applyNumberFormat="1" applyBorder="1"/>
    <xf numFmtId="6" fontId="0" fillId="11" borderId="0" xfId="0" applyNumberFormat="1" applyFill="1" applyAlignment="1">
      <alignment horizontal="right"/>
    </xf>
    <xf numFmtId="2" fontId="2" fillId="11" borderId="2" xfId="0" applyNumberFormat="1" applyFont="1" applyFill="1" applyBorder="1" applyAlignment="1">
      <alignment horizontal="center"/>
    </xf>
    <xf numFmtId="0" fontId="0" fillId="10" borderId="0" xfId="0" applyFont="1" applyFill="1" applyBorder="1"/>
    <xf numFmtId="173" fontId="1" fillId="6" borderId="34" xfId="0" applyNumberFormat="1" applyFont="1" applyFill="1" applyBorder="1" applyAlignment="1">
      <alignment horizontal="center"/>
    </xf>
    <xf numFmtId="176" fontId="0" fillId="0" borderId="0" xfId="0" applyNumberFormat="1"/>
    <xf numFmtId="0" fontId="0" fillId="11" borderId="14" xfId="0" applyFill="1" applyBorder="1" applyAlignment="1">
      <alignment horizontal="right"/>
    </xf>
    <xf numFmtId="0" fontId="0" fillId="11" borderId="14" xfId="0" applyNumberFormat="1" applyFill="1" applyBorder="1" applyAlignment="1">
      <alignment horizontal="right"/>
    </xf>
    <xf numFmtId="9" fontId="0" fillId="11" borderId="2" xfId="0" applyNumberFormat="1" applyFill="1" applyBorder="1"/>
    <xf numFmtId="0" fontId="40" fillId="0" borderId="0" xfId="17" applyFont="1" applyAlignment="1">
      <alignment vertical="center"/>
    </xf>
    <xf numFmtId="0" fontId="15" fillId="0" borderId="0" xfId="17" applyFont="1"/>
    <xf numFmtId="0" fontId="15" fillId="0" borderId="0" xfId="17" applyFont="1" applyAlignment="1">
      <alignment horizontal="left" vertical="center"/>
    </xf>
    <xf numFmtId="3" fontId="40" fillId="0" borderId="0" xfId="17" applyNumberFormat="1" applyFont="1" applyAlignment="1">
      <alignment horizontal="right" vertical="center"/>
    </xf>
    <xf numFmtId="168" fontId="0" fillId="0" borderId="0" xfId="0" applyNumberFormat="1"/>
    <xf numFmtId="1" fontId="15" fillId="0" borderId="0" xfId="17" applyNumberFormat="1" applyFont="1" applyAlignment="1">
      <alignment horizontal="right" vertical="center"/>
    </xf>
    <xf numFmtId="3" fontId="20" fillId="0" borderId="0" xfId="0" applyNumberFormat="1" applyFont="1" applyFill="1"/>
    <xf numFmtId="8" fontId="0" fillId="0" borderId="0" xfId="0" applyNumberFormat="1"/>
    <xf numFmtId="1" fontId="15" fillId="0" borderId="0" xfId="17" applyNumberFormat="1" applyFont="1" applyBorder="1" applyAlignment="1">
      <alignment horizontal="right" vertical="center"/>
    </xf>
    <xf numFmtId="6" fontId="42" fillId="0" borderId="0" xfId="0" applyNumberFormat="1" applyFont="1" applyBorder="1" applyAlignment="1">
      <alignment vertical="center" wrapText="1"/>
    </xf>
    <xf numFmtId="3" fontId="20" fillId="0" borderId="0" xfId="0" applyNumberFormat="1" applyFont="1" applyFill="1" applyBorder="1"/>
    <xf numFmtId="6" fontId="0" fillId="0" borderId="0" xfId="0" applyNumberFormat="1" applyBorder="1"/>
    <xf numFmtId="0" fontId="0" fillId="11" borderId="0" xfId="0" applyFill="1" applyBorder="1" applyAlignment="1">
      <alignment horizontal="right"/>
    </xf>
    <xf numFmtId="10" fontId="0" fillId="0" borderId="0" xfId="0" applyNumberFormat="1" applyBorder="1"/>
    <xf numFmtId="6" fontId="42" fillId="0" borderId="0" xfId="0" applyNumberFormat="1" applyFont="1" applyFill="1" applyBorder="1" applyAlignment="1">
      <alignment vertical="center" wrapText="1"/>
    </xf>
    <xf numFmtId="6" fontId="41" fillId="0" borderId="0" xfId="0" applyNumberFormat="1" applyFont="1" applyBorder="1" applyAlignment="1">
      <alignment vertical="center" wrapText="1"/>
    </xf>
    <xf numFmtId="0" fontId="0" fillId="0" borderId="26" xfId="0" applyBorder="1"/>
    <xf numFmtId="0" fontId="0" fillId="0" borderId="35" xfId="0" applyBorder="1"/>
    <xf numFmtId="164" fontId="0" fillId="0" borderId="26" xfId="0" applyNumberFormat="1" applyFill="1" applyBorder="1" applyAlignment="1">
      <alignment horizontal="center"/>
    </xf>
    <xf numFmtId="164" fontId="0" fillId="0" borderId="35" xfId="0" applyNumberFormat="1" applyFill="1" applyBorder="1" applyAlignment="1">
      <alignment horizontal="center"/>
    </xf>
    <xf numFmtId="164" fontId="0" fillId="0" borderId="28" xfId="0" applyNumberFormat="1" applyFill="1" applyBorder="1" applyAlignment="1">
      <alignment horizontal="center"/>
    </xf>
    <xf numFmtId="164" fontId="0" fillId="0" borderId="0" xfId="0" applyNumberFormat="1" applyFill="1" applyBorder="1" applyAlignment="1">
      <alignment horizontal="center"/>
    </xf>
    <xf numFmtId="164" fontId="0" fillId="0" borderId="2" xfId="0" applyNumberFormat="1" applyFill="1" applyBorder="1" applyAlignment="1">
      <alignment horizontal="center"/>
    </xf>
    <xf numFmtId="164" fontId="0" fillId="0" borderId="28"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36" xfId="0" applyBorder="1" applyAlignment="1">
      <alignment horizontal="center"/>
    </xf>
    <xf numFmtId="0" fontId="0" fillId="0" borderId="27" xfId="0" applyBorder="1"/>
    <xf numFmtId="0" fontId="0" fillId="0" borderId="26" xfId="0" applyFill="1" applyBorder="1"/>
    <xf numFmtId="0" fontId="0" fillId="0" borderId="28" xfId="0" applyFill="1" applyBorder="1"/>
    <xf numFmtId="0" fontId="0" fillId="0" borderId="28" xfId="0" applyFont="1" applyFill="1" applyBorder="1"/>
    <xf numFmtId="0" fontId="0" fillId="0" borderId="30" xfId="0" applyFont="1" applyFill="1" applyBorder="1"/>
    <xf numFmtId="1" fontId="15" fillId="11" borderId="0" xfId="17" applyNumberFormat="1" applyFont="1" applyFill="1" applyAlignment="1">
      <alignment horizontal="right" vertical="center"/>
    </xf>
    <xf numFmtId="168" fontId="0" fillId="11" borderId="0" xfId="0" applyNumberFormat="1" applyFill="1"/>
    <xf numFmtId="0" fontId="0" fillId="11" borderId="0" xfId="0" applyFill="1" applyAlignment="1">
      <alignment horizontal="right"/>
    </xf>
    <xf numFmtId="0" fontId="0" fillId="0" borderId="29" xfId="0" applyBorder="1" applyAlignment="1">
      <alignment horizontal="center"/>
    </xf>
    <xf numFmtId="177" fontId="0" fillId="0" borderId="0" xfId="0" applyNumberFormat="1"/>
    <xf numFmtId="4" fontId="0" fillId="0" borderId="0" xfId="0" applyNumberFormat="1"/>
    <xf numFmtId="2" fontId="2" fillId="0" borderId="0" xfId="0" applyNumberFormat="1" applyFont="1" applyFill="1" applyAlignment="1">
      <alignment horizontal="left"/>
    </xf>
    <xf numFmtId="0" fontId="5" fillId="0" borderId="0" xfId="0" applyFont="1" applyAlignment="1">
      <alignment vertical="top" wrapText="1"/>
    </xf>
    <xf numFmtId="5" fontId="0" fillId="11" borderId="2" xfId="0" applyNumberFormat="1" applyFill="1" applyBorder="1"/>
    <xf numFmtId="0" fontId="0" fillId="2" borderId="38" xfId="0" applyFill="1" applyBorder="1"/>
    <xf numFmtId="0" fontId="0" fillId="2" borderId="39" xfId="0" applyFill="1" applyBorder="1"/>
    <xf numFmtId="0" fontId="0" fillId="2" borderId="40" xfId="0" applyFill="1" applyBorder="1"/>
    <xf numFmtId="0" fontId="0" fillId="2" borderId="18" xfId="0" applyFill="1" applyBorder="1"/>
    <xf numFmtId="0" fontId="0" fillId="2" borderId="41" xfId="0" applyFill="1" applyBorder="1"/>
    <xf numFmtId="0" fontId="1" fillId="4" borderId="37" xfId="0" applyFont="1" applyFill="1" applyBorder="1" applyAlignment="1">
      <alignment horizontal="right"/>
    </xf>
    <xf numFmtId="0" fontId="1" fillId="4" borderId="37" xfId="0" applyFont="1" applyFill="1" applyBorder="1" applyAlignment="1">
      <alignment horizontal="left"/>
    </xf>
    <xf numFmtId="173" fontId="0" fillId="0" borderId="0" xfId="0" applyNumberFormat="1"/>
    <xf numFmtId="5" fontId="0" fillId="0" borderId="0" xfId="0" applyNumberFormat="1"/>
    <xf numFmtId="5" fontId="0" fillId="11" borderId="0" xfId="0" applyNumberFormat="1" applyFill="1" applyBorder="1"/>
    <xf numFmtId="0" fontId="0" fillId="11" borderId="18" xfId="0" applyFill="1" applyBorder="1"/>
    <xf numFmtId="0" fontId="2" fillId="11" borderId="18" xfId="0" applyFont="1" applyFill="1" applyBorder="1"/>
    <xf numFmtId="173" fontId="0" fillId="11" borderId="18" xfId="0" applyNumberFormat="1" applyFill="1" applyBorder="1"/>
    <xf numFmtId="173" fontId="2" fillId="11" borderId="18" xfId="0" applyNumberFormat="1" applyFont="1" applyFill="1" applyBorder="1"/>
    <xf numFmtId="5" fontId="0" fillId="11" borderId="18" xfId="0" applyNumberFormat="1" applyFill="1" applyBorder="1"/>
    <xf numFmtId="173" fontId="0" fillId="11" borderId="0" xfId="0" quotePrefix="1" applyNumberFormat="1" applyFill="1" applyAlignment="1">
      <alignment horizontal="right"/>
    </xf>
    <xf numFmtId="169" fontId="0" fillId="11" borderId="0" xfId="0" quotePrefix="1" applyNumberFormat="1" applyFill="1" applyAlignment="1">
      <alignment horizontal="right"/>
    </xf>
    <xf numFmtId="5" fontId="0" fillId="11" borderId="0" xfId="0" applyNumberFormat="1" applyFill="1" applyAlignment="1">
      <alignment horizontal="right"/>
    </xf>
    <xf numFmtId="0" fontId="2" fillId="11" borderId="8" xfId="0" applyFont="1" applyFill="1" applyBorder="1" applyAlignment="1">
      <alignment horizontal="right"/>
    </xf>
    <xf numFmtId="178" fontId="43" fillId="0" borderId="0" xfId="19" applyNumberFormat="1" applyFont="1" applyFill="1" applyBorder="1" applyAlignment="1" applyProtection="1">
      <alignment horizontal="left"/>
    </xf>
    <xf numFmtId="166" fontId="0" fillId="11" borderId="0" xfId="18" applyNumberFormat="1" applyFont="1" applyFill="1"/>
    <xf numFmtId="6" fontId="2" fillId="11" borderId="0" xfId="0" applyNumberFormat="1" applyFont="1" applyFill="1" applyAlignment="1">
      <alignment horizontal="right"/>
    </xf>
    <xf numFmtId="0" fontId="23" fillId="11" borderId="0" xfId="0" applyFont="1" applyFill="1"/>
    <xf numFmtId="0" fontId="2" fillId="11" borderId="1" xfId="0" applyFont="1" applyFill="1" applyBorder="1"/>
    <xf numFmtId="166" fontId="0" fillId="11" borderId="0" xfId="18" applyNumberFormat="1" applyFont="1" applyFill="1" applyBorder="1"/>
    <xf numFmtId="173" fontId="0" fillId="0" borderId="0" xfId="0" applyNumberFormat="1" applyFill="1" applyBorder="1"/>
    <xf numFmtId="2" fontId="2" fillId="11" borderId="0" xfId="0" applyNumberFormat="1" applyFont="1" applyFill="1" applyBorder="1" applyAlignment="1">
      <alignment horizontal="center"/>
    </xf>
    <xf numFmtId="0" fontId="0" fillId="0" borderId="29" xfId="0" applyBorder="1"/>
    <xf numFmtId="164" fontId="0" fillId="0" borderId="27" xfId="0" applyNumberFormat="1" applyFill="1" applyBorder="1" applyAlignment="1">
      <alignment horizontal="center"/>
    </xf>
    <xf numFmtId="164" fontId="0" fillId="0" borderId="29" xfId="0" applyNumberFormat="1" applyFill="1" applyBorder="1" applyAlignment="1">
      <alignment horizontal="center"/>
    </xf>
    <xf numFmtId="164" fontId="0" fillId="0" borderId="31" xfId="0" applyNumberFormat="1" applyFill="1" applyBorder="1" applyAlignment="1">
      <alignment horizontal="center"/>
    </xf>
    <xf numFmtId="0" fontId="0" fillId="0" borderId="28" xfId="0" applyBorder="1"/>
    <xf numFmtId="0" fontId="0" fillId="0" borderId="29" xfId="0" applyFill="1" applyBorder="1"/>
    <xf numFmtId="164" fontId="0" fillId="0" borderId="30" xfId="0" applyNumberFormat="1" applyFill="1" applyBorder="1" applyAlignment="1">
      <alignment horizontal="center"/>
    </xf>
    <xf numFmtId="164" fontId="0" fillId="0" borderId="0" xfId="0" applyNumberFormat="1" applyFill="1" applyAlignment="1">
      <alignment horizontal="center"/>
    </xf>
    <xf numFmtId="0" fontId="2" fillId="0" borderId="3" xfId="0" applyFont="1" applyBorder="1"/>
    <xf numFmtId="0" fontId="44" fillId="0" borderId="3" xfId="0" applyFont="1" applyBorder="1" applyAlignment="1">
      <alignment vertical="center"/>
    </xf>
    <xf numFmtId="0" fontId="45" fillId="0" borderId="3" xfId="0" applyFont="1" applyBorder="1" applyAlignment="1">
      <alignment vertical="center"/>
    </xf>
    <xf numFmtId="0" fontId="45" fillId="0" borderId="0" xfId="0" applyFont="1" applyFill="1" applyBorder="1" applyAlignment="1">
      <alignment vertical="center"/>
    </xf>
    <xf numFmtId="0" fontId="2" fillId="0" borderId="3" xfId="0" applyFont="1" applyBorder="1" applyAlignment="1"/>
    <xf numFmtId="2" fontId="46" fillId="0" borderId="3" xfId="0" applyNumberFormat="1" applyFont="1" applyBorder="1" applyAlignment="1">
      <alignment horizontal="left" vertical="center"/>
    </xf>
    <xf numFmtId="2" fontId="0" fillId="0" borderId="3" xfId="0" applyNumberFormat="1" applyBorder="1" applyAlignment="1">
      <alignment horizontal="left"/>
    </xf>
    <xf numFmtId="2" fontId="0" fillId="0" borderId="3" xfId="0" applyNumberFormat="1" applyBorder="1"/>
    <xf numFmtId="0" fontId="2" fillId="0" borderId="28" xfId="0" applyFont="1" applyBorder="1"/>
    <xf numFmtId="2" fontId="0" fillId="0" borderId="42" xfId="0" applyNumberFormat="1" applyBorder="1" applyAlignment="1">
      <alignment horizontal="left"/>
    </xf>
    <xf numFmtId="0" fontId="2" fillId="0" borderId="30" xfId="0" applyFont="1" applyBorder="1"/>
    <xf numFmtId="2" fontId="0" fillId="0" borderId="43" xfId="0" applyNumberFormat="1" applyBorder="1"/>
    <xf numFmtId="2" fontId="0" fillId="0" borderId="44" xfId="0" applyNumberFormat="1" applyBorder="1" applyAlignment="1">
      <alignment horizontal="left"/>
    </xf>
    <xf numFmtId="2" fontId="0" fillId="0" borderId="17" xfId="0" applyNumberFormat="1" applyBorder="1"/>
    <xf numFmtId="2" fontId="0" fillId="0" borderId="45" xfId="0" applyNumberFormat="1" applyBorder="1" applyAlignment="1">
      <alignment horizontal="left"/>
    </xf>
    <xf numFmtId="0" fontId="2" fillId="0" borderId="46" xfId="0" applyFont="1" applyBorder="1" applyAlignment="1"/>
    <xf numFmtId="0" fontId="2" fillId="0" borderId="43" xfId="0" applyFont="1" applyBorder="1"/>
    <xf numFmtId="0" fontId="2" fillId="0" borderId="44" xfId="0" applyFont="1" applyBorder="1"/>
    <xf numFmtId="0" fontId="0" fillId="0" borderId="17" xfId="0" applyNumberFormat="1" applyBorder="1"/>
    <xf numFmtId="0" fontId="0" fillId="0" borderId="3" xfId="0" applyNumberFormat="1" applyBorder="1"/>
    <xf numFmtId="0" fontId="0" fillId="0" borderId="43" xfId="0" applyNumberFormat="1" applyBorder="1"/>
    <xf numFmtId="0" fontId="31" fillId="2" borderId="0" xfId="0" applyFont="1" applyFill="1"/>
    <xf numFmtId="168" fontId="34" fillId="3" borderId="0" xfId="0" applyNumberFormat="1" applyFont="1" applyFill="1" applyBorder="1" applyAlignment="1">
      <alignment horizontal="center" vertical="center" wrapText="1"/>
    </xf>
    <xf numFmtId="168" fontId="34" fillId="3" borderId="0" xfId="0" applyNumberFormat="1" applyFont="1" applyFill="1" applyBorder="1" applyAlignment="1">
      <alignment vertical="center" wrapText="1"/>
    </xf>
    <xf numFmtId="0" fontId="46" fillId="0" borderId="3" xfId="0" applyFont="1" applyBorder="1" applyAlignment="1">
      <alignment horizontal="left" vertical="center"/>
    </xf>
    <xf numFmtId="2" fontId="0" fillId="0" borderId="0" xfId="0" applyNumberFormat="1"/>
    <xf numFmtId="0" fontId="0" fillId="2" borderId="0" xfId="0" applyFill="1" applyBorder="1" applyAlignment="1">
      <alignment vertical="top" wrapText="1"/>
    </xf>
    <xf numFmtId="0" fontId="0" fillId="2" borderId="8" xfId="0" applyFill="1" applyBorder="1" applyAlignment="1">
      <alignment vertical="top" wrapText="1"/>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left" vertical="top" wrapText="1"/>
    </xf>
    <xf numFmtId="0" fontId="2" fillId="0" borderId="0" xfId="0" applyFont="1" applyBorder="1" applyAlignment="1">
      <alignment horizontal="center"/>
    </xf>
    <xf numFmtId="0" fontId="2" fillId="0" borderId="36" xfId="0" applyFont="1" applyBorder="1" applyAlignment="1">
      <alignment horizontal="center" wrapText="1"/>
    </xf>
    <xf numFmtId="0" fontId="2" fillId="0" borderId="50" xfId="0" applyFont="1" applyBorder="1" applyAlignment="1">
      <alignment horizontal="center" wrapText="1"/>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3"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0" fontId="1" fillId="5" borderId="0" xfId="0" applyFont="1" applyFill="1" applyAlignment="1">
      <alignment horizontal="center"/>
    </xf>
    <xf numFmtId="0" fontId="1" fillId="5" borderId="0" xfId="0" applyFont="1" applyFill="1" applyAlignment="1">
      <alignment horizontal="center" wrapText="1"/>
    </xf>
    <xf numFmtId="0" fontId="1" fillId="5" borderId="0" xfId="0" applyFont="1" applyFill="1" applyAlignment="1">
      <alignment horizontal="center" vertical="center"/>
    </xf>
    <xf numFmtId="0" fontId="5" fillId="0" borderId="0" xfId="0" applyFont="1" applyAlignment="1">
      <alignment horizontal="left" vertical="top" wrapText="1"/>
    </xf>
    <xf numFmtId="0" fontId="1" fillId="4" borderId="37" xfId="0" applyFont="1" applyFill="1" applyBorder="1" applyAlignment="1">
      <alignment horizontal="center"/>
    </xf>
    <xf numFmtId="0" fontId="1" fillId="4" borderId="0" xfId="0" applyFont="1"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0" xfId="0" applyFont="1" applyAlignment="1">
      <alignment horizontal="center"/>
    </xf>
    <xf numFmtId="0" fontId="1" fillId="4" borderId="0" xfId="0" applyFont="1" applyFill="1" applyAlignment="1">
      <alignment horizont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 fillId="0" borderId="3" xfId="0" applyFont="1" applyBorder="1" applyAlignment="1">
      <alignment horizontal="center" wrapText="1"/>
    </xf>
  </cellXfs>
  <cellStyles count="21">
    <cellStyle name="%" xfId="19" xr:uid="{00000000-0005-0000-0000-000000000000}"/>
    <cellStyle name="% 2" xfId="20" xr:uid="{00000000-0005-0000-0000-000001000000}"/>
    <cellStyle name="Comma" xfId="18" builtinId="3"/>
    <cellStyle name="Currency" xfId="11" builtinId="4"/>
    <cellStyle name="Hyperlink" xfId="1" builtinId="8"/>
    <cellStyle name="Hyperlink 2" xfId="2" xr:uid="{00000000-0005-0000-0000-000005000000}"/>
    <cellStyle name="Hyperlink 3" xfId="3" xr:uid="{00000000-0005-0000-0000-000006000000}"/>
    <cellStyle name="Hyperlink 4" xfId="10" xr:uid="{00000000-0005-0000-0000-000007000000}"/>
    <cellStyle name="Hyperlink 5" xfId="12" xr:uid="{00000000-0005-0000-0000-000008000000}"/>
    <cellStyle name="Normal" xfId="0" builtinId="0"/>
    <cellStyle name="Normal 2" xfId="4" xr:uid="{00000000-0005-0000-0000-00000A000000}"/>
    <cellStyle name="Normal 2 2" xfId="5" xr:uid="{00000000-0005-0000-0000-00000B000000}"/>
    <cellStyle name="Normal 2 2 2" xfId="14" xr:uid="{00000000-0005-0000-0000-00000C000000}"/>
    <cellStyle name="Normal 2 3" xfId="13" xr:uid="{00000000-0005-0000-0000-00000D000000}"/>
    <cellStyle name="Normal 2 8" xfId="17" xr:uid="{00000000-0005-0000-0000-00000E000000}"/>
    <cellStyle name="Normal 3" xfId="6" xr:uid="{00000000-0005-0000-0000-00000F000000}"/>
    <cellStyle name="Normal 4" xfId="7" xr:uid="{00000000-0005-0000-0000-000010000000}"/>
    <cellStyle name="Normal 4 2" xfId="8" xr:uid="{00000000-0005-0000-0000-000011000000}"/>
    <cellStyle name="Normal 4 3" xfId="15" xr:uid="{00000000-0005-0000-0000-000012000000}"/>
    <cellStyle name="Normal 5" xfId="16" xr:uid="{00000000-0005-0000-0000-000013000000}"/>
    <cellStyle name="Note 2" xfId="9" xr:uid="{00000000-0005-0000-0000-000014000000}"/>
  </cellStyles>
  <dxfs count="3">
    <dxf>
      <fill>
        <patternFill>
          <bgColor indexed="48"/>
        </patternFill>
      </fill>
    </dxf>
    <dxf>
      <fill>
        <patternFill>
          <bgColor indexed="40"/>
        </patternFill>
      </fill>
    </dxf>
    <dxf>
      <font>
        <b val="0"/>
        <i val="0"/>
        <condense val="0"/>
        <extend val="0"/>
        <color auto="1"/>
      </font>
      <fill>
        <patternFill>
          <bgColor indexed="44"/>
        </patternFill>
      </fill>
    </dxf>
  </dxfs>
  <tableStyles count="0" defaultTableStyle="TableStyleMedium2" defaultPivotStyle="PivotStyleLight16"/>
  <colors>
    <mruColors>
      <color rgb="FFFFFF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9253077462334"/>
          <c:y val="3.9007529729678886E-2"/>
          <c:w val="0.82706331306292324"/>
          <c:h val="0.79847446758243612"/>
        </c:manualLayout>
      </c:layout>
      <c:scatterChart>
        <c:scatterStyle val="smoothMarker"/>
        <c:varyColors val="0"/>
        <c:ser>
          <c:idx val="2"/>
          <c:order val="0"/>
          <c:tx>
            <c:strRef>
              <c:f>OUTLINE!$P$60</c:f>
              <c:strCache>
                <c:ptCount val="1"/>
                <c:pt idx="0">
                  <c:v>Total Public Sector</c:v>
                </c:pt>
              </c:strCache>
            </c:strRef>
          </c:tx>
          <c:spPr>
            <a:ln>
              <a:solidFill>
                <a:schemeClr val="accent2"/>
              </a:solidFill>
            </a:ln>
          </c:spPr>
          <c:marker>
            <c:symbol val="none"/>
          </c:marker>
          <c:xVal>
            <c:numRef>
              <c:f>OUTLINE!$M$61:$M$63</c:f>
              <c:numCache>
                <c:formatCode>General</c:formatCode>
                <c:ptCount val="3"/>
                <c:pt idx="0">
                  <c:v>1</c:v>
                </c:pt>
                <c:pt idx="1">
                  <c:v>5</c:v>
                </c:pt>
                <c:pt idx="2">
                  <c:v>10</c:v>
                </c:pt>
              </c:numCache>
            </c:numRef>
          </c:xVal>
          <c:yVal>
            <c:numRef>
              <c:f>OUTLINE!$P$61:$P$63</c:f>
              <c:numCache>
                <c:formatCode>0.00</c:formatCode>
                <c:ptCount val="3"/>
                <c:pt idx="0">
                  <c:v>1.86</c:v>
                </c:pt>
                <c:pt idx="1">
                  <c:v>4.6399999999999997</c:v>
                </c:pt>
                <c:pt idx="2">
                  <c:v>9</c:v>
                </c:pt>
              </c:numCache>
            </c:numRef>
          </c:yVal>
          <c:smooth val="1"/>
          <c:extLst>
            <c:ext xmlns:c16="http://schemas.microsoft.com/office/drawing/2014/chart" uri="{C3380CC4-5D6E-409C-BE32-E72D297353CC}">
              <c16:uniqueId val="{00000000-932B-4B3E-BE18-1F1F77B4D8F1}"/>
            </c:ext>
          </c:extLst>
        </c:ser>
        <c:ser>
          <c:idx val="0"/>
          <c:order val="1"/>
          <c:tx>
            <c:v>Healthcare</c:v>
          </c:tx>
          <c:spPr>
            <a:ln>
              <a:solidFill>
                <a:schemeClr val="tx2"/>
              </a:solidFill>
            </a:ln>
          </c:spPr>
          <c:marker>
            <c:symbol val="none"/>
          </c:marker>
          <c:xVal>
            <c:numRef>
              <c:f>OUTLINE!$M$61:$M$63</c:f>
              <c:numCache>
                <c:formatCode>General</c:formatCode>
                <c:ptCount val="3"/>
                <c:pt idx="0">
                  <c:v>1</c:v>
                </c:pt>
                <c:pt idx="1">
                  <c:v>5</c:v>
                </c:pt>
                <c:pt idx="2">
                  <c:v>10</c:v>
                </c:pt>
              </c:numCache>
            </c:numRef>
          </c:xVal>
          <c:yVal>
            <c:numRef>
              <c:f>OUTLINE!$N$61:$N$63</c:f>
              <c:numCache>
                <c:formatCode>General</c:formatCode>
                <c:ptCount val="3"/>
                <c:pt idx="0">
                  <c:v>1.51</c:v>
                </c:pt>
                <c:pt idx="1">
                  <c:v>2.82</c:v>
                </c:pt>
                <c:pt idx="2">
                  <c:v>3.68</c:v>
                </c:pt>
              </c:numCache>
            </c:numRef>
          </c:yVal>
          <c:smooth val="1"/>
          <c:extLst>
            <c:ext xmlns:c16="http://schemas.microsoft.com/office/drawing/2014/chart" uri="{C3380CC4-5D6E-409C-BE32-E72D297353CC}">
              <c16:uniqueId val="{00000001-932B-4B3E-BE18-1F1F77B4D8F1}"/>
            </c:ext>
          </c:extLst>
        </c:ser>
        <c:ser>
          <c:idx val="1"/>
          <c:order val="2"/>
          <c:tx>
            <c:strRef>
              <c:f>OUTLINE!$O$60</c:f>
              <c:strCache>
                <c:ptCount val="1"/>
                <c:pt idx="0">
                  <c:v>Non-Healthcare</c:v>
                </c:pt>
              </c:strCache>
            </c:strRef>
          </c:tx>
          <c:spPr>
            <a:ln>
              <a:solidFill>
                <a:schemeClr val="accent5">
                  <a:lumMod val="60000"/>
                  <a:lumOff val="40000"/>
                </a:schemeClr>
              </a:solidFill>
            </a:ln>
          </c:spPr>
          <c:marker>
            <c:symbol val="none"/>
          </c:marker>
          <c:xVal>
            <c:numRef>
              <c:f>OUTLINE!$M$61:$M$63</c:f>
              <c:numCache>
                <c:formatCode>General</c:formatCode>
                <c:ptCount val="3"/>
                <c:pt idx="0">
                  <c:v>1</c:v>
                </c:pt>
                <c:pt idx="1">
                  <c:v>5</c:v>
                </c:pt>
                <c:pt idx="2">
                  <c:v>10</c:v>
                </c:pt>
              </c:numCache>
            </c:numRef>
          </c:xVal>
          <c:yVal>
            <c:numRef>
              <c:f>OUTLINE!$O$61:$O$63</c:f>
              <c:numCache>
                <c:formatCode>0.00</c:formatCode>
                <c:ptCount val="3"/>
                <c:pt idx="0">
                  <c:v>0.36</c:v>
                </c:pt>
                <c:pt idx="1">
                  <c:v>1.82</c:v>
                </c:pt>
                <c:pt idx="2">
                  <c:v>5.32</c:v>
                </c:pt>
              </c:numCache>
            </c:numRef>
          </c:yVal>
          <c:smooth val="1"/>
          <c:extLst>
            <c:ext xmlns:c16="http://schemas.microsoft.com/office/drawing/2014/chart" uri="{C3380CC4-5D6E-409C-BE32-E72D297353CC}">
              <c16:uniqueId val="{00000002-932B-4B3E-BE18-1F1F77B4D8F1}"/>
            </c:ext>
          </c:extLst>
        </c:ser>
        <c:dLbls>
          <c:showLegendKey val="0"/>
          <c:showVal val="0"/>
          <c:showCatName val="0"/>
          <c:showSerName val="0"/>
          <c:showPercent val="0"/>
          <c:showBubbleSize val="0"/>
        </c:dLbls>
        <c:axId val="146686336"/>
        <c:axId val="146688256"/>
      </c:scatterChart>
      <c:valAx>
        <c:axId val="146686336"/>
        <c:scaling>
          <c:orientation val="minMax"/>
        </c:scaling>
        <c:delete val="0"/>
        <c:axPos val="b"/>
        <c:title>
          <c:tx>
            <c:rich>
              <a:bodyPr/>
              <a:lstStyle/>
              <a:p>
                <a:pPr>
                  <a:defRPr/>
                </a:pPr>
                <a:r>
                  <a:rPr lang="en-GB"/>
                  <a:t>Years</a:t>
                </a:r>
              </a:p>
            </c:rich>
          </c:tx>
          <c:overlay val="0"/>
        </c:title>
        <c:numFmt formatCode="General" sourceLinked="1"/>
        <c:majorTickMark val="out"/>
        <c:minorTickMark val="none"/>
        <c:tickLblPos val="nextTo"/>
        <c:crossAx val="146688256"/>
        <c:crosses val="autoZero"/>
        <c:crossBetween val="midCat"/>
      </c:valAx>
      <c:valAx>
        <c:axId val="146688256"/>
        <c:scaling>
          <c:orientation val="minMax"/>
        </c:scaling>
        <c:delete val="0"/>
        <c:axPos val="l"/>
        <c:majorGridlines>
          <c:spPr>
            <a:ln>
              <a:noFill/>
            </a:ln>
          </c:spPr>
        </c:majorGridlines>
        <c:title>
          <c:tx>
            <c:rich>
              <a:bodyPr rot="-5400000" vert="horz"/>
              <a:lstStyle/>
              <a:p>
                <a:pPr>
                  <a:defRPr/>
                </a:pPr>
                <a:r>
                  <a:rPr lang="en-GB"/>
                  <a:t>Return</a:t>
                </a:r>
                <a:r>
                  <a:rPr lang="en-GB" baseline="0"/>
                  <a:t> on Investment (£)</a:t>
                </a:r>
                <a:endParaRPr lang="en-GB"/>
              </a:p>
            </c:rich>
          </c:tx>
          <c:overlay val="0"/>
        </c:title>
        <c:numFmt formatCode="General" sourceLinked="0"/>
        <c:majorTickMark val="out"/>
        <c:minorTickMark val="none"/>
        <c:tickLblPos val="nextTo"/>
        <c:crossAx val="146686336"/>
        <c:crosses val="autoZero"/>
        <c:crossBetween val="midCat"/>
      </c:valAx>
    </c:plotArea>
    <c:legend>
      <c:legendPos val="r"/>
      <c:layout>
        <c:manualLayout>
          <c:xMode val="edge"/>
          <c:yMode val="edge"/>
          <c:x val="0.21479735353242049"/>
          <c:y val="0.1630226667561793"/>
          <c:w val="0.20300232122464673"/>
          <c:h val="0.1409973753280839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ailto:HealthEconomics@phe.gov.uk" TargetMode="External"/><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212178</xdr:colOff>
      <xdr:row>0</xdr:row>
      <xdr:rowOff>150216</xdr:rowOff>
    </xdr:from>
    <xdr:to>
      <xdr:col>2</xdr:col>
      <xdr:colOff>69747</xdr:colOff>
      <xdr:row>5</xdr:row>
      <xdr:rowOff>106513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178" y="150216"/>
          <a:ext cx="1654619" cy="1085260"/>
        </a:xfrm>
        <a:prstGeom prst="rect">
          <a:avLst/>
        </a:prstGeom>
      </xdr:spPr>
    </xdr:pic>
    <xdr:clientData/>
  </xdr:twoCellAnchor>
  <xdr:twoCellAnchor>
    <xdr:from>
      <xdr:col>1</xdr:col>
      <xdr:colOff>561974</xdr:colOff>
      <xdr:row>51</xdr:row>
      <xdr:rowOff>171450</xdr:rowOff>
    </xdr:from>
    <xdr:to>
      <xdr:col>6</xdr:col>
      <xdr:colOff>3800475</xdr:colOff>
      <xdr:row>77</xdr:row>
      <xdr:rowOff>95250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342900</xdr:colOff>
      <xdr:row>9</xdr:row>
      <xdr:rowOff>47625</xdr:rowOff>
    </xdr:from>
    <xdr:to>
      <xdr:col>11</xdr:col>
      <xdr:colOff>1173300</xdr:colOff>
      <xdr:row>9</xdr:row>
      <xdr:rowOff>333376</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9906000" y="1943100"/>
          <a:ext cx="1440000" cy="285751"/>
        </a:xfrm>
        <a:prstGeom prst="rect">
          <a:avLst/>
        </a:prstGeom>
        <a:solidFill>
          <a:srgbClr val="00B092"/>
        </a:solidFill>
        <a:ln w="9525" cmpd="sng">
          <a:solidFill>
            <a:srgbClr val="5F5F5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solidFill>
                <a:schemeClr val="bg1"/>
              </a:solidFill>
              <a:latin typeface="Arial" panose="020B0604020202020204" pitchFamily="34" charset="0"/>
              <a:cs typeface="Arial" panose="020B0604020202020204" pitchFamily="34" charset="0"/>
            </a:rPr>
            <a:t>Email us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657225</xdr:colOff>
      <xdr:row>26</xdr:row>
      <xdr:rowOff>19050</xdr:rowOff>
    </xdr:from>
    <xdr:to>
      <xdr:col>3</xdr:col>
      <xdr:colOff>819150</xdr:colOff>
      <xdr:row>28</xdr:row>
      <xdr:rowOff>9525</xdr:rowOff>
    </xdr:to>
    <xdr:sp macro="" textlink="">
      <xdr:nvSpPr>
        <xdr:cNvPr id="4" name="Left Brace 3">
          <a:extLst>
            <a:ext uri="{FF2B5EF4-FFF2-40B4-BE49-F238E27FC236}">
              <a16:creationId xmlns:a16="http://schemas.microsoft.com/office/drawing/2014/main" id="{00000000-0008-0000-0300-000004000000}"/>
            </a:ext>
          </a:extLst>
        </xdr:cNvPr>
        <xdr:cNvSpPr/>
      </xdr:nvSpPr>
      <xdr:spPr>
        <a:xfrm>
          <a:off x="2781300" y="4981575"/>
          <a:ext cx="161925" cy="371475"/>
        </a:xfrm>
        <a:prstGeom prst="leftBrace">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xdr:col>
      <xdr:colOff>381000</xdr:colOff>
      <xdr:row>26</xdr:row>
      <xdr:rowOff>57150</xdr:rowOff>
    </xdr:from>
    <xdr:to>
      <xdr:col>3</xdr:col>
      <xdr:colOff>590550</xdr:colOff>
      <xdr:row>27</xdr:row>
      <xdr:rowOff>152400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990600" y="5019675"/>
          <a:ext cx="17240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100" b="1" i="0" u="none" strike="noStrike">
              <a:solidFill>
                <a:schemeClr val="dk1"/>
              </a:solidFill>
              <a:effectLst/>
              <a:latin typeface="+mn-lt"/>
              <a:ea typeface="+mn-ea"/>
              <a:cs typeface="+mn-cs"/>
            </a:rPr>
            <a:t>Unintended</a:t>
          </a:r>
          <a:r>
            <a:rPr lang="en-GB" sz="1100" b="1" i="0" u="none" strike="noStrike" baseline="0">
              <a:solidFill>
                <a:schemeClr val="dk1"/>
              </a:solidFill>
              <a:effectLst/>
              <a:latin typeface="+mn-lt"/>
              <a:ea typeface="+mn-ea"/>
              <a:cs typeface="+mn-cs"/>
            </a:rPr>
            <a:t> births</a:t>
          </a:r>
          <a:r>
            <a:rPr lang="en-GB" sz="1100" b="1" i="0" u="none" strike="noStrike">
              <a:solidFill>
                <a:schemeClr val="dk1"/>
              </a:solidFill>
              <a:effectLst/>
              <a:latin typeface="+mn-lt"/>
              <a:ea typeface="+mn-ea"/>
              <a:cs typeface="+mn-cs"/>
            </a:rPr>
            <a:t>: </a:t>
          </a:r>
          <a:r>
            <a:rPr lang="en-GB"/>
            <a:t> </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333375</xdr:colOff>
      <xdr:row>5</xdr:row>
      <xdr:rowOff>142875</xdr:rowOff>
    </xdr:from>
    <xdr:to>
      <xdr:col>33</xdr:col>
      <xdr:colOff>284018</xdr:colOff>
      <xdr:row>23</xdr:row>
      <xdr:rowOff>104775</xdr:rowOff>
    </xdr:to>
    <xdr:pic>
      <xdr:nvPicPr>
        <xdr:cNvPr id="3"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59125" y="1285875"/>
          <a:ext cx="5437043" cy="358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gov.uk/government/statistics/personal-tax-credits-provisional-statistics-2013-to-2009" TargetMode="External"/><Relationship Id="rId7" Type="http://schemas.openxmlformats.org/officeDocument/2006/relationships/vmlDrawing" Target="../drawings/vmlDrawing3.vml"/><Relationship Id="rId2" Type="http://schemas.openxmlformats.org/officeDocument/2006/relationships/hyperlink" Target="https://www.gov.uk/government/statistics/personal-tax-credits-provisional-statistics-2013-to-2009" TargetMode="External"/><Relationship Id="rId1" Type="http://schemas.openxmlformats.org/officeDocument/2006/relationships/hyperlink" Target="https://www.ons.gov.uk/peoplepopulationandcommunity/birthsdeathsandmarriages/families/datasets/familiesandhouseholdsfamiliesandhouseholds" TargetMode="External"/><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s://www.gov.uk/government/publications/rates-and-allowances-tax-credits-child-benefit-and-guardians-allowance/tax-credits-child-benefit-and-guardians-allowanc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statistics/child-and-working-tax-credits-statistics-finalised-annual-awards-2015-to-2016" TargetMode="External"/><Relationship Id="rId2" Type="http://schemas.openxmlformats.org/officeDocument/2006/relationships/hyperlink" Target="https://www.gov.uk/government/statistics/child-and-working-tax-credits-statistics-finalised-annual-awards-2015-to-2016" TargetMode="External"/><Relationship Id="rId1" Type="http://schemas.openxmlformats.org/officeDocument/2006/relationships/hyperlink" Target="https://www.ons.gov.uk/peoplepopulationandcommunity/birthsdeathsandmarriages/families/datasets/familiesandhouseholdsfamiliesandhousehold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www.gov.uk/government/statistics/dwp-statistical-summaries-2017" TargetMode="External"/><Relationship Id="rId7" Type="http://schemas.openxmlformats.org/officeDocument/2006/relationships/vmlDrawing" Target="../drawings/vmlDrawing5.vml"/><Relationship Id="rId2" Type="http://schemas.openxmlformats.org/officeDocument/2006/relationships/hyperlink" Target="https://www.ons.gov.uk/peoplepopulationandcommunity/birthsdeathsandmarriages/families/datasets/familiesandhouseholdsfamiliesandhouseholds" TargetMode="External"/><Relationship Id="rId1" Type="http://schemas.openxmlformats.org/officeDocument/2006/relationships/hyperlink" Target="https://www.gov.uk/government/statistics/dwp-statistical-summaries-2017" TargetMode="External"/><Relationship Id="rId6" Type="http://schemas.openxmlformats.org/officeDocument/2006/relationships/printerSettings" Target="../printerSettings/printerSettings11.bin"/><Relationship Id="rId5" Type="http://schemas.openxmlformats.org/officeDocument/2006/relationships/hyperlink" Target="https://www.ons.gov.uk/peoplepopulationandcommunity/birthsdeathsandmarriages/families/datasets/familiesandhouseholdsfamiliesandhouseholds" TargetMode="External"/><Relationship Id="rId4" Type="http://schemas.openxmlformats.org/officeDocument/2006/relationships/hyperlink" Target="https://www.ons.gov.uk/peoplepopulationandcommunity/birthsdeathsandmarriages/families/datasets/familiesandhouseholdsfamiliesandhousehold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birthsdeathsandmarriages/families/datasets/familiesandhouseholdsfamiliesandhouseholds" TargetMode="External"/><Relationship Id="rId1" Type="http://schemas.openxmlformats.org/officeDocument/2006/relationships/hyperlink" Target="https://www.gov.uk/government/statistics/housing-benefit-caseload-statistics" TargetMode="External"/></Relationships>
</file>

<file path=xl/worksheets/_rels/sheet14.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s://www.gov.uk/government/uploads/system/uploads/attachment_data/file/630382/social-fund-annual-report-2016-2017.pdf" TargetMode="External"/><Relationship Id="rId7" Type="http://schemas.openxmlformats.org/officeDocument/2006/relationships/vmlDrawing" Target="../drawings/vmlDrawing6.vml"/><Relationship Id="rId2" Type="http://schemas.openxmlformats.org/officeDocument/2006/relationships/hyperlink" Target="https://www.gov.uk/government/statistics/maternity-allowance-quarterly-statistics-march-to-may-2017" TargetMode="External"/><Relationship Id="rId1" Type="http://schemas.openxmlformats.org/officeDocument/2006/relationships/hyperlink" Target="https://www.ons.gov.uk/peoplepopulationandcommunity/birthsdeathsandmarriages/livebirths/datasets/birthsummarytables" TargetMode="External"/><Relationship Id="rId6" Type="http://schemas.openxmlformats.org/officeDocument/2006/relationships/printerSettings" Target="../printerSettings/printerSettings13.bin"/><Relationship Id="rId5" Type="http://schemas.openxmlformats.org/officeDocument/2006/relationships/hyperlink" Target="https://www.ons.gov.uk/peoplepopulationandcommunity/birthsdeathsandmarriages/livebirths/datasets/birthsummarytables" TargetMode="External"/><Relationship Id="rId4" Type="http://schemas.openxmlformats.org/officeDocument/2006/relationships/hyperlink" Target="https://www.gov.uk/sure-start-maternity-grant"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ao.org.uk/wp-content/uploads/2014/11/Children-in-care1.pdf"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openprescribing.net/bnf/0703/" TargetMode="External"/><Relationship Id="rId1" Type="http://schemas.openxmlformats.org/officeDocument/2006/relationships/hyperlink" Target="https://www.gov.uk/government/statistics/local-authority-revenue-expenditure-and-financing-england-2016-to-2017-budget-individual-local-authority-data"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gov.uk/government/collections/gdp-deflators-at-market-prices-and-money-gdp" TargetMode="External"/><Relationship Id="rId2" Type="http://schemas.openxmlformats.org/officeDocument/2006/relationships/hyperlink" Target="http://www.info.doh.gov.uk/doh/finman.nsf/af3d43e36a4c8f8500256722005b77f8/360a47827991d10a80258036002d8d9f/$FILE/2015.16%20Pay%20&amp;%20Price%20series.xlsx" TargetMode="External"/><Relationship Id="rId1" Type="http://schemas.openxmlformats.org/officeDocument/2006/relationships/hyperlink" Target="http://www.pssru.ac.uk/pub/uc/uc2016/sources-of-information.pdf" TargetMode="Externa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cbi.nlm.nih.gov/pmc/articles/PMC3638209/" TargetMode="External"/><Relationship Id="rId1" Type="http://schemas.openxmlformats.org/officeDocument/2006/relationships/hyperlink" Target="https://www.ncbi.nlm.nih.gov/pmc/articles/PMC3638209/"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bmjopen.bmj.com/content/3/12/e003815" TargetMode="External"/><Relationship Id="rId2" Type="http://schemas.openxmlformats.org/officeDocument/2006/relationships/hyperlink" Target="http://bmjopen.bmj.com/content/bmjopen/suppl/2013/12/18/bmjopen-2013-003815.DC1/bmjopen-2013-003815supp_appendixA.pdf" TargetMode="External"/><Relationship Id="rId1" Type="http://schemas.openxmlformats.org/officeDocument/2006/relationships/hyperlink" Target="https://www.gov.uk/government/collections/nhs-reference-costs" TargetMode="External"/><Relationship Id="rId5" Type="http://schemas.openxmlformats.org/officeDocument/2006/relationships/printerSettings" Target="../printerSettings/printerSettings19.bin"/><Relationship Id="rId4" Type="http://schemas.openxmlformats.org/officeDocument/2006/relationships/hyperlink" Target="https://digital.nhs.uk/catalogue/PUB2238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populationandmigration/populationestimates/datasets/populationestimatesforukenglandandwalesscotlandandnorthernireland" TargetMode="External"/><Relationship Id="rId1" Type="http://schemas.openxmlformats.org/officeDocument/2006/relationships/hyperlink" Target="https://www.ons.gov.uk/peoplepopulationandcommunity/birthsdeathsandmarriages/livebirths/adhocs/006402percentagedistributionofwomenofchildbearingagebynumberoflivebornchildrenageandyearofbirthofwoman1920to200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cbi.nlm.nih.gov/pmc/articles/PMC3496824/" TargetMode="External"/><Relationship Id="rId1" Type="http://schemas.openxmlformats.org/officeDocument/2006/relationships/hyperlink" Target="https://www.ncbi.nlm.nih.gov/pubmed/16532609"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digital.nhs.uk/catalogue/PUB30137" TargetMode="External"/><Relationship Id="rId3" Type="http://schemas.openxmlformats.org/officeDocument/2006/relationships/hyperlink" Target="http://bmjopen.bmj.com/content/3/12/e003815" TargetMode="External"/><Relationship Id="rId7" Type="http://schemas.openxmlformats.org/officeDocument/2006/relationships/hyperlink" Target="https://www.ons.gov.uk/peoplepopulationandcommunity/birthsdeathsandmarriages/livebirths/datasets/birthsummarytables" TargetMode="External"/><Relationship Id="rId2" Type="http://schemas.openxmlformats.org/officeDocument/2006/relationships/hyperlink" Target="https://www.ncbi.nlm.nih.gov/pmc/articles/PMC4727534/pdf/nihms708229.pdf" TargetMode="External"/><Relationship Id="rId1" Type="http://schemas.openxmlformats.org/officeDocument/2006/relationships/hyperlink" Target="https://www.ncbi.nlm.nih.gov/pmc/articles/PMC4727534/pdf/nihms708229.pdf" TargetMode="External"/><Relationship Id="rId6" Type="http://schemas.openxmlformats.org/officeDocument/2006/relationships/hyperlink" Target="http://bmjopen.bmj.com/content/bmjopen/suppl/2013/12/18/bmjopen-2013-003815.DC1/bmjopen-2013-003815supp_appendixA.pdf" TargetMode="External"/><Relationship Id="rId5" Type="http://schemas.openxmlformats.org/officeDocument/2006/relationships/hyperlink" Target="http://bmjopen.bmj.com/content/bmjopen/suppl/2013/12/18/bmjopen-2013-003815.DC1/bmjopen-2013-003815supp_appendixA.pdf" TargetMode="External"/><Relationship Id="rId4" Type="http://schemas.openxmlformats.org/officeDocument/2006/relationships/hyperlink" Target="http://bmjopen.bmj.com/content/bmjopen/suppl/2013/12/18/bmjopen-2013-003815.DC1/bmjopen-2013-003815supp_appendixA.pdf"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fsr/fiscal-sustainability-analytical-papers-july-2016/"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birthsdeathsandmarriages/lifeexpectancies/adhocs/007598populationestimatesanddeathsbysingleyearofageforenglandandwalesandtheuk1961to2016" TargetMode="External"/><Relationship Id="rId1" Type="http://schemas.openxmlformats.org/officeDocument/2006/relationships/hyperlink" Target="https://www.gov.uk/government/statistics/local-authority-revenue-expenditure-and-financing-england-2016-to-2017-budget-individual-local-authority-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fs.org.uk/uploads/publications/comms/R126.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statistics/child-benefit-statistics-geographical-analysis-august-2016" TargetMode="External"/><Relationship Id="rId2" Type="http://schemas.openxmlformats.org/officeDocument/2006/relationships/hyperlink" Target="https://www.gov.uk/child-benefit/what-youll-get" TargetMode="External"/><Relationship Id="rId1" Type="http://schemas.openxmlformats.org/officeDocument/2006/relationships/hyperlink" Target="https://www.ons.gov.uk/peoplepopulationandcommunity/birthsdeathsandmarriages/families/datasets/familiesandhouseholdsfamiliesandhousehold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50021"/>
  </sheetPr>
  <dimension ref="A1:P207"/>
  <sheetViews>
    <sheetView tabSelected="1" zoomScaleNormal="100" workbookViewId="0"/>
  </sheetViews>
  <sheetFormatPr defaultRowHeight="14.5" x14ac:dyDescent="0.35"/>
  <cols>
    <col min="2" max="2" width="17.7265625" customWidth="1"/>
    <col min="3" max="3" width="18" customWidth="1"/>
    <col min="4" max="4" width="3.453125" customWidth="1"/>
    <col min="6" max="6" width="3" customWidth="1"/>
    <col min="7" max="7" width="59.81640625" customWidth="1"/>
    <col min="8" max="8" width="6.1796875" customWidth="1"/>
    <col min="9" max="9" width="13.7265625" customWidth="1"/>
    <col min="10" max="10" width="3.26953125" customWidth="1"/>
    <col min="12" max="12" width="20.81640625" style="166" customWidth="1"/>
    <col min="13" max="13" width="15.26953125" customWidth="1"/>
    <col min="14" max="15" width="15.26953125" style="38" customWidth="1"/>
    <col min="16" max="16" width="18.453125" customWidth="1"/>
  </cols>
  <sheetData>
    <row r="1" spans="1:16" x14ac:dyDescent="0.35">
      <c r="A1" s="2"/>
      <c r="B1" s="2"/>
      <c r="C1" s="2"/>
      <c r="D1" s="2"/>
      <c r="E1" s="3"/>
      <c r="F1" s="3"/>
      <c r="G1" s="3"/>
      <c r="H1" s="3"/>
      <c r="I1" s="3"/>
      <c r="J1" s="3"/>
      <c r="K1" s="3"/>
      <c r="L1" s="165"/>
    </row>
    <row r="2" spans="1:16" x14ac:dyDescent="0.35">
      <c r="A2" s="2"/>
      <c r="B2" s="2"/>
      <c r="C2" s="2"/>
      <c r="D2" s="2"/>
      <c r="E2" s="3"/>
      <c r="F2" s="3"/>
      <c r="G2" s="3"/>
      <c r="H2" s="3"/>
      <c r="I2" s="3"/>
      <c r="J2" s="3"/>
      <c r="K2" s="3"/>
      <c r="L2" s="165"/>
    </row>
    <row r="3" spans="1:16" x14ac:dyDescent="0.35">
      <c r="A3" s="2"/>
      <c r="B3" s="2"/>
      <c r="C3" s="2"/>
      <c r="D3" s="2"/>
      <c r="E3" s="3"/>
      <c r="F3" s="3"/>
      <c r="G3" s="3"/>
      <c r="H3" s="3"/>
      <c r="I3" s="3"/>
      <c r="J3" s="3"/>
      <c r="K3" s="3"/>
      <c r="L3" s="165"/>
    </row>
    <row r="4" spans="1:16" ht="21" x14ac:dyDescent="0.5">
      <c r="A4" s="2"/>
      <c r="B4" s="2"/>
      <c r="C4" s="2"/>
      <c r="D4" s="2"/>
      <c r="E4" s="3"/>
      <c r="F4" s="4" t="s">
        <v>713</v>
      </c>
      <c r="G4" s="3"/>
      <c r="H4" s="3"/>
      <c r="I4" s="3"/>
      <c r="J4" s="3"/>
      <c r="K4" s="3"/>
      <c r="L4" s="165"/>
    </row>
    <row r="5" spans="1:16" ht="23.5" x14ac:dyDescent="0.55000000000000004">
      <c r="A5" s="2"/>
      <c r="B5" s="2"/>
      <c r="C5" s="2"/>
      <c r="D5" s="2"/>
      <c r="E5" s="3"/>
      <c r="F5" s="367"/>
      <c r="G5" s="367"/>
      <c r="H5" s="3"/>
      <c r="I5" s="3"/>
      <c r="J5" s="3"/>
      <c r="K5" s="3"/>
      <c r="L5" s="165"/>
    </row>
    <row r="6" spans="1:16" x14ac:dyDescent="0.35">
      <c r="A6" s="2"/>
      <c r="B6" s="2"/>
      <c r="C6" s="2"/>
      <c r="D6" s="2"/>
      <c r="E6" s="3"/>
      <c r="F6" s="3"/>
      <c r="G6" s="3"/>
      <c r="H6" s="3"/>
      <c r="I6" s="3"/>
      <c r="J6" s="3"/>
      <c r="K6" s="3"/>
      <c r="L6" s="165"/>
    </row>
    <row r="7" spans="1:16" x14ac:dyDescent="0.35">
      <c r="A7" s="2"/>
      <c r="B7" s="2"/>
      <c r="C7" s="2"/>
      <c r="D7" s="2"/>
      <c r="E7" s="167"/>
      <c r="F7" s="167"/>
      <c r="G7" s="167"/>
      <c r="H7" s="167"/>
      <c r="I7" s="167"/>
      <c r="J7" s="167"/>
      <c r="K7" s="167"/>
      <c r="L7" s="165"/>
    </row>
    <row r="8" spans="1:16" x14ac:dyDescent="0.35">
      <c r="A8" s="6"/>
      <c r="B8" s="2"/>
      <c r="C8" s="2"/>
      <c r="D8" s="2"/>
      <c r="E8" s="2"/>
      <c r="F8" s="2"/>
      <c r="G8" s="2"/>
      <c r="H8" s="2"/>
      <c r="I8" s="2"/>
      <c r="J8" s="2"/>
      <c r="K8" s="2"/>
      <c r="L8" s="61"/>
      <c r="M8" s="1"/>
      <c r="N8" s="1"/>
      <c r="O8" s="1"/>
      <c r="P8" s="1"/>
    </row>
    <row r="9" spans="1:16" x14ac:dyDescent="0.35">
      <c r="A9" s="6"/>
      <c r="B9" s="168" t="s">
        <v>0</v>
      </c>
      <c r="C9" s="2"/>
      <c r="D9" s="2"/>
      <c r="E9" s="2"/>
      <c r="F9" s="2"/>
      <c r="G9" s="2"/>
      <c r="H9" s="2"/>
      <c r="I9" s="2"/>
      <c r="J9" s="2"/>
      <c r="K9" s="2"/>
      <c r="L9" s="61"/>
      <c r="M9" s="1"/>
      <c r="N9" s="1"/>
      <c r="O9" s="1"/>
      <c r="P9" s="1"/>
    </row>
    <row r="10" spans="1:16" ht="79.5" customHeight="1" x14ac:dyDescent="0.35">
      <c r="A10" s="6"/>
      <c r="B10" s="492" t="s">
        <v>714</v>
      </c>
      <c r="C10" s="492"/>
      <c r="D10" s="492"/>
      <c r="E10" s="492"/>
      <c r="F10" s="492"/>
      <c r="G10" s="492"/>
      <c r="H10" s="492"/>
      <c r="I10" s="492"/>
      <c r="J10" s="492"/>
      <c r="K10" s="488"/>
      <c r="L10" s="489"/>
      <c r="M10" s="182"/>
      <c r="N10" s="182"/>
      <c r="O10" s="182"/>
      <c r="P10" s="133"/>
    </row>
    <row r="11" spans="1:16" ht="19.5" customHeight="1" x14ac:dyDescent="0.35">
      <c r="A11" s="6"/>
      <c r="B11" s="2"/>
      <c r="C11" s="2"/>
      <c r="D11" s="2"/>
      <c r="E11" s="2"/>
      <c r="F11" s="2"/>
      <c r="G11" s="2"/>
      <c r="H11" s="2"/>
      <c r="I11" s="2"/>
      <c r="J11" s="2"/>
      <c r="K11" s="2"/>
      <c r="L11" s="61"/>
    </row>
    <row r="12" spans="1:16" ht="19" thickBot="1" x14ac:dyDescent="0.4">
      <c r="A12" s="6"/>
      <c r="B12" s="490" t="s">
        <v>605</v>
      </c>
      <c r="C12" s="490"/>
      <c r="D12" s="491" t="s">
        <v>3</v>
      </c>
      <c r="E12" s="8" t="s">
        <v>1</v>
      </c>
      <c r="F12" s="491" t="s">
        <v>3</v>
      </c>
      <c r="G12" s="169" t="s">
        <v>606</v>
      </c>
      <c r="H12" s="491" t="s">
        <v>3</v>
      </c>
      <c r="I12" s="382">
        <f xml:space="preserve"> IF(C32="Healthcare", '2. COST SAVINGS'!I20, IF(OUTLINE!C32="Non-Healthcare", '2. COST SAVINGS'!I21, IF(OUTLINE!C32="Total Public Sector", '2. COST SAVINGS'!I22, 0)))</f>
        <v>2215493699.0764351</v>
      </c>
      <c r="J12" s="491" t="s">
        <v>3</v>
      </c>
      <c r="K12" s="484">
        <f>I12/I13</f>
        <v>9.0012392613448462</v>
      </c>
      <c r="L12" s="61"/>
    </row>
    <row r="13" spans="1:16" ht="18.5" x14ac:dyDescent="0.35">
      <c r="A13" s="6"/>
      <c r="B13" s="490"/>
      <c r="C13" s="490"/>
      <c r="D13" s="491"/>
      <c r="E13" s="170" t="s">
        <v>2</v>
      </c>
      <c r="F13" s="491"/>
      <c r="G13" s="170" t="s">
        <v>607</v>
      </c>
      <c r="H13" s="491"/>
      <c r="I13" s="269">
        <f>'3. PUBLIC SPENDING'!G7</f>
        <v>246132075.23443002</v>
      </c>
      <c r="J13" s="491"/>
      <c r="K13" s="485"/>
      <c r="L13" s="61"/>
      <c r="N13" s="391"/>
    </row>
    <row r="14" spans="1:16" ht="15" customHeight="1" x14ac:dyDescent="0.35">
      <c r="A14" s="6"/>
      <c r="B14" s="9"/>
      <c r="C14" s="9"/>
      <c r="D14" s="6"/>
      <c r="E14" s="6"/>
      <c r="F14" s="6"/>
      <c r="G14" s="6"/>
      <c r="H14" s="6"/>
      <c r="I14" s="6"/>
      <c r="J14" s="6"/>
      <c r="K14" s="6"/>
      <c r="L14" s="61"/>
    </row>
    <row r="15" spans="1:16" s="38" customFormat="1" ht="15" customHeight="1" x14ac:dyDescent="0.35">
      <c r="A15" s="6"/>
      <c r="B15" s="9"/>
      <c r="C15" s="9"/>
      <c r="D15" s="6"/>
      <c r="F15" s="6"/>
      <c r="G15" s="7" t="str">
        <f>"i.e. every £1 spent on publicly funded contraception results in savings of £" &amp;TEXT($K$12,"0.00")</f>
        <v>i.e. every £1 spent on publicly funded contraception results in savings of £9.00</v>
      </c>
      <c r="I15" s="6"/>
      <c r="J15" s="6"/>
      <c r="L15" s="61"/>
    </row>
    <row r="16" spans="1:16" x14ac:dyDescent="0.35">
      <c r="A16" s="6"/>
      <c r="B16" s="9"/>
      <c r="C16" s="9"/>
      <c r="D16" s="6"/>
      <c r="E16" s="6"/>
      <c r="F16" s="6"/>
      <c r="G16" s="483" t="str">
        <f>"Assuming " &amp;C23 &amp;", a " &amp;C32 &amp;" perspective and a " &amp;C38 &amp;" time horizon"</f>
        <v>Assuming Scenario 1, a Total Public Sector perspective and a 10 years time horizon</v>
      </c>
      <c r="H16" s="6"/>
      <c r="I16" s="6"/>
      <c r="J16" s="6"/>
      <c r="K16" s="6"/>
      <c r="L16" s="61"/>
    </row>
    <row r="17" spans="1:16" s="38" customFormat="1" x14ac:dyDescent="0.35">
      <c r="A17" s="6"/>
      <c r="B17" s="6"/>
      <c r="C17" s="6"/>
      <c r="D17" s="6"/>
      <c r="E17" s="6"/>
      <c r="F17" s="6"/>
      <c r="G17" s="6"/>
      <c r="H17" s="6"/>
      <c r="I17" s="6"/>
      <c r="J17" s="6"/>
      <c r="K17" s="6"/>
      <c r="L17" s="61"/>
    </row>
    <row r="18" spans="1:16" s="38" customFormat="1" x14ac:dyDescent="0.35">
      <c r="A18" s="6"/>
      <c r="C18" s="6"/>
      <c r="D18" s="6"/>
      <c r="E18" s="6"/>
      <c r="F18" s="6"/>
      <c r="G18" s="6"/>
      <c r="H18" s="6"/>
      <c r="I18" s="6"/>
      <c r="J18" s="6"/>
      <c r="K18" s="6"/>
      <c r="L18" s="61"/>
    </row>
    <row r="19" spans="1:16" s="38" customFormat="1" x14ac:dyDescent="0.35">
      <c r="A19" s="6"/>
      <c r="B19" s="6" t="s">
        <v>715</v>
      </c>
      <c r="C19" s="6"/>
      <c r="D19" s="6"/>
      <c r="E19" s="6"/>
      <c r="F19" s="6"/>
      <c r="G19" s="6"/>
      <c r="H19" s="6"/>
      <c r="I19" s="6"/>
      <c r="J19" s="6"/>
      <c r="K19" s="6"/>
      <c r="L19" s="61"/>
    </row>
    <row r="20" spans="1:16" s="38" customFormat="1" x14ac:dyDescent="0.35">
      <c r="A20" s="6"/>
      <c r="B20" s="6"/>
      <c r="C20" s="6"/>
      <c r="D20" s="6"/>
      <c r="E20" s="6"/>
      <c r="F20" s="6"/>
      <c r="G20" s="6"/>
      <c r="H20" s="6"/>
      <c r="I20" s="6"/>
      <c r="J20" s="6"/>
      <c r="K20" s="6"/>
      <c r="L20" s="61"/>
    </row>
    <row r="21" spans="1:16" x14ac:dyDescent="0.35">
      <c r="A21" s="6"/>
      <c r="B21" s="7" t="s">
        <v>197</v>
      </c>
      <c r="C21" s="6"/>
      <c r="D21" s="6"/>
      <c r="E21" s="6"/>
      <c r="F21" s="6"/>
      <c r="G21" s="6"/>
      <c r="H21" s="6"/>
      <c r="I21" s="6"/>
      <c r="J21" s="6"/>
      <c r="K21" s="6"/>
      <c r="L21" s="61"/>
      <c r="M21" s="38"/>
    </row>
    <row r="22" spans="1:16" s="38" customFormat="1" ht="15" thickBot="1" x14ac:dyDescent="0.4">
      <c r="A22" s="6"/>
      <c r="B22" s="6" t="s">
        <v>707</v>
      </c>
      <c r="C22" s="6"/>
      <c r="D22" s="6"/>
      <c r="E22" s="6"/>
      <c r="F22" s="6"/>
      <c r="G22" s="6"/>
      <c r="H22" s="6"/>
      <c r="I22" s="6"/>
      <c r="J22" s="6"/>
      <c r="K22" s="6"/>
      <c r="L22" s="61"/>
    </row>
    <row r="23" spans="1:16" x14ac:dyDescent="0.35">
      <c r="A23" s="6"/>
      <c r="B23" s="265" t="s">
        <v>431</v>
      </c>
      <c r="C23" s="266" t="s">
        <v>125</v>
      </c>
      <c r="D23" s="270" t="s">
        <v>198</v>
      </c>
      <c r="E23" s="271"/>
      <c r="F23" s="271"/>
      <c r="G23" s="271"/>
      <c r="H23" s="272"/>
      <c r="I23" s="6"/>
      <c r="J23" s="6"/>
      <c r="K23" s="6"/>
      <c r="L23" s="61"/>
      <c r="M23" s="38"/>
    </row>
    <row r="24" spans="1:16" x14ac:dyDescent="0.35">
      <c r="A24" s="6"/>
      <c r="B24" s="374" t="s">
        <v>125</v>
      </c>
      <c r="C24" s="374" t="s">
        <v>632</v>
      </c>
      <c r="D24" s="375"/>
      <c r="E24" s="375"/>
      <c r="F24" s="375"/>
      <c r="G24" s="375"/>
      <c r="H24" s="376"/>
      <c r="I24" s="322"/>
      <c r="J24" s="6"/>
      <c r="K24" s="6"/>
      <c r="L24" s="61"/>
    </row>
    <row r="25" spans="1:16" x14ac:dyDescent="0.35">
      <c r="A25" s="6"/>
      <c r="B25" s="60" t="s">
        <v>126</v>
      </c>
      <c r="C25" s="60" t="s">
        <v>633</v>
      </c>
      <c r="D25" s="2"/>
      <c r="E25" s="2"/>
      <c r="F25" s="2"/>
      <c r="G25" s="2"/>
      <c r="H25" s="61"/>
      <c r="I25" s="321"/>
      <c r="J25" s="6"/>
      <c r="K25" s="6"/>
      <c r="L25" s="61"/>
    </row>
    <row r="26" spans="1:16" x14ac:dyDescent="0.35">
      <c r="A26" s="6"/>
      <c r="B26" s="60" t="s">
        <v>196</v>
      </c>
      <c r="C26" s="60" t="s">
        <v>634</v>
      </c>
      <c r="D26" s="2"/>
      <c r="E26" s="2"/>
      <c r="F26" s="2"/>
      <c r="G26" s="2"/>
      <c r="H26" s="61"/>
      <c r="I26" s="6"/>
      <c r="J26" s="6"/>
      <c r="K26" s="6"/>
      <c r="L26" s="61"/>
      <c r="M26" s="38"/>
    </row>
    <row r="27" spans="1:16" s="38" customFormat="1" x14ac:dyDescent="0.35">
      <c r="A27" s="6"/>
      <c r="B27" s="60" t="s">
        <v>638</v>
      </c>
      <c r="C27" s="60" t="s">
        <v>639</v>
      </c>
      <c r="D27" s="2"/>
      <c r="E27" s="2"/>
      <c r="F27" s="2"/>
      <c r="G27" s="2"/>
      <c r="H27" s="61"/>
      <c r="I27" s="2"/>
      <c r="J27" s="6"/>
      <c r="K27" s="6"/>
      <c r="L27" s="61"/>
    </row>
    <row r="28" spans="1:16" x14ac:dyDescent="0.35">
      <c r="A28" s="6"/>
      <c r="B28" s="60" t="s">
        <v>655</v>
      </c>
      <c r="C28" s="299" t="s">
        <v>692</v>
      </c>
      <c r="D28" s="2"/>
      <c r="E28" s="2"/>
      <c r="F28" s="2"/>
      <c r="G28" s="2"/>
      <c r="H28" s="61"/>
      <c r="I28" s="2"/>
      <c r="J28" s="6"/>
      <c r="K28" s="6"/>
      <c r="L28" s="61"/>
      <c r="M28" s="38"/>
    </row>
    <row r="29" spans="1:16" x14ac:dyDescent="0.35">
      <c r="A29" s="6"/>
      <c r="B29" s="65" t="s">
        <v>643</v>
      </c>
      <c r="C29" s="65" t="s">
        <v>658</v>
      </c>
      <c r="D29" s="66"/>
      <c r="E29" s="66"/>
      <c r="F29" s="66"/>
      <c r="G29" s="66"/>
      <c r="H29" s="377"/>
      <c r="I29" s="6"/>
      <c r="J29" s="6"/>
      <c r="K29" s="6"/>
      <c r="L29" s="61"/>
      <c r="P29" s="38"/>
    </row>
    <row r="30" spans="1:16" s="38" customFormat="1" x14ac:dyDescent="0.35">
      <c r="A30" s="6"/>
      <c r="B30" s="6"/>
      <c r="C30" s="6"/>
      <c r="D30" s="6"/>
      <c r="E30" s="6"/>
      <c r="F30" s="6"/>
      <c r="G30" s="6"/>
      <c r="H30" s="6"/>
      <c r="I30" s="6"/>
      <c r="J30" s="6"/>
      <c r="K30" s="6"/>
      <c r="L30" s="61"/>
    </row>
    <row r="31" spans="1:16" ht="15" thickBot="1" x14ac:dyDescent="0.4">
      <c r="A31" s="6"/>
      <c r="B31" s="7" t="s">
        <v>429</v>
      </c>
      <c r="C31" s="6"/>
      <c r="D31" s="6"/>
      <c r="E31" s="6"/>
      <c r="F31" s="6"/>
      <c r="G31" s="6"/>
      <c r="H31" s="6"/>
      <c r="I31" s="6"/>
      <c r="J31" s="6"/>
      <c r="K31" s="6"/>
      <c r="L31" s="61"/>
      <c r="P31" s="38"/>
    </row>
    <row r="32" spans="1:16" s="38" customFormat="1" x14ac:dyDescent="0.35">
      <c r="A32" s="6"/>
      <c r="B32" s="265" t="s">
        <v>432</v>
      </c>
      <c r="C32" s="266" t="s">
        <v>665</v>
      </c>
      <c r="D32" s="270" t="s">
        <v>198</v>
      </c>
      <c r="E32" s="271"/>
      <c r="F32" s="271"/>
      <c r="G32" s="271"/>
      <c r="H32" s="271"/>
      <c r="I32" s="268"/>
      <c r="J32" s="268"/>
      <c r="K32" s="2"/>
      <c r="L32" s="61"/>
    </row>
    <row r="33" spans="1:16" x14ac:dyDescent="0.35">
      <c r="A33" s="6"/>
      <c r="B33" s="427" t="s">
        <v>26</v>
      </c>
      <c r="C33" s="427" t="s">
        <v>600</v>
      </c>
      <c r="D33" s="428"/>
      <c r="E33" s="428"/>
      <c r="F33" s="428"/>
      <c r="G33" s="428"/>
      <c r="H33" s="376"/>
      <c r="I33" s="2"/>
      <c r="J33" s="2"/>
      <c r="K33" s="2"/>
      <c r="L33" s="61"/>
    </row>
    <row r="34" spans="1:16" x14ac:dyDescent="0.35">
      <c r="A34" s="6"/>
      <c r="B34" s="431" t="s">
        <v>671</v>
      </c>
      <c r="C34" s="431" t="s">
        <v>666</v>
      </c>
      <c r="D34" s="2"/>
      <c r="E34" s="2"/>
      <c r="F34" s="2"/>
      <c r="G34" s="2"/>
      <c r="H34" s="61"/>
      <c r="I34" s="2"/>
      <c r="J34" s="2"/>
      <c r="K34" s="2"/>
      <c r="L34" s="61"/>
    </row>
    <row r="35" spans="1:16" x14ac:dyDescent="0.35">
      <c r="A35" s="6"/>
      <c r="B35" s="429" t="s">
        <v>665</v>
      </c>
      <c r="C35" s="429" t="s">
        <v>667</v>
      </c>
      <c r="D35" s="430"/>
      <c r="E35" s="430"/>
      <c r="F35" s="430"/>
      <c r="G35" s="430"/>
      <c r="H35" s="377"/>
      <c r="I35" s="2"/>
      <c r="J35" s="6"/>
      <c r="K35" s="6"/>
      <c r="L35" s="61"/>
    </row>
    <row r="36" spans="1:16" x14ac:dyDescent="0.35">
      <c r="A36" s="6"/>
      <c r="B36" s="6"/>
      <c r="C36" s="6"/>
      <c r="D36" s="6"/>
      <c r="E36" s="6"/>
      <c r="F36" s="6"/>
      <c r="G36" s="6"/>
      <c r="H36" s="6"/>
      <c r="I36" s="2"/>
      <c r="J36" s="6"/>
      <c r="K36" s="6"/>
      <c r="L36" s="61"/>
    </row>
    <row r="37" spans="1:16" ht="15" thickBot="1" x14ac:dyDescent="0.4">
      <c r="A37" s="6"/>
      <c r="B37" s="7" t="s">
        <v>430</v>
      </c>
      <c r="C37" s="6"/>
      <c r="D37" s="6"/>
      <c r="E37" s="6"/>
      <c r="F37" s="6"/>
      <c r="G37" s="6"/>
      <c r="H37" s="6"/>
      <c r="I37" s="6"/>
      <c r="J37" s="6"/>
      <c r="K37" s="6"/>
      <c r="L37" s="61"/>
    </row>
    <row r="38" spans="1:16" ht="15" thickBot="1" x14ac:dyDescent="0.4">
      <c r="A38" s="6"/>
      <c r="B38" s="245" t="s">
        <v>433</v>
      </c>
      <c r="C38" s="266" t="s">
        <v>435</v>
      </c>
      <c r="D38" s="372" t="s">
        <v>198</v>
      </c>
      <c r="E38" s="373"/>
      <c r="F38" s="171"/>
      <c r="G38" s="171"/>
      <c r="H38" s="171"/>
      <c r="I38" s="6"/>
      <c r="J38" s="6"/>
      <c r="K38" s="6"/>
      <c r="L38" s="61"/>
      <c r="P38" s="38"/>
    </row>
    <row r="39" spans="1:16" x14ac:dyDescent="0.35">
      <c r="A39" s="6"/>
      <c r="B39" s="243" t="s">
        <v>434</v>
      </c>
      <c r="C39" s="374" t="s">
        <v>590</v>
      </c>
      <c r="D39" s="375"/>
      <c r="E39" s="375"/>
      <c r="F39" s="375"/>
      <c r="G39" s="375"/>
      <c r="H39" s="376"/>
      <c r="I39" s="6"/>
      <c r="J39" s="6"/>
      <c r="K39" s="6"/>
      <c r="L39" s="61"/>
      <c r="P39" s="38"/>
    </row>
    <row r="40" spans="1:16" x14ac:dyDescent="0.35">
      <c r="A40" s="6"/>
      <c r="B40" s="243" t="s">
        <v>436</v>
      </c>
      <c r="C40" s="60" t="s">
        <v>591</v>
      </c>
      <c r="D40" s="2"/>
      <c r="E40" s="2"/>
      <c r="F40" s="2"/>
      <c r="G40" s="2"/>
      <c r="H40" s="61"/>
      <c r="I40" s="6"/>
      <c r="J40" s="6"/>
      <c r="K40" s="6"/>
      <c r="L40" s="61"/>
      <c r="P40" s="38"/>
    </row>
    <row r="41" spans="1:16" x14ac:dyDescent="0.35">
      <c r="A41" s="6"/>
      <c r="B41" s="240" t="s">
        <v>435</v>
      </c>
      <c r="C41" s="65" t="s">
        <v>592</v>
      </c>
      <c r="D41" s="66"/>
      <c r="E41" s="66"/>
      <c r="F41" s="66"/>
      <c r="G41" s="66"/>
      <c r="H41" s="377"/>
      <c r="I41" s="6"/>
      <c r="J41" s="6"/>
      <c r="K41" s="6"/>
      <c r="L41" s="61"/>
      <c r="P41" s="38"/>
    </row>
    <row r="42" spans="1:16" x14ac:dyDescent="0.35">
      <c r="A42" s="6"/>
      <c r="B42" s="6"/>
      <c r="C42" s="6"/>
      <c r="D42" s="6"/>
      <c r="E42" s="6"/>
      <c r="F42" s="6"/>
      <c r="G42" s="6"/>
      <c r="H42" s="6"/>
      <c r="I42" s="6"/>
      <c r="J42" s="6"/>
      <c r="K42" s="6"/>
      <c r="L42" s="61"/>
      <c r="P42" s="38"/>
    </row>
    <row r="43" spans="1:16" hidden="1" x14ac:dyDescent="0.35">
      <c r="A43" s="6"/>
      <c r="B43" s="6"/>
      <c r="C43" s="6"/>
      <c r="D43" s="6"/>
      <c r="E43" s="6"/>
      <c r="F43" s="6"/>
      <c r="G43" s="6"/>
      <c r="H43" s="6"/>
      <c r="I43" s="6"/>
      <c r="J43" s="6"/>
      <c r="K43" s="6"/>
      <c r="L43" s="61"/>
    </row>
    <row r="44" spans="1:16" s="38" customFormat="1" hidden="1" x14ac:dyDescent="0.35">
      <c r="A44" s="6"/>
      <c r="B44" s="7" t="s">
        <v>587</v>
      </c>
      <c r="C44" s="6"/>
      <c r="D44" s="6"/>
      <c r="E44" s="6"/>
      <c r="F44" s="6"/>
      <c r="G44" s="6"/>
      <c r="H44" s="6"/>
      <c r="I44" s="6"/>
      <c r="J44" s="6"/>
      <c r="K44" s="6"/>
      <c r="L44" s="61"/>
    </row>
    <row r="45" spans="1:16" s="38" customFormat="1" ht="15" hidden="1" thickBot="1" x14ac:dyDescent="0.4">
      <c r="A45" s="6"/>
      <c r="B45" s="245" t="s">
        <v>608</v>
      </c>
      <c r="C45" s="244" t="s">
        <v>589</v>
      </c>
      <c r="D45" s="241" t="s">
        <v>198</v>
      </c>
      <c r="E45" s="242"/>
      <c r="F45" s="171"/>
      <c r="G45" s="171"/>
      <c r="H45" s="171"/>
      <c r="I45" s="6"/>
      <c r="J45" s="6"/>
      <c r="K45" s="6"/>
      <c r="L45" s="61"/>
    </row>
    <row r="46" spans="1:16" hidden="1" x14ac:dyDescent="0.35">
      <c r="A46" s="6"/>
      <c r="B46" s="243" t="s">
        <v>589</v>
      </c>
      <c r="C46" s="6"/>
      <c r="D46" s="6"/>
      <c r="E46" s="6"/>
      <c r="F46" s="6"/>
      <c r="G46" s="6"/>
      <c r="H46" s="6"/>
      <c r="I46" s="6"/>
      <c r="J46" s="6"/>
      <c r="K46" s="6"/>
      <c r="L46" s="61"/>
    </row>
    <row r="47" spans="1:16" s="38" customFormat="1" hidden="1" x14ac:dyDescent="0.35">
      <c r="A47" s="6"/>
      <c r="B47" s="240" t="s">
        <v>593</v>
      </c>
      <c r="C47" s="6"/>
      <c r="D47" s="6"/>
      <c r="E47" s="6"/>
      <c r="F47" s="6"/>
      <c r="G47" s="6"/>
      <c r="H47" s="6"/>
      <c r="I47" s="6"/>
      <c r="J47" s="6"/>
      <c r="K47" s="6"/>
      <c r="L47" s="61"/>
    </row>
    <row r="48" spans="1:16" s="38" customFormat="1" hidden="1" x14ac:dyDescent="0.35">
      <c r="A48" s="6"/>
      <c r="B48" s="2"/>
      <c r="C48" s="6"/>
      <c r="D48" s="6"/>
      <c r="E48" s="6"/>
      <c r="F48" s="6"/>
      <c r="G48" s="6"/>
      <c r="H48" s="6"/>
      <c r="I48" s="6"/>
      <c r="J48" s="6"/>
      <c r="K48" s="6"/>
      <c r="L48" s="61"/>
    </row>
    <row r="49" spans="1:16" x14ac:dyDescent="0.35">
      <c r="A49" s="6"/>
      <c r="B49" s="6"/>
      <c r="C49" s="6"/>
      <c r="D49" s="6"/>
      <c r="E49" s="6"/>
      <c r="F49" s="6"/>
      <c r="G49" s="6"/>
      <c r="H49" s="6"/>
      <c r="I49" s="6"/>
      <c r="J49" s="6"/>
      <c r="K49" s="6"/>
      <c r="L49" s="61"/>
    </row>
    <row r="50" spans="1:16" x14ac:dyDescent="0.35">
      <c r="A50" s="6"/>
      <c r="B50" s="6"/>
      <c r="C50" s="6"/>
      <c r="D50" s="6"/>
      <c r="E50" s="6"/>
      <c r="F50" s="6"/>
      <c r="G50" s="6"/>
      <c r="H50" s="6"/>
      <c r="I50" s="6"/>
      <c r="J50" s="6"/>
      <c r="K50" s="6"/>
      <c r="L50" s="61"/>
    </row>
    <row r="51" spans="1:16" x14ac:dyDescent="0.35">
      <c r="A51" s="6"/>
      <c r="B51" s="7" t="str">
        <f>"ROI over time for " &amp;C23</f>
        <v>ROI over time for Scenario 1</v>
      </c>
      <c r="C51" s="6"/>
      <c r="D51" s="6"/>
      <c r="E51" s="6"/>
      <c r="F51" s="6"/>
      <c r="G51" s="6"/>
      <c r="H51" s="6"/>
      <c r="I51" s="6"/>
      <c r="J51" s="6"/>
      <c r="K51" s="6"/>
      <c r="L51" s="61"/>
      <c r="M51" s="1"/>
      <c r="N51" s="1"/>
      <c r="O51" s="1"/>
      <c r="P51" s="1"/>
    </row>
    <row r="52" spans="1:16" x14ac:dyDescent="0.35">
      <c r="A52" s="6"/>
      <c r="B52" s="6"/>
      <c r="C52" s="6"/>
      <c r="D52" s="6"/>
      <c r="E52" s="6"/>
      <c r="F52" s="6"/>
      <c r="G52" s="6"/>
      <c r="H52" s="6"/>
      <c r="I52" s="6"/>
      <c r="J52" s="6"/>
      <c r="K52" s="6"/>
      <c r="L52" s="61"/>
      <c r="M52" s="326"/>
      <c r="N52" s="493"/>
      <c r="O52" s="493"/>
      <c r="P52" s="493"/>
    </row>
    <row r="53" spans="1:16" x14ac:dyDescent="0.35">
      <c r="A53" s="6"/>
      <c r="B53" s="6"/>
      <c r="C53" s="6"/>
      <c r="D53" s="6"/>
      <c r="E53" s="6"/>
      <c r="F53" s="6"/>
      <c r="G53" s="6"/>
      <c r="H53" s="6"/>
      <c r="I53" s="6"/>
      <c r="J53" s="6"/>
      <c r="K53" s="6"/>
      <c r="L53" s="61"/>
      <c r="M53" s="326"/>
      <c r="N53" s="326"/>
      <c r="O53" s="326"/>
      <c r="P53" s="326"/>
    </row>
    <row r="54" spans="1:16" x14ac:dyDescent="0.35">
      <c r="A54" s="6"/>
      <c r="B54" s="6"/>
      <c r="C54" s="6"/>
      <c r="D54" s="6"/>
      <c r="E54" s="6"/>
      <c r="F54" s="6"/>
      <c r="G54" s="6"/>
      <c r="H54" s="6"/>
      <c r="I54" s="6"/>
      <c r="J54" s="6"/>
      <c r="K54" s="6"/>
      <c r="L54" s="61"/>
      <c r="M54" s="326"/>
      <c r="N54" s="378"/>
      <c r="O54" s="378"/>
      <c r="P54" s="378"/>
    </row>
    <row r="55" spans="1:16" x14ac:dyDescent="0.35">
      <c r="A55" s="6"/>
      <c r="B55" s="6"/>
      <c r="C55" s="6"/>
      <c r="D55" s="6"/>
      <c r="E55" s="6"/>
      <c r="F55" s="6"/>
      <c r="G55" s="6"/>
      <c r="H55" s="6"/>
      <c r="I55" s="6"/>
      <c r="J55" s="6"/>
      <c r="K55" s="6"/>
      <c r="L55" s="61"/>
      <c r="M55" s="326"/>
      <c r="N55" s="378"/>
      <c r="O55" s="378"/>
      <c r="P55" s="378"/>
    </row>
    <row r="56" spans="1:16" x14ac:dyDescent="0.35">
      <c r="A56" s="6"/>
      <c r="B56" s="6"/>
      <c r="C56" s="6"/>
      <c r="D56" s="6"/>
      <c r="E56" s="6"/>
      <c r="F56" s="6"/>
      <c r="G56" s="6"/>
      <c r="H56" s="6"/>
      <c r="I56" s="6"/>
      <c r="J56" s="6"/>
      <c r="K56" s="6"/>
      <c r="L56" s="61"/>
      <c r="M56" s="326"/>
      <c r="N56" s="378"/>
      <c r="O56" s="378"/>
      <c r="P56" s="378"/>
    </row>
    <row r="57" spans="1:16" x14ac:dyDescent="0.35">
      <c r="A57" s="6"/>
      <c r="B57" s="6"/>
      <c r="C57" s="6"/>
      <c r="D57" s="6"/>
      <c r="E57" s="6"/>
      <c r="F57" s="6"/>
      <c r="G57" s="6"/>
      <c r="H57" s="6"/>
      <c r="I57" s="6"/>
      <c r="J57" s="6"/>
      <c r="K57" s="6"/>
      <c r="L57" s="61"/>
    </row>
    <row r="58" spans="1:16" ht="15" thickBot="1" x14ac:dyDescent="0.4">
      <c r="A58" s="6"/>
      <c r="B58" s="6"/>
      <c r="C58" s="6"/>
      <c r="D58" s="6"/>
      <c r="E58" s="6"/>
      <c r="F58" s="6"/>
      <c r="G58" s="6"/>
      <c r="H58" s="6"/>
      <c r="I58" s="6"/>
      <c r="J58" s="6"/>
      <c r="K58" s="6"/>
      <c r="L58" s="61"/>
      <c r="M58" t="str">
        <f>C23</f>
        <v>Scenario 1</v>
      </c>
    </row>
    <row r="59" spans="1:16" ht="15" customHeight="1" x14ac:dyDescent="0.35">
      <c r="A59" s="6"/>
      <c r="B59" s="6"/>
      <c r="C59" s="6"/>
      <c r="D59" s="6"/>
      <c r="E59" s="6"/>
      <c r="F59" s="6"/>
      <c r="G59" s="6"/>
      <c r="H59" s="6"/>
      <c r="I59" s="6"/>
      <c r="J59" s="6"/>
      <c r="K59" s="6"/>
      <c r="L59" s="2"/>
      <c r="M59" s="494" t="s">
        <v>441</v>
      </c>
      <c r="N59" s="496" t="s">
        <v>673</v>
      </c>
      <c r="O59" s="497"/>
      <c r="P59" s="498"/>
    </row>
    <row r="60" spans="1:16" ht="15" thickBot="1" x14ac:dyDescent="0.4">
      <c r="A60" s="6"/>
      <c r="B60" s="6"/>
      <c r="C60" s="6"/>
      <c r="D60" s="6"/>
      <c r="E60" s="6"/>
      <c r="F60" s="6"/>
      <c r="G60" s="6"/>
      <c r="H60" s="6"/>
      <c r="I60" s="6"/>
      <c r="J60" s="6"/>
      <c r="K60" s="6"/>
      <c r="L60" s="2"/>
      <c r="M60" s="495"/>
      <c r="N60" s="477" t="s">
        <v>26</v>
      </c>
      <c r="O60" s="478" t="s">
        <v>671</v>
      </c>
      <c r="P60" s="479" t="s">
        <v>665</v>
      </c>
    </row>
    <row r="61" spans="1:16" x14ac:dyDescent="0.35">
      <c r="A61" s="6"/>
      <c r="B61" s="6"/>
      <c r="C61" s="6"/>
      <c r="D61" s="6"/>
      <c r="E61" s="6"/>
      <c r="F61" s="6"/>
      <c r="G61" s="6"/>
      <c r="H61" s="6"/>
      <c r="I61" s="6"/>
      <c r="J61" s="6"/>
      <c r="K61" s="6"/>
      <c r="L61" s="2"/>
      <c r="M61" s="470">
        <v>1</v>
      </c>
      <c r="N61" s="480">
        <f>'Results summary'!H5</f>
        <v>1.51</v>
      </c>
      <c r="O61" s="475">
        <f>'Results summary'!I5</f>
        <v>0.36</v>
      </c>
      <c r="P61" s="476">
        <f>'Results summary'!J5</f>
        <v>1.86</v>
      </c>
    </row>
    <row r="62" spans="1:16" x14ac:dyDescent="0.35">
      <c r="A62" s="6"/>
      <c r="B62" s="6"/>
      <c r="C62" s="6"/>
      <c r="D62" s="6"/>
      <c r="E62" s="6"/>
      <c r="F62" s="6"/>
      <c r="G62" s="6"/>
      <c r="H62" s="6"/>
      <c r="I62" s="6"/>
      <c r="J62" s="6"/>
      <c r="K62" s="6"/>
      <c r="L62" s="2"/>
      <c r="M62" s="470">
        <v>5</v>
      </c>
      <c r="N62" s="481">
        <f>'Results summary'!H6</f>
        <v>2.82</v>
      </c>
      <c r="O62" s="469">
        <f>'Results summary'!I6</f>
        <v>1.82</v>
      </c>
      <c r="P62" s="471">
        <f>'Results summary'!J6</f>
        <v>4.6399999999999997</v>
      </c>
    </row>
    <row r="63" spans="1:16" ht="15" thickBot="1" x14ac:dyDescent="0.4">
      <c r="A63" s="6"/>
      <c r="B63" s="6"/>
      <c r="C63" s="6"/>
      <c r="D63" s="6"/>
      <c r="E63" s="6"/>
      <c r="F63" s="6"/>
      <c r="G63" s="6"/>
      <c r="H63" s="6"/>
      <c r="I63" s="6"/>
      <c r="J63" s="6"/>
      <c r="K63" s="6"/>
      <c r="L63" s="2"/>
      <c r="M63" s="472">
        <v>10</v>
      </c>
      <c r="N63" s="482">
        <f>'Results summary'!H7</f>
        <v>3.68</v>
      </c>
      <c r="O63" s="473">
        <f>'Results summary'!I7</f>
        <v>5.32</v>
      </c>
      <c r="P63" s="474">
        <f>'Results summary'!J7</f>
        <v>9</v>
      </c>
    </row>
    <row r="64" spans="1:16" x14ac:dyDescent="0.35">
      <c r="A64" s="6"/>
      <c r="B64" s="6"/>
      <c r="C64" s="6"/>
      <c r="D64" s="6"/>
      <c r="E64" s="6"/>
      <c r="F64" s="6"/>
      <c r="G64" s="6"/>
      <c r="H64" s="6"/>
      <c r="I64" s="6"/>
      <c r="J64" s="6"/>
      <c r="K64" s="6"/>
      <c r="L64" s="61"/>
      <c r="P64" s="5"/>
    </row>
    <row r="65" spans="1:16" x14ac:dyDescent="0.35">
      <c r="A65" s="6"/>
      <c r="B65" s="6"/>
      <c r="C65" s="6"/>
      <c r="D65" s="6"/>
      <c r="E65" s="6"/>
      <c r="F65" s="6"/>
      <c r="G65" s="6"/>
      <c r="H65" s="6"/>
      <c r="I65" s="6"/>
      <c r="J65" s="6"/>
      <c r="K65" s="6"/>
      <c r="L65" s="61"/>
      <c r="P65" s="5"/>
    </row>
    <row r="66" spans="1:16" x14ac:dyDescent="0.35">
      <c r="A66" s="6"/>
      <c r="B66" s="6"/>
      <c r="C66" s="6"/>
      <c r="D66" s="6"/>
      <c r="E66" s="6"/>
      <c r="F66" s="6"/>
      <c r="G66" s="6"/>
      <c r="H66" s="6"/>
      <c r="I66" s="6"/>
      <c r="J66" s="6"/>
      <c r="K66" s="6"/>
      <c r="L66" s="61"/>
      <c r="P66" s="5"/>
    </row>
    <row r="67" spans="1:16" x14ac:dyDescent="0.35">
      <c r="A67" s="6"/>
      <c r="B67" s="6"/>
      <c r="C67" s="6"/>
      <c r="D67" s="6"/>
      <c r="E67" s="6"/>
      <c r="F67" s="6"/>
      <c r="G67" s="6"/>
      <c r="H67" s="6"/>
      <c r="I67" s="6"/>
      <c r="J67" s="6"/>
      <c r="K67" s="6"/>
      <c r="L67" s="61"/>
      <c r="P67" s="5"/>
    </row>
    <row r="68" spans="1:16" x14ac:dyDescent="0.35">
      <c r="A68" s="6"/>
      <c r="B68" s="6"/>
      <c r="C68" s="6"/>
      <c r="D68" s="6"/>
      <c r="E68" s="6"/>
      <c r="F68" s="6"/>
      <c r="G68" s="6"/>
      <c r="H68" s="6"/>
      <c r="I68" s="6"/>
      <c r="J68" s="6"/>
      <c r="K68" s="6"/>
      <c r="L68" s="61"/>
      <c r="P68" s="5"/>
    </row>
    <row r="69" spans="1:16" x14ac:dyDescent="0.35">
      <c r="A69" s="6"/>
      <c r="B69" s="6"/>
      <c r="C69" s="6"/>
      <c r="D69" s="6"/>
      <c r="E69" s="6"/>
      <c r="F69" s="6"/>
      <c r="G69" s="6"/>
      <c r="H69" s="6"/>
      <c r="I69" s="6"/>
      <c r="J69" s="6"/>
      <c r="K69" s="6"/>
      <c r="L69" s="61"/>
    </row>
    <row r="70" spans="1:16" x14ac:dyDescent="0.35">
      <c r="A70" s="6"/>
      <c r="B70" s="6"/>
      <c r="C70" s="6"/>
      <c r="D70" s="6"/>
      <c r="E70" s="6"/>
      <c r="F70" s="6"/>
      <c r="G70" s="6"/>
      <c r="H70" s="6"/>
      <c r="I70" s="6"/>
      <c r="J70" s="6"/>
      <c r="K70" s="6"/>
      <c r="L70" s="61"/>
    </row>
    <row r="71" spans="1:16" x14ac:dyDescent="0.35">
      <c r="A71" s="6"/>
      <c r="B71" s="6"/>
      <c r="C71" s="6"/>
      <c r="D71" s="6"/>
      <c r="E71" s="6"/>
      <c r="F71" s="6"/>
      <c r="G71" s="6"/>
      <c r="H71" s="6"/>
      <c r="I71" s="6"/>
      <c r="J71" s="6"/>
      <c r="K71" s="6"/>
      <c r="L71" s="61"/>
    </row>
    <row r="72" spans="1:16" x14ac:dyDescent="0.35">
      <c r="A72" s="6"/>
      <c r="B72" s="6"/>
      <c r="C72" s="6"/>
      <c r="D72" s="6"/>
      <c r="E72" s="6"/>
      <c r="F72" s="6"/>
      <c r="G72" s="6"/>
      <c r="H72" s="6"/>
      <c r="I72" s="6"/>
      <c r="J72" s="6"/>
      <c r="K72" s="6"/>
      <c r="L72" s="61"/>
    </row>
    <row r="73" spans="1:16" x14ac:dyDescent="0.35">
      <c r="A73" s="6"/>
      <c r="B73" s="6"/>
      <c r="C73" s="6"/>
      <c r="D73" s="6"/>
      <c r="E73" s="6"/>
      <c r="F73" s="6"/>
      <c r="G73" s="6"/>
      <c r="H73" s="6"/>
      <c r="I73" s="6"/>
      <c r="J73" s="6"/>
      <c r="K73" s="6"/>
      <c r="L73" s="61"/>
    </row>
    <row r="74" spans="1:16" x14ac:dyDescent="0.35">
      <c r="A74" s="6"/>
      <c r="B74" s="6"/>
      <c r="C74" s="6"/>
      <c r="D74" s="6"/>
      <c r="E74" s="6"/>
      <c r="F74" s="6"/>
      <c r="G74" s="6"/>
      <c r="H74" s="6"/>
      <c r="I74" s="6"/>
      <c r="J74" s="6"/>
      <c r="K74" s="6"/>
      <c r="L74" s="61"/>
    </row>
    <row r="75" spans="1:16" x14ac:dyDescent="0.35">
      <c r="A75" s="6"/>
      <c r="B75" s="6"/>
      <c r="C75" s="6"/>
      <c r="D75" s="6"/>
      <c r="E75" s="6"/>
      <c r="F75" s="6"/>
      <c r="G75" s="6"/>
      <c r="H75" s="6"/>
      <c r="I75" s="6"/>
      <c r="J75" s="6"/>
      <c r="K75" s="6"/>
      <c r="L75" s="61"/>
    </row>
    <row r="76" spans="1:16" x14ac:dyDescent="0.35">
      <c r="A76" s="6"/>
      <c r="B76" s="6"/>
      <c r="C76" s="6"/>
      <c r="D76" s="6"/>
      <c r="E76" s="6"/>
      <c r="F76" s="6"/>
      <c r="G76" s="6"/>
      <c r="H76" s="6"/>
      <c r="I76" s="6"/>
      <c r="J76" s="6"/>
      <c r="K76" s="6"/>
      <c r="L76" s="61"/>
    </row>
    <row r="77" spans="1:16" x14ac:dyDescent="0.35">
      <c r="A77" s="6"/>
      <c r="B77" s="6"/>
      <c r="C77" s="6"/>
      <c r="D77" s="6"/>
      <c r="E77" s="6"/>
      <c r="F77" s="6"/>
      <c r="G77" s="6"/>
      <c r="H77" s="6"/>
      <c r="I77" s="6"/>
      <c r="J77" s="6"/>
      <c r="K77" s="6"/>
      <c r="L77" s="61"/>
    </row>
    <row r="78" spans="1:16" x14ac:dyDescent="0.35">
      <c r="A78" s="6"/>
      <c r="B78" s="6"/>
      <c r="C78" s="6"/>
      <c r="D78" s="6"/>
      <c r="E78" s="6"/>
      <c r="F78" s="6"/>
      <c r="G78" s="6"/>
      <c r="H78" s="6"/>
      <c r="I78" s="6"/>
      <c r="J78" s="6"/>
      <c r="K78" s="6"/>
      <c r="L78" s="61"/>
    </row>
    <row r="79" spans="1:16" x14ac:dyDescent="0.35">
      <c r="A79" s="6"/>
      <c r="B79" s="6"/>
      <c r="C79" s="6"/>
      <c r="D79" s="6"/>
      <c r="E79" s="6"/>
      <c r="F79" s="6"/>
      <c r="G79" s="6"/>
      <c r="H79" s="6"/>
      <c r="I79" s="6"/>
      <c r="J79" s="6"/>
      <c r="K79" s="6"/>
      <c r="L79" s="61"/>
    </row>
    <row r="80" spans="1:16" x14ac:dyDescent="0.35">
      <c r="A80" s="6"/>
      <c r="B80" s="6"/>
      <c r="C80" s="6"/>
      <c r="D80" s="6"/>
      <c r="E80" s="6"/>
      <c r="F80" s="6"/>
      <c r="G80" s="6"/>
      <c r="H80" s="6"/>
      <c r="I80" s="6"/>
      <c r="J80" s="6"/>
      <c r="K80" s="6"/>
      <c r="L80" s="61"/>
    </row>
    <row r="81" spans="1:12" x14ac:dyDescent="0.35">
      <c r="A81" s="6"/>
      <c r="B81" s="7" t="s">
        <v>4</v>
      </c>
      <c r="C81" s="6"/>
      <c r="D81" s="6"/>
      <c r="E81" s="6"/>
      <c r="F81" s="6"/>
      <c r="G81" s="6"/>
      <c r="H81" s="6"/>
      <c r="I81" s="6"/>
      <c r="J81" s="6"/>
      <c r="K81" s="6"/>
      <c r="L81" s="61"/>
    </row>
    <row r="82" spans="1:12" x14ac:dyDescent="0.35">
      <c r="A82" s="6"/>
      <c r="B82" s="6"/>
      <c r="C82" s="6"/>
      <c r="D82" s="6"/>
      <c r="E82" s="6"/>
      <c r="F82" s="6"/>
      <c r="G82" s="6"/>
      <c r="H82" s="6"/>
      <c r="I82" s="6"/>
      <c r="J82" s="6"/>
      <c r="K82" s="6"/>
      <c r="L82" s="61"/>
    </row>
    <row r="83" spans="1:12" x14ac:dyDescent="0.35">
      <c r="A83" s="6"/>
      <c r="B83" s="10" t="s">
        <v>5</v>
      </c>
      <c r="C83" s="6" t="s">
        <v>6</v>
      </c>
      <c r="D83" s="6"/>
      <c r="E83" s="6"/>
      <c r="F83" s="6"/>
      <c r="G83" s="6"/>
      <c r="H83" s="6"/>
      <c r="I83" s="6"/>
      <c r="J83" s="6"/>
      <c r="K83" s="6"/>
      <c r="L83" s="61"/>
    </row>
    <row r="84" spans="1:12" x14ac:dyDescent="0.35">
      <c r="A84" s="6"/>
      <c r="B84" s="6"/>
      <c r="C84" s="6"/>
      <c r="D84" s="6"/>
      <c r="E84" s="6"/>
      <c r="F84" s="6"/>
      <c r="G84" s="6"/>
      <c r="H84" s="6"/>
      <c r="I84" s="6"/>
      <c r="J84" s="6"/>
      <c r="K84" s="6"/>
      <c r="L84" s="61"/>
    </row>
    <row r="85" spans="1:12" x14ac:dyDescent="0.35">
      <c r="A85" s="6"/>
      <c r="B85" s="12" t="s">
        <v>7</v>
      </c>
      <c r="C85" s="6" t="s">
        <v>123</v>
      </c>
      <c r="D85" s="6"/>
      <c r="E85" s="6"/>
      <c r="F85" s="6"/>
      <c r="G85" s="6"/>
      <c r="H85" s="6"/>
      <c r="I85" s="6"/>
      <c r="J85" s="6"/>
      <c r="K85" s="6"/>
      <c r="L85" s="61"/>
    </row>
    <row r="86" spans="1:12" x14ac:dyDescent="0.35">
      <c r="A86" s="6"/>
      <c r="B86" s="6"/>
      <c r="C86" s="6"/>
      <c r="D86" s="6"/>
      <c r="E86" s="6"/>
      <c r="F86" s="6"/>
      <c r="G86" s="6"/>
      <c r="H86" s="6"/>
      <c r="I86" s="6"/>
      <c r="J86" s="6"/>
      <c r="K86" s="6"/>
      <c r="L86" s="61"/>
    </row>
    <row r="87" spans="1:12" x14ac:dyDescent="0.35">
      <c r="A87" s="6"/>
      <c r="B87" s="13" t="s">
        <v>8</v>
      </c>
      <c r="C87" s="6" t="s">
        <v>9</v>
      </c>
      <c r="D87" s="6"/>
      <c r="E87" s="6"/>
      <c r="F87" s="6"/>
      <c r="G87" s="6"/>
      <c r="H87" s="6"/>
      <c r="I87" s="6"/>
      <c r="J87" s="6"/>
      <c r="K87" s="6"/>
      <c r="L87" s="61"/>
    </row>
    <row r="88" spans="1:12" x14ac:dyDescent="0.35">
      <c r="A88" s="6"/>
      <c r="B88" s="6"/>
      <c r="C88" s="6"/>
      <c r="D88" s="6"/>
      <c r="E88" s="6"/>
      <c r="F88" s="6"/>
      <c r="G88" s="6"/>
      <c r="H88" s="6"/>
      <c r="I88" s="6"/>
      <c r="J88" s="6"/>
      <c r="K88" s="6"/>
      <c r="L88" s="61"/>
    </row>
    <row r="89" spans="1:12" x14ac:dyDescent="0.35">
      <c r="A89" s="6"/>
      <c r="B89" s="189" t="s">
        <v>191</v>
      </c>
      <c r="C89" s="6" t="s">
        <v>502</v>
      </c>
      <c r="D89" s="6"/>
      <c r="E89" s="6"/>
      <c r="F89" s="6"/>
      <c r="G89" s="6"/>
      <c r="H89" s="6"/>
      <c r="I89" s="6"/>
      <c r="J89" s="6"/>
      <c r="K89" s="6"/>
      <c r="L89" s="61"/>
    </row>
    <row r="90" spans="1:12" x14ac:dyDescent="0.35">
      <c r="A90" s="6"/>
      <c r="B90" s="6"/>
      <c r="C90" s="6"/>
      <c r="D90" s="6"/>
      <c r="E90" s="6"/>
      <c r="F90" s="6"/>
      <c r="G90" s="6"/>
      <c r="H90" s="6"/>
      <c r="I90" s="6"/>
      <c r="J90" s="6"/>
      <c r="K90" s="6"/>
      <c r="L90" s="61"/>
    </row>
    <row r="91" spans="1:12" x14ac:dyDescent="0.35">
      <c r="A91" s="6"/>
      <c r="B91" s="6"/>
      <c r="C91" s="6"/>
      <c r="D91" s="6"/>
      <c r="E91" s="6"/>
      <c r="F91" s="6"/>
      <c r="G91" s="6"/>
      <c r="H91" s="6"/>
      <c r="I91" s="6"/>
      <c r="J91" s="6"/>
      <c r="K91" s="6"/>
      <c r="L91" s="61"/>
    </row>
    <row r="92" spans="1:12" x14ac:dyDescent="0.35">
      <c r="A92" s="6"/>
      <c r="B92" s="6"/>
      <c r="C92" s="6"/>
      <c r="D92" s="6"/>
      <c r="E92" s="6"/>
      <c r="F92" s="6"/>
      <c r="G92" s="6"/>
      <c r="H92" s="6"/>
      <c r="I92" s="6"/>
      <c r="J92" s="6"/>
      <c r="K92" s="6"/>
      <c r="L92" s="61"/>
    </row>
    <row r="93" spans="1:12" x14ac:dyDescent="0.35">
      <c r="A93" s="6"/>
      <c r="B93" s="6"/>
      <c r="C93" s="6"/>
      <c r="D93" s="6"/>
      <c r="E93" s="6"/>
      <c r="F93" s="6"/>
      <c r="G93" s="6"/>
      <c r="H93" s="6"/>
      <c r="I93" s="6"/>
      <c r="J93" s="6"/>
      <c r="K93" s="6"/>
      <c r="L93" s="61"/>
    </row>
    <row r="94" spans="1:12" x14ac:dyDescent="0.35">
      <c r="A94" s="6"/>
      <c r="B94" s="6"/>
      <c r="C94" s="6"/>
      <c r="D94" s="6"/>
      <c r="E94" s="6"/>
      <c r="F94" s="6"/>
      <c r="G94" s="6"/>
      <c r="H94" s="6"/>
      <c r="I94" s="6"/>
      <c r="J94" s="6"/>
      <c r="K94" s="6"/>
      <c r="L94" s="61"/>
    </row>
    <row r="95" spans="1:12" x14ac:dyDescent="0.35">
      <c r="A95" s="6"/>
      <c r="B95" s="6"/>
      <c r="C95" s="6"/>
      <c r="D95" s="6"/>
      <c r="E95" s="6"/>
      <c r="F95" s="6"/>
      <c r="G95" s="6"/>
      <c r="H95" s="6"/>
      <c r="I95" s="6"/>
      <c r="J95" s="6"/>
      <c r="K95" s="6"/>
      <c r="L95" s="61"/>
    </row>
    <row r="96" spans="1:12" x14ac:dyDescent="0.35">
      <c r="A96" s="6"/>
      <c r="B96" s="6"/>
      <c r="C96" s="6"/>
      <c r="D96" s="6"/>
      <c r="E96" s="6"/>
      <c r="F96" s="6"/>
      <c r="G96" s="6"/>
      <c r="H96" s="6"/>
      <c r="I96" s="6"/>
      <c r="J96" s="6"/>
      <c r="K96" s="6"/>
      <c r="L96" s="61"/>
    </row>
    <row r="97" spans="1:12" x14ac:dyDescent="0.35">
      <c r="A97" s="6"/>
      <c r="B97" s="6"/>
      <c r="C97" s="6"/>
      <c r="D97" s="6"/>
      <c r="E97" s="6"/>
      <c r="F97" s="6"/>
      <c r="G97" s="6"/>
      <c r="H97" s="6"/>
      <c r="I97" s="6"/>
      <c r="J97" s="6"/>
      <c r="K97" s="6"/>
      <c r="L97" s="61"/>
    </row>
    <row r="98" spans="1:12" x14ac:dyDescent="0.35">
      <c r="A98" s="6"/>
      <c r="B98" s="6"/>
      <c r="C98" s="6"/>
      <c r="D98" s="6"/>
      <c r="E98" s="6"/>
      <c r="F98" s="6"/>
      <c r="G98" s="6"/>
      <c r="H98" s="6"/>
      <c r="I98" s="6"/>
      <c r="J98" s="6"/>
      <c r="K98" s="6"/>
      <c r="L98" s="61"/>
    </row>
    <row r="99" spans="1:12" x14ac:dyDescent="0.35">
      <c r="A99" s="6"/>
      <c r="B99" s="6"/>
      <c r="C99" s="6"/>
      <c r="D99" s="6"/>
      <c r="E99" s="6"/>
      <c r="F99" s="6"/>
      <c r="G99" s="6"/>
      <c r="H99" s="6"/>
      <c r="I99" s="6"/>
      <c r="J99" s="6"/>
      <c r="K99" s="6"/>
      <c r="L99" s="61"/>
    </row>
    <row r="100" spans="1:12" x14ac:dyDescent="0.35">
      <c r="A100" s="6"/>
      <c r="B100" s="6"/>
      <c r="C100" s="6"/>
      <c r="D100" s="6"/>
      <c r="E100" s="6"/>
      <c r="F100" s="6"/>
      <c r="G100" s="6"/>
      <c r="H100" s="6"/>
      <c r="I100" s="6"/>
      <c r="J100" s="6"/>
      <c r="K100" s="6"/>
      <c r="L100" s="61"/>
    </row>
    <row r="101" spans="1:12" x14ac:dyDescent="0.35">
      <c r="A101" s="6"/>
      <c r="B101" s="6"/>
      <c r="C101" s="6"/>
      <c r="D101" s="6"/>
      <c r="E101" s="6"/>
      <c r="F101" s="6"/>
      <c r="G101" s="6"/>
      <c r="H101" s="6"/>
      <c r="I101" s="6"/>
      <c r="J101" s="6"/>
      <c r="K101" s="6"/>
      <c r="L101" s="61"/>
    </row>
    <row r="102" spans="1:12" x14ac:dyDescent="0.35">
      <c r="A102" s="6"/>
      <c r="B102" s="6"/>
      <c r="C102" s="6"/>
      <c r="D102" s="6"/>
      <c r="E102" s="6"/>
      <c r="F102" s="6"/>
      <c r="G102" s="6"/>
      <c r="H102" s="6"/>
      <c r="I102" s="6"/>
      <c r="J102" s="6"/>
      <c r="K102" s="6"/>
      <c r="L102" s="61"/>
    </row>
    <row r="103" spans="1:12" x14ac:dyDescent="0.35">
      <c r="A103" s="6"/>
      <c r="B103" s="6"/>
      <c r="C103" s="6"/>
      <c r="D103" s="6"/>
      <c r="E103" s="6"/>
      <c r="F103" s="6"/>
      <c r="G103" s="6"/>
      <c r="H103" s="6"/>
      <c r="I103" s="6"/>
      <c r="J103" s="6"/>
      <c r="K103" s="6"/>
      <c r="L103" s="61"/>
    </row>
    <row r="104" spans="1:12" x14ac:dyDescent="0.35">
      <c r="A104" s="6"/>
      <c r="B104" s="6"/>
      <c r="C104" s="6"/>
      <c r="D104" s="6"/>
      <c r="E104" s="6"/>
      <c r="F104" s="6"/>
      <c r="G104" s="6"/>
      <c r="H104" s="6"/>
      <c r="I104" s="6"/>
      <c r="J104" s="6"/>
      <c r="K104" s="6"/>
      <c r="L104" s="61"/>
    </row>
    <row r="105" spans="1:12" x14ac:dyDescent="0.35">
      <c r="A105" s="6"/>
      <c r="B105" s="6"/>
      <c r="C105" s="6"/>
      <c r="D105" s="6"/>
      <c r="E105" s="6"/>
      <c r="F105" s="6"/>
      <c r="G105" s="6"/>
      <c r="H105" s="6"/>
      <c r="I105" s="6"/>
      <c r="J105" s="6"/>
      <c r="K105" s="6"/>
      <c r="L105" s="61"/>
    </row>
    <row r="106" spans="1:12" x14ac:dyDescent="0.35">
      <c r="A106" s="6"/>
      <c r="B106" s="6"/>
      <c r="C106" s="6"/>
      <c r="D106" s="6"/>
      <c r="E106" s="6"/>
      <c r="F106" s="6"/>
      <c r="G106" s="6"/>
      <c r="H106" s="6"/>
      <c r="I106" s="6"/>
      <c r="J106" s="6"/>
      <c r="K106" s="6"/>
      <c r="L106" s="61"/>
    </row>
    <row r="107" spans="1:12" x14ac:dyDescent="0.35">
      <c r="A107" s="6"/>
      <c r="B107" s="6"/>
      <c r="C107" s="6"/>
      <c r="D107" s="6"/>
      <c r="E107" s="6"/>
      <c r="F107" s="6"/>
      <c r="G107" s="6"/>
      <c r="H107" s="6"/>
      <c r="I107" s="6"/>
      <c r="J107" s="6"/>
      <c r="K107" s="6"/>
      <c r="L107" s="61"/>
    </row>
    <row r="108" spans="1:12" x14ac:dyDescent="0.35">
      <c r="A108" s="6"/>
      <c r="B108" s="6"/>
      <c r="C108" s="6"/>
      <c r="D108" s="6"/>
      <c r="E108" s="6"/>
      <c r="F108" s="6"/>
      <c r="G108" s="6"/>
      <c r="H108" s="6"/>
      <c r="I108" s="6"/>
      <c r="J108" s="6"/>
      <c r="K108" s="6"/>
      <c r="L108" s="61"/>
    </row>
    <row r="109" spans="1:12" x14ac:dyDescent="0.35">
      <c r="A109" s="6"/>
      <c r="B109" s="6"/>
      <c r="C109" s="6"/>
      <c r="D109" s="6"/>
      <c r="E109" s="6"/>
      <c r="F109" s="6"/>
      <c r="G109" s="6"/>
      <c r="H109" s="6"/>
      <c r="I109" s="6"/>
      <c r="J109" s="6"/>
      <c r="K109" s="6"/>
      <c r="L109" s="61"/>
    </row>
    <row r="110" spans="1:12" x14ac:dyDescent="0.35">
      <c r="A110" s="6"/>
      <c r="B110" s="6"/>
      <c r="C110" s="6"/>
      <c r="D110" s="6"/>
      <c r="E110" s="6"/>
      <c r="F110" s="6"/>
      <c r="G110" s="6"/>
      <c r="H110" s="6"/>
      <c r="I110" s="6"/>
      <c r="J110" s="6"/>
      <c r="K110" s="6"/>
      <c r="L110" s="61"/>
    </row>
    <row r="111" spans="1:12" x14ac:dyDescent="0.35">
      <c r="A111" s="6"/>
      <c r="B111" s="6"/>
      <c r="C111" s="6"/>
      <c r="D111" s="6"/>
      <c r="E111" s="6"/>
      <c r="F111" s="6"/>
      <c r="G111" s="6"/>
      <c r="H111" s="6"/>
      <c r="I111" s="6"/>
      <c r="J111" s="6"/>
      <c r="K111" s="6"/>
      <c r="L111" s="61"/>
    </row>
    <row r="112" spans="1:12" x14ac:dyDescent="0.35">
      <c r="A112" s="6"/>
      <c r="B112" s="6"/>
      <c r="C112" s="6"/>
      <c r="D112" s="6"/>
      <c r="E112" s="6"/>
      <c r="F112" s="6"/>
      <c r="G112" s="6"/>
      <c r="H112" s="6"/>
      <c r="I112" s="6"/>
      <c r="J112" s="6"/>
      <c r="K112" s="6"/>
      <c r="L112" s="61"/>
    </row>
    <row r="113" spans="1:12" x14ac:dyDescent="0.35">
      <c r="A113" s="6"/>
      <c r="B113" s="6"/>
      <c r="C113" s="6"/>
      <c r="D113" s="6"/>
      <c r="E113" s="6"/>
      <c r="F113" s="6"/>
      <c r="G113" s="6"/>
      <c r="H113" s="6"/>
      <c r="I113" s="6"/>
      <c r="J113" s="6"/>
      <c r="K113" s="6"/>
      <c r="L113" s="61"/>
    </row>
    <row r="114" spans="1:12" x14ac:dyDescent="0.35">
      <c r="A114" s="6"/>
      <c r="B114" s="6"/>
      <c r="C114" s="6"/>
      <c r="D114" s="6"/>
      <c r="E114" s="6"/>
      <c r="F114" s="6"/>
      <c r="G114" s="6"/>
      <c r="H114" s="6"/>
      <c r="I114" s="6"/>
      <c r="J114" s="6"/>
      <c r="K114" s="6"/>
      <c r="L114" s="61"/>
    </row>
    <row r="115" spans="1:12" x14ac:dyDescent="0.35">
      <c r="A115" s="6"/>
      <c r="B115" s="6"/>
      <c r="C115" s="6"/>
      <c r="D115" s="6"/>
      <c r="E115" s="6"/>
      <c r="F115" s="6"/>
      <c r="G115" s="6"/>
      <c r="H115" s="6"/>
      <c r="I115" s="6"/>
      <c r="J115" s="6"/>
      <c r="K115" s="6"/>
      <c r="L115" s="61"/>
    </row>
    <row r="116" spans="1:12" x14ac:dyDescent="0.35">
      <c r="A116" s="6"/>
      <c r="B116" s="6"/>
      <c r="C116" s="6"/>
      <c r="D116" s="6"/>
      <c r="E116" s="6"/>
      <c r="F116" s="6"/>
      <c r="G116" s="6"/>
      <c r="H116" s="6"/>
      <c r="I116" s="6"/>
      <c r="J116" s="6"/>
      <c r="K116" s="6"/>
      <c r="L116" s="61"/>
    </row>
    <row r="117" spans="1:12" x14ac:dyDescent="0.35">
      <c r="A117" s="6"/>
      <c r="B117" s="6"/>
      <c r="C117" s="6"/>
      <c r="D117" s="6"/>
      <c r="E117" s="6"/>
      <c r="F117" s="6"/>
      <c r="G117" s="6"/>
      <c r="H117" s="6"/>
      <c r="I117" s="6"/>
      <c r="J117" s="6"/>
      <c r="K117" s="6"/>
      <c r="L117" s="61"/>
    </row>
    <row r="118" spans="1:12" x14ac:dyDescent="0.35">
      <c r="A118" s="6"/>
      <c r="B118" s="6"/>
      <c r="C118" s="6"/>
      <c r="D118" s="6"/>
      <c r="E118" s="6"/>
      <c r="F118" s="6"/>
      <c r="G118" s="6"/>
      <c r="H118" s="6"/>
      <c r="I118" s="6"/>
      <c r="J118" s="6"/>
      <c r="K118" s="6"/>
      <c r="L118" s="61"/>
    </row>
    <row r="119" spans="1:12" x14ac:dyDescent="0.35">
      <c r="A119" s="6"/>
      <c r="B119" s="6"/>
      <c r="C119" s="6"/>
      <c r="D119" s="6"/>
      <c r="E119" s="6"/>
      <c r="F119" s="6"/>
      <c r="G119" s="6"/>
      <c r="H119" s="6"/>
      <c r="I119" s="6"/>
      <c r="J119" s="6"/>
      <c r="K119" s="6"/>
      <c r="L119" s="61"/>
    </row>
    <row r="120" spans="1:12" x14ac:dyDescent="0.35">
      <c r="A120" s="6"/>
      <c r="B120" s="6"/>
      <c r="C120" s="6"/>
      <c r="D120" s="6"/>
      <c r="E120" s="6"/>
      <c r="F120" s="6"/>
      <c r="G120" s="6"/>
      <c r="H120" s="6"/>
      <c r="I120" s="6"/>
      <c r="J120" s="6"/>
      <c r="K120" s="6"/>
      <c r="L120" s="61"/>
    </row>
    <row r="121" spans="1:12" x14ac:dyDescent="0.35">
      <c r="A121" s="6"/>
      <c r="B121" s="6"/>
      <c r="C121" s="6"/>
      <c r="D121" s="6"/>
      <c r="E121" s="6"/>
      <c r="F121" s="6"/>
      <c r="G121" s="6"/>
      <c r="H121" s="6"/>
      <c r="I121" s="6"/>
      <c r="J121" s="6"/>
      <c r="K121" s="6"/>
      <c r="L121" s="61"/>
    </row>
    <row r="122" spans="1:12" x14ac:dyDescent="0.35">
      <c r="A122" s="6"/>
      <c r="B122" s="6"/>
      <c r="C122" s="6"/>
      <c r="D122" s="6"/>
      <c r="E122" s="6"/>
      <c r="F122" s="6"/>
      <c r="G122" s="6"/>
      <c r="H122" s="6"/>
      <c r="I122" s="6"/>
      <c r="J122" s="6"/>
      <c r="K122" s="6"/>
      <c r="L122" s="61"/>
    </row>
    <row r="123" spans="1:12" x14ac:dyDescent="0.35">
      <c r="A123" s="6"/>
      <c r="B123" s="6"/>
      <c r="C123" s="6"/>
      <c r="D123" s="6"/>
      <c r="E123" s="6"/>
      <c r="F123" s="6"/>
      <c r="G123" s="6"/>
      <c r="H123" s="6"/>
      <c r="I123" s="6"/>
      <c r="J123" s="6"/>
      <c r="K123" s="6"/>
      <c r="L123" s="61"/>
    </row>
    <row r="124" spans="1:12" x14ac:dyDescent="0.35">
      <c r="A124" s="6"/>
      <c r="B124" s="6"/>
      <c r="C124" s="6"/>
      <c r="D124" s="6"/>
      <c r="E124" s="6"/>
      <c r="F124" s="6"/>
      <c r="G124" s="6"/>
      <c r="H124" s="6"/>
      <c r="I124" s="6"/>
      <c r="J124" s="6"/>
      <c r="K124" s="6"/>
      <c r="L124" s="61"/>
    </row>
    <row r="125" spans="1:12" x14ac:dyDescent="0.35">
      <c r="A125" s="6"/>
      <c r="B125" s="6"/>
      <c r="C125" s="6"/>
      <c r="D125" s="6"/>
      <c r="E125" s="6"/>
      <c r="F125" s="6"/>
      <c r="G125" s="6"/>
      <c r="H125" s="6"/>
      <c r="I125" s="6"/>
      <c r="J125" s="6"/>
      <c r="K125" s="6"/>
      <c r="L125" s="61"/>
    </row>
    <row r="126" spans="1:12" x14ac:dyDescent="0.35">
      <c r="A126" s="6"/>
      <c r="B126" s="6"/>
      <c r="C126" s="6"/>
      <c r="D126" s="6"/>
      <c r="E126" s="6"/>
      <c r="F126" s="6"/>
      <c r="G126" s="6"/>
      <c r="H126" s="6"/>
      <c r="I126" s="6"/>
      <c r="J126" s="6"/>
      <c r="K126" s="6"/>
      <c r="L126" s="61"/>
    </row>
    <row r="127" spans="1:12" x14ac:dyDescent="0.35">
      <c r="A127" s="6"/>
      <c r="B127" s="6"/>
      <c r="C127" s="6"/>
      <c r="D127" s="6"/>
      <c r="E127" s="6"/>
      <c r="F127" s="6"/>
      <c r="G127" s="6"/>
      <c r="H127" s="6"/>
      <c r="I127" s="6"/>
      <c r="J127" s="6"/>
      <c r="K127" s="6"/>
      <c r="L127" s="61"/>
    </row>
    <row r="128" spans="1:12" x14ac:dyDescent="0.35">
      <c r="A128" s="6"/>
      <c r="B128" s="6"/>
      <c r="C128" s="6"/>
      <c r="D128" s="6"/>
      <c r="E128" s="6"/>
      <c r="F128" s="6"/>
      <c r="G128" s="6"/>
      <c r="H128" s="6"/>
      <c r="I128" s="6"/>
      <c r="J128" s="6"/>
      <c r="K128" s="6"/>
      <c r="L128" s="61"/>
    </row>
    <row r="129" spans="1:12" x14ac:dyDescent="0.35">
      <c r="A129" s="6"/>
      <c r="B129" s="6"/>
      <c r="C129" s="6"/>
      <c r="D129" s="6"/>
      <c r="E129" s="6"/>
      <c r="F129" s="6"/>
      <c r="G129" s="6"/>
      <c r="H129" s="6"/>
      <c r="I129" s="6"/>
      <c r="J129" s="6"/>
      <c r="K129" s="6"/>
      <c r="L129" s="61"/>
    </row>
    <row r="130" spans="1:12" x14ac:dyDescent="0.35">
      <c r="A130" s="6"/>
      <c r="B130" s="6"/>
      <c r="C130" s="6"/>
      <c r="D130" s="6"/>
      <c r="E130" s="6"/>
      <c r="F130" s="6"/>
      <c r="G130" s="6"/>
      <c r="H130" s="6"/>
      <c r="I130" s="6"/>
      <c r="J130" s="6"/>
      <c r="K130" s="6"/>
      <c r="L130" s="61"/>
    </row>
    <row r="131" spans="1:12" x14ac:dyDescent="0.35">
      <c r="A131" s="6"/>
      <c r="B131" s="6"/>
      <c r="C131" s="6"/>
      <c r="D131" s="6"/>
      <c r="E131" s="6"/>
      <c r="F131" s="6"/>
      <c r="G131" s="6"/>
      <c r="H131" s="6"/>
      <c r="I131" s="6"/>
      <c r="J131" s="6"/>
      <c r="K131" s="6"/>
      <c r="L131" s="61"/>
    </row>
    <row r="132" spans="1:12" x14ac:dyDescent="0.35">
      <c r="A132" s="6"/>
      <c r="B132" s="6"/>
      <c r="C132" s="6"/>
      <c r="D132" s="6"/>
      <c r="E132" s="6"/>
      <c r="F132" s="6"/>
      <c r="G132" s="6"/>
      <c r="H132" s="6"/>
      <c r="I132" s="6"/>
      <c r="J132" s="6"/>
      <c r="K132" s="6"/>
      <c r="L132" s="61"/>
    </row>
    <row r="133" spans="1:12" x14ac:dyDescent="0.35">
      <c r="A133" s="6"/>
      <c r="B133" s="6"/>
      <c r="C133" s="6"/>
      <c r="D133" s="6"/>
      <c r="E133" s="6"/>
      <c r="F133" s="6"/>
      <c r="G133" s="6"/>
      <c r="H133" s="6"/>
      <c r="I133" s="6"/>
      <c r="J133" s="6"/>
      <c r="K133" s="6"/>
      <c r="L133" s="61"/>
    </row>
    <row r="134" spans="1:12" x14ac:dyDescent="0.35">
      <c r="A134" s="6"/>
      <c r="B134" s="6"/>
      <c r="C134" s="6"/>
      <c r="D134" s="6"/>
      <c r="E134" s="6"/>
      <c r="F134" s="6"/>
      <c r="G134" s="6"/>
      <c r="H134" s="6"/>
      <c r="I134" s="6"/>
      <c r="J134" s="6"/>
      <c r="K134" s="6"/>
      <c r="L134" s="61"/>
    </row>
    <row r="135" spans="1:12" x14ac:dyDescent="0.35">
      <c r="A135" s="6"/>
      <c r="B135" s="6"/>
      <c r="C135" s="6"/>
      <c r="D135" s="6"/>
      <c r="E135" s="6"/>
      <c r="F135" s="6"/>
      <c r="G135" s="6"/>
      <c r="H135" s="6"/>
      <c r="I135" s="6"/>
      <c r="J135" s="6"/>
      <c r="K135" s="6"/>
      <c r="L135" s="61"/>
    </row>
    <row r="136" spans="1:12" x14ac:dyDescent="0.35">
      <c r="A136" s="6"/>
      <c r="B136" s="6"/>
      <c r="C136" s="6"/>
      <c r="D136" s="6"/>
      <c r="E136" s="6"/>
      <c r="F136" s="6"/>
      <c r="G136" s="6"/>
      <c r="H136" s="6"/>
      <c r="I136" s="6"/>
      <c r="J136" s="6"/>
      <c r="K136" s="6"/>
      <c r="L136" s="61"/>
    </row>
    <row r="137" spans="1:12" x14ac:dyDescent="0.35">
      <c r="A137" s="6"/>
      <c r="B137" s="6"/>
      <c r="C137" s="6"/>
      <c r="D137" s="6"/>
      <c r="E137" s="6"/>
      <c r="F137" s="6"/>
      <c r="G137" s="6"/>
      <c r="H137" s="6"/>
      <c r="I137" s="6"/>
      <c r="J137" s="6"/>
      <c r="K137" s="6"/>
      <c r="L137" s="61"/>
    </row>
    <row r="138" spans="1:12" x14ac:dyDescent="0.35">
      <c r="A138" s="6"/>
      <c r="B138" s="6"/>
      <c r="C138" s="6"/>
      <c r="D138" s="6"/>
      <c r="E138" s="6"/>
      <c r="F138" s="6"/>
      <c r="G138" s="6"/>
      <c r="H138" s="6"/>
      <c r="I138" s="6"/>
      <c r="J138" s="6"/>
      <c r="K138" s="6"/>
      <c r="L138" s="61"/>
    </row>
    <row r="139" spans="1:12" x14ac:dyDescent="0.35">
      <c r="A139" s="6"/>
      <c r="B139" s="6"/>
      <c r="C139" s="6"/>
      <c r="D139" s="6"/>
      <c r="E139" s="6"/>
      <c r="F139" s="6"/>
      <c r="G139" s="6"/>
      <c r="H139" s="6"/>
      <c r="I139" s="6"/>
      <c r="J139" s="6"/>
      <c r="K139" s="6"/>
      <c r="L139" s="61"/>
    </row>
    <row r="140" spans="1:12" x14ac:dyDescent="0.35">
      <c r="A140" s="6"/>
      <c r="B140" s="6"/>
      <c r="C140" s="6"/>
      <c r="D140" s="6"/>
      <c r="E140" s="6"/>
      <c r="F140" s="6"/>
      <c r="G140" s="6"/>
      <c r="H140" s="6"/>
      <c r="I140" s="6"/>
      <c r="J140" s="6"/>
      <c r="K140" s="6"/>
      <c r="L140" s="61"/>
    </row>
    <row r="141" spans="1:12" x14ac:dyDescent="0.35">
      <c r="A141" s="6"/>
      <c r="B141" s="6"/>
      <c r="C141" s="6"/>
      <c r="D141" s="6"/>
      <c r="E141" s="6"/>
      <c r="F141" s="6"/>
      <c r="G141" s="6"/>
      <c r="H141" s="6"/>
      <c r="I141" s="6"/>
      <c r="J141" s="6"/>
      <c r="K141" s="6"/>
      <c r="L141" s="61"/>
    </row>
    <row r="142" spans="1:12" x14ac:dyDescent="0.35">
      <c r="A142" s="6"/>
      <c r="B142" s="6"/>
      <c r="C142" s="6"/>
      <c r="D142" s="6"/>
      <c r="E142" s="6"/>
      <c r="F142" s="6"/>
      <c r="G142" s="6"/>
      <c r="H142" s="6"/>
      <c r="I142" s="6"/>
      <c r="J142" s="6"/>
      <c r="K142" s="6"/>
      <c r="L142" s="61"/>
    </row>
    <row r="143" spans="1:12" x14ac:dyDescent="0.35">
      <c r="A143" s="6"/>
      <c r="B143" s="6"/>
      <c r="C143" s="6"/>
      <c r="D143" s="6"/>
      <c r="E143" s="6"/>
      <c r="F143" s="6"/>
      <c r="G143" s="6"/>
      <c r="H143" s="6"/>
      <c r="I143" s="6"/>
      <c r="J143" s="6"/>
      <c r="K143" s="6"/>
      <c r="L143" s="61"/>
    </row>
    <row r="144" spans="1:12" x14ac:dyDescent="0.35">
      <c r="A144" s="6"/>
      <c r="B144" s="6"/>
      <c r="C144" s="6"/>
      <c r="D144" s="6"/>
      <c r="E144" s="6"/>
      <c r="F144" s="6"/>
      <c r="G144" s="6"/>
      <c r="H144" s="6"/>
      <c r="I144" s="6"/>
      <c r="J144" s="6"/>
      <c r="K144" s="6"/>
      <c r="L144" s="61"/>
    </row>
    <row r="145" spans="1:12" x14ac:dyDescent="0.35">
      <c r="A145" s="6"/>
      <c r="B145" s="6"/>
      <c r="C145" s="6"/>
      <c r="D145" s="6"/>
      <c r="E145" s="6"/>
      <c r="F145" s="6"/>
      <c r="G145" s="6"/>
      <c r="H145" s="6"/>
      <c r="I145" s="6"/>
      <c r="J145" s="6"/>
      <c r="K145" s="6"/>
      <c r="L145" s="61"/>
    </row>
    <row r="146" spans="1:12" x14ac:dyDescent="0.35">
      <c r="A146" s="6"/>
      <c r="B146" s="6"/>
      <c r="C146" s="6"/>
      <c r="D146" s="6"/>
      <c r="E146" s="6"/>
      <c r="F146" s="6"/>
      <c r="G146" s="6"/>
      <c r="H146" s="6"/>
      <c r="I146" s="6"/>
      <c r="J146" s="6"/>
      <c r="K146" s="6"/>
      <c r="L146" s="61"/>
    </row>
    <row r="147" spans="1:12" x14ac:dyDescent="0.35">
      <c r="A147" s="6"/>
      <c r="B147" s="6"/>
      <c r="C147" s="6"/>
      <c r="D147" s="6"/>
      <c r="E147" s="6"/>
      <c r="F147" s="6"/>
      <c r="G147" s="6"/>
      <c r="H147" s="6"/>
      <c r="I147" s="6"/>
      <c r="J147" s="6"/>
      <c r="K147" s="6"/>
      <c r="L147" s="61"/>
    </row>
    <row r="148" spans="1:12" x14ac:dyDescent="0.35">
      <c r="A148" s="6"/>
      <c r="B148" s="6"/>
      <c r="C148" s="6"/>
      <c r="D148" s="6"/>
      <c r="E148" s="6"/>
      <c r="F148" s="6"/>
      <c r="G148" s="6"/>
      <c r="H148" s="6"/>
      <c r="I148" s="6"/>
      <c r="J148" s="6"/>
      <c r="K148" s="6"/>
      <c r="L148" s="61"/>
    </row>
    <row r="149" spans="1:12" x14ac:dyDescent="0.35">
      <c r="A149" s="6"/>
      <c r="B149" s="6"/>
      <c r="C149" s="6"/>
      <c r="D149" s="6"/>
      <c r="E149" s="6"/>
      <c r="F149" s="6"/>
      <c r="G149" s="6"/>
      <c r="H149" s="6"/>
      <c r="I149" s="6"/>
      <c r="J149" s="6"/>
      <c r="K149" s="6"/>
      <c r="L149" s="61"/>
    </row>
    <row r="150" spans="1:12" x14ac:dyDescent="0.35">
      <c r="A150" s="6"/>
      <c r="B150" s="6"/>
      <c r="C150" s="6"/>
      <c r="D150" s="6"/>
      <c r="E150" s="6"/>
      <c r="F150" s="6"/>
      <c r="G150" s="6"/>
      <c r="H150" s="6"/>
      <c r="I150" s="6"/>
      <c r="J150" s="6"/>
      <c r="K150" s="6"/>
      <c r="L150" s="61"/>
    </row>
    <row r="151" spans="1:12" x14ac:dyDescent="0.35">
      <c r="A151" s="6"/>
      <c r="B151" s="6"/>
      <c r="C151" s="6"/>
      <c r="D151" s="6"/>
      <c r="E151" s="6"/>
      <c r="F151" s="6"/>
      <c r="G151" s="6"/>
      <c r="H151" s="6"/>
      <c r="I151" s="6"/>
      <c r="J151" s="6"/>
      <c r="K151" s="6"/>
      <c r="L151" s="61"/>
    </row>
    <row r="152" spans="1:12" x14ac:dyDescent="0.35">
      <c r="A152" s="6"/>
      <c r="B152" s="6"/>
      <c r="C152" s="6"/>
      <c r="D152" s="6"/>
      <c r="E152" s="6"/>
      <c r="F152" s="6"/>
      <c r="G152" s="6"/>
      <c r="H152" s="6"/>
      <c r="I152" s="6"/>
      <c r="J152" s="6"/>
      <c r="K152" s="6"/>
      <c r="L152" s="61"/>
    </row>
    <row r="153" spans="1:12" x14ac:dyDescent="0.35">
      <c r="A153" s="6"/>
      <c r="B153" s="6"/>
      <c r="C153" s="6"/>
      <c r="D153" s="6"/>
      <c r="E153" s="6"/>
      <c r="F153" s="6"/>
      <c r="G153" s="6"/>
      <c r="H153" s="6"/>
      <c r="I153" s="6"/>
      <c r="J153" s="6"/>
      <c r="K153" s="6"/>
      <c r="L153" s="61"/>
    </row>
    <row r="154" spans="1:12" x14ac:dyDescent="0.35">
      <c r="A154" s="6"/>
      <c r="B154" s="6"/>
      <c r="C154" s="6"/>
      <c r="D154" s="6"/>
      <c r="E154" s="6"/>
      <c r="F154" s="6"/>
      <c r="G154" s="6"/>
      <c r="H154" s="6"/>
      <c r="I154" s="6"/>
      <c r="J154" s="6"/>
      <c r="K154" s="6"/>
      <c r="L154" s="61"/>
    </row>
    <row r="155" spans="1:12" x14ac:dyDescent="0.35">
      <c r="A155" s="6"/>
      <c r="B155" s="6"/>
      <c r="C155" s="6"/>
      <c r="D155" s="6"/>
      <c r="E155" s="6"/>
      <c r="F155" s="6"/>
      <c r="G155" s="6"/>
      <c r="H155" s="6"/>
      <c r="I155" s="6"/>
      <c r="J155" s="6"/>
      <c r="K155" s="6"/>
      <c r="L155" s="61"/>
    </row>
    <row r="156" spans="1:12" x14ac:dyDescent="0.35">
      <c r="A156" s="6"/>
      <c r="B156" s="6"/>
      <c r="C156" s="6"/>
      <c r="D156" s="6"/>
      <c r="E156" s="6"/>
      <c r="F156" s="6"/>
      <c r="G156" s="6"/>
      <c r="H156" s="6"/>
      <c r="I156" s="6"/>
      <c r="J156" s="6"/>
      <c r="K156" s="6"/>
      <c r="L156" s="61"/>
    </row>
    <row r="157" spans="1:12" x14ac:dyDescent="0.35">
      <c r="A157" s="6"/>
      <c r="B157" s="6"/>
      <c r="C157" s="6"/>
      <c r="D157" s="6"/>
      <c r="E157" s="6"/>
      <c r="F157" s="6"/>
      <c r="G157" s="6"/>
      <c r="H157" s="6"/>
      <c r="I157" s="6"/>
      <c r="J157" s="6"/>
      <c r="K157" s="6"/>
      <c r="L157" s="61"/>
    </row>
    <row r="158" spans="1:12" x14ac:dyDescent="0.35">
      <c r="A158" s="6"/>
      <c r="B158" s="6"/>
      <c r="C158" s="6"/>
      <c r="D158" s="6"/>
      <c r="E158" s="6"/>
      <c r="F158" s="6"/>
      <c r="G158" s="6"/>
      <c r="H158" s="6"/>
      <c r="I158" s="6"/>
      <c r="J158" s="6"/>
      <c r="K158" s="6"/>
      <c r="L158" s="61"/>
    </row>
    <row r="159" spans="1:12" x14ac:dyDescent="0.35">
      <c r="A159" s="6"/>
      <c r="B159" s="6"/>
      <c r="C159" s="6"/>
      <c r="D159" s="6"/>
      <c r="E159" s="6"/>
      <c r="F159" s="6"/>
      <c r="G159" s="6"/>
      <c r="H159" s="6"/>
      <c r="I159" s="6"/>
      <c r="J159" s="6"/>
      <c r="K159" s="6"/>
      <c r="L159" s="61"/>
    </row>
    <row r="160" spans="1:12" x14ac:dyDescent="0.35">
      <c r="A160" s="6"/>
      <c r="B160" s="6"/>
      <c r="C160" s="6"/>
      <c r="D160" s="6"/>
      <c r="E160" s="6"/>
      <c r="F160" s="6"/>
      <c r="G160" s="6"/>
      <c r="H160" s="6"/>
      <c r="I160" s="6"/>
      <c r="J160" s="6"/>
      <c r="K160" s="6"/>
      <c r="L160" s="61"/>
    </row>
    <row r="161" spans="1:12" x14ac:dyDescent="0.35">
      <c r="A161" s="6"/>
      <c r="B161" s="6"/>
      <c r="C161" s="6"/>
      <c r="D161" s="6"/>
      <c r="E161" s="6"/>
      <c r="F161" s="6"/>
      <c r="G161" s="6"/>
      <c r="H161" s="6"/>
      <c r="I161" s="6"/>
      <c r="J161" s="6"/>
      <c r="K161" s="6"/>
      <c r="L161" s="61"/>
    </row>
    <row r="162" spans="1:12" x14ac:dyDescent="0.35">
      <c r="A162" s="6"/>
      <c r="B162" s="6"/>
      <c r="C162" s="6"/>
      <c r="D162" s="6"/>
      <c r="E162" s="6"/>
      <c r="F162" s="6"/>
      <c r="G162" s="6"/>
      <c r="H162" s="6"/>
      <c r="I162" s="6"/>
      <c r="J162" s="6"/>
      <c r="K162" s="6"/>
      <c r="L162" s="61"/>
    </row>
    <row r="163" spans="1:12" x14ac:dyDescent="0.35">
      <c r="A163" s="6"/>
      <c r="B163" s="6"/>
      <c r="C163" s="6"/>
      <c r="D163" s="6"/>
      <c r="E163" s="6"/>
      <c r="F163" s="6"/>
      <c r="G163" s="6"/>
      <c r="H163" s="6"/>
      <c r="I163" s="6"/>
      <c r="J163" s="6"/>
      <c r="K163" s="6"/>
      <c r="L163" s="61"/>
    </row>
    <row r="164" spans="1:12" x14ac:dyDescent="0.35">
      <c r="A164" s="6"/>
      <c r="B164" s="6"/>
      <c r="C164" s="6"/>
      <c r="D164" s="6"/>
      <c r="E164" s="6"/>
      <c r="F164" s="6"/>
      <c r="G164" s="6"/>
      <c r="H164" s="6"/>
      <c r="I164" s="6"/>
      <c r="J164" s="6"/>
      <c r="K164" s="6"/>
      <c r="L164" s="61"/>
    </row>
    <row r="165" spans="1:12" x14ac:dyDescent="0.35">
      <c r="A165" s="6"/>
      <c r="B165" s="6"/>
      <c r="C165" s="6"/>
      <c r="D165" s="6"/>
      <c r="E165" s="6"/>
      <c r="F165" s="6"/>
      <c r="G165" s="6"/>
      <c r="H165" s="6"/>
      <c r="I165" s="6"/>
      <c r="J165" s="6"/>
      <c r="K165" s="6"/>
      <c r="L165" s="61"/>
    </row>
    <row r="166" spans="1:12" x14ac:dyDescent="0.35">
      <c r="A166" s="6"/>
      <c r="B166" s="6"/>
      <c r="C166" s="6"/>
      <c r="D166" s="6"/>
      <c r="E166" s="6"/>
      <c r="F166" s="6"/>
      <c r="G166" s="6"/>
      <c r="H166" s="6"/>
      <c r="I166" s="6"/>
      <c r="J166" s="6"/>
      <c r="K166" s="6"/>
      <c r="L166" s="61"/>
    </row>
    <row r="167" spans="1:12" x14ac:dyDescent="0.35">
      <c r="A167" s="6"/>
      <c r="B167" s="6"/>
      <c r="C167" s="6"/>
      <c r="D167" s="6"/>
      <c r="E167" s="6"/>
      <c r="F167" s="6"/>
      <c r="G167" s="6"/>
      <c r="H167" s="6"/>
      <c r="I167" s="6"/>
      <c r="J167" s="6"/>
      <c r="K167" s="6"/>
      <c r="L167" s="61"/>
    </row>
    <row r="168" spans="1:12" x14ac:dyDescent="0.35">
      <c r="A168" s="6"/>
      <c r="B168" s="6"/>
      <c r="C168" s="6"/>
      <c r="D168" s="6"/>
      <c r="E168" s="6"/>
      <c r="F168" s="6"/>
      <c r="G168" s="6"/>
      <c r="H168" s="6"/>
      <c r="I168" s="6"/>
      <c r="J168" s="6"/>
      <c r="K168" s="6"/>
      <c r="L168" s="61"/>
    </row>
    <row r="169" spans="1:12" x14ac:dyDescent="0.35">
      <c r="A169" s="6"/>
      <c r="B169" s="6"/>
      <c r="C169" s="6"/>
      <c r="D169" s="6"/>
      <c r="E169" s="6"/>
      <c r="F169" s="6"/>
      <c r="G169" s="6"/>
      <c r="H169" s="6"/>
      <c r="I169" s="6"/>
      <c r="J169" s="6"/>
      <c r="K169" s="6"/>
      <c r="L169" s="61"/>
    </row>
    <row r="170" spans="1:12" x14ac:dyDescent="0.35">
      <c r="A170" s="6"/>
      <c r="B170" s="6"/>
      <c r="C170" s="6"/>
      <c r="D170" s="6"/>
      <c r="E170" s="6"/>
      <c r="F170" s="6"/>
      <c r="G170" s="6"/>
      <c r="H170" s="6"/>
      <c r="I170" s="6"/>
      <c r="J170" s="6"/>
      <c r="K170" s="6"/>
      <c r="L170" s="61"/>
    </row>
    <row r="171" spans="1:12" x14ac:dyDescent="0.35">
      <c r="A171" s="6"/>
      <c r="B171" s="6"/>
      <c r="C171" s="6"/>
      <c r="D171" s="6"/>
      <c r="E171" s="6"/>
      <c r="F171" s="6"/>
      <c r="G171" s="6"/>
      <c r="H171" s="6"/>
      <c r="I171" s="6"/>
      <c r="J171" s="6"/>
      <c r="K171" s="6"/>
      <c r="L171" s="61"/>
    </row>
    <row r="172" spans="1:12" x14ac:dyDescent="0.35">
      <c r="A172" s="6"/>
      <c r="B172" s="6"/>
      <c r="C172" s="6"/>
      <c r="D172" s="6"/>
      <c r="E172" s="6"/>
      <c r="F172" s="6"/>
      <c r="G172" s="6"/>
      <c r="H172" s="6"/>
      <c r="I172" s="6"/>
      <c r="J172" s="6"/>
      <c r="K172" s="6"/>
      <c r="L172" s="61"/>
    </row>
    <row r="173" spans="1:12" x14ac:dyDescent="0.35">
      <c r="A173" s="6"/>
      <c r="B173" s="6"/>
      <c r="C173" s="6"/>
      <c r="D173" s="6"/>
      <c r="E173" s="6"/>
      <c r="F173" s="6"/>
      <c r="G173" s="6"/>
      <c r="H173" s="6"/>
      <c r="I173" s="6"/>
      <c r="J173" s="6"/>
      <c r="K173" s="6"/>
      <c r="L173" s="61"/>
    </row>
    <row r="174" spans="1:12" x14ac:dyDescent="0.35">
      <c r="A174" s="6"/>
      <c r="B174" s="6"/>
      <c r="C174" s="6"/>
      <c r="D174" s="6"/>
      <c r="E174" s="6"/>
      <c r="F174" s="6"/>
      <c r="G174" s="6"/>
      <c r="H174" s="6"/>
      <c r="I174" s="6"/>
      <c r="J174" s="6"/>
      <c r="K174" s="6"/>
      <c r="L174" s="61"/>
    </row>
    <row r="175" spans="1:12" x14ac:dyDescent="0.35">
      <c r="A175" s="6"/>
      <c r="B175" s="6"/>
      <c r="C175" s="6"/>
      <c r="D175" s="6"/>
      <c r="E175" s="6"/>
      <c r="F175" s="6"/>
      <c r="G175" s="6"/>
      <c r="H175" s="6"/>
      <c r="I175" s="6"/>
      <c r="J175" s="6"/>
      <c r="K175" s="6"/>
      <c r="L175" s="61"/>
    </row>
    <row r="176" spans="1:12" x14ac:dyDescent="0.35">
      <c r="A176" s="6"/>
      <c r="B176" s="6"/>
      <c r="C176" s="6"/>
      <c r="D176" s="6"/>
      <c r="E176" s="6"/>
      <c r="F176" s="6"/>
      <c r="G176" s="6"/>
      <c r="H176" s="6"/>
      <c r="I176" s="6"/>
      <c r="J176" s="6"/>
      <c r="K176" s="6"/>
      <c r="L176" s="61"/>
    </row>
    <row r="177" spans="1:12" x14ac:dyDescent="0.35">
      <c r="A177" s="6"/>
      <c r="B177" s="6"/>
      <c r="C177" s="6"/>
      <c r="D177" s="6"/>
      <c r="E177" s="6"/>
      <c r="F177" s="6"/>
      <c r="G177" s="6"/>
      <c r="H177" s="6"/>
      <c r="I177" s="6"/>
      <c r="J177" s="6"/>
      <c r="K177" s="6"/>
      <c r="L177" s="61"/>
    </row>
    <row r="178" spans="1:12" x14ac:dyDescent="0.35">
      <c r="A178" s="6"/>
      <c r="B178" s="6"/>
      <c r="C178" s="6"/>
      <c r="D178" s="6"/>
      <c r="E178" s="6"/>
      <c r="F178" s="6"/>
      <c r="G178" s="6"/>
      <c r="H178" s="6"/>
      <c r="I178" s="6"/>
      <c r="J178" s="6"/>
      <c r="K178" s="6"/>
      <c r="L178" s="61"/>
    </row>
    <row r="179" spans="1:12" x14ac:dyDescent="0.35">
      <c r="A179" s="6"/>
      <c r="B179" s="6"/>
      <c r="C179" s="6"/>
      <c r="D179" s="6"/>
      <c r="E179" s="6"/>
      <c r="F179" s="6"/>
      <c r="G179" s="6"/>
      <c r="H179" s="6"/>
      <c r="I179" s="6"/>
      <c r="J179" s="6"/>
      <c r="K179" s="6"/>
      <c r="L179" s="61"/>
    </row>
    <row r="180" spans="1:12" x14ac:dyDescent="0.35">
      <c r="A180" s="6"/>
      <c r="B180" s="6"/>
      <c r="C180" s="6"/>
      <c r="D180" s="6"/>
      <c r="E180" s="6"/>
      <c r="F180" s="6"/>
      <c r="G180" s="6"/>
      <c r="H180" s="6"/>
      <c r="I180" s="6"/>
      <c r="J180" s="6"/>
      <c r="K180" s="6"/>
      <c r="L180" s="61"/>
    </row>
    <row r="181" spans="1:12" x14ac:dyDescent="0.35">
      <c r="A181" s="6"/>
      <c r="B181" s="6"/>
      <c r="C181" s="6"/>
      <c r="D181" s="6"/>
      <c r="E181" s="6"/>
      <c r="F181" s="6"/>
      <c r="G181" s="6"/>
      <c r="H181" s="6"/>
      <c r="I181" s="6"/>
      <c r="J181" s="6"/>
      <c r="K181" s="6"/>
      <c r="L181" s="61"/>
    </row>
    <row r="182" spans="1:12" x14ac:dyDescent="0.35">
      <c r="A182" s="6"/>
      <c r="B182" s="6"/>
      <c r="C182" s="6"/>
      <c r="D182" s="6"/>
      <c r="E182" s="6"/>
      <c r="F182" s="6"/>
      <c r="G182" s="6"/>
      <c r="H182" s="6"/>
      <c r="I182" s="6"/>
      <c r="J182" s="6"/>
      <c r="K182" s="6"/>
      <c r="L182" s="61"/>
    </row>
    <row r="183" spans="1:12" x14ac:dyDescent="0.35">
      <c r="A183" s="6"/>
      <c r="B183" s="6"/>
      <c r="C183" s="6"/>
      <c r="D183" s="6"/>
      <c r="E183" s="6"/>
      <c r="F183" s="6"/>
      <c r="G183" s="6"/>
      <c r="H183" s="6"/>
      <c r="I183" s="6"/>
      <c r="J183" s="6"/>
      <c r="K183" s="6"/>
      <c r="L183" s="61"/>
    </row>
    <row r="184" spans="1:12" x14ac:dyDescent="0.35">
      <c r="A184" s="6"/>
      <c r="B184" s="6"/>
      <c r="C184" s="6"/>
      <c r="D184" s="6"/>
      <c r="E184" s="6"/>
      <c r="F184" s="6"/>
      <c r="G184" s="6"/>
      <c r="H184" s="6"/>
      <c r="I184" s="6"/>
      <c r="J184" s="6"/>
      <c r="K184" s="6"/>
      <c r="L184" s="61"/>
    </row>
    <row r="185" spans="1:12" x14ac:dyDescent="0.35">
      <c r="A185" s="6"/>
      <c r="B185" s="6"/>
      <c r="C185" s="6"/>
      <c r="D185" s="6"/>
      <c r="E185" s="6"/>
      <c r="F185" s="6"/>
      <c r="G185" s="6"/>
      <c r="H185" s="6"/>
      <c r="I185" s="6"/>
      <c r="J185" s="6"/>
      <c r="K185" s="6"/>
      <c r="L185" s="61"/>
    </row>
    <row r="186" spans="1:12" x14ac:dyDescent="0.35">
      <c r="A186" s="6"/>
      <c r="B186" s="6"/>
      <c r="C186" s="6"/>
      <c r="D186" s="6"/>
      <c r="E186" s="6"/>
      <c r="F186" s="6"/>
      <c r="G186" s="6"/>
      <c r="H186" s="6"/>
      <c r="I186" s="6"/>
      <c r="J186" s="6"/>
      <c r="K186" s="6"/>
      <c r="L186" s="61"/>
    </row>
    <row r="187" spans="1:12" x14ac:dyDescent="0.35">
      <c r="A187" s="6"/>
      <c r="B187" s="6"/>
      <c r="C187" s="6"/>
      <c r="D187" s="6"/>
      <c r="E187" s="6"/>
      <c r="F187" s="6"/>
      <c r="G187" s="6"/>
      <c r="H187" s="6"/>
      <c r="I187" s="6"/>
      <c r="J187" s="6"/>
      <c r="K187" s="6"/>
      <c r="L187" s="61"/>
    </row>
    <row r="188" spans="1:12" x14ac:dyDescent="0.35">
      <c r="A188" s="6"/>
      <c r="B188" s="6"/>
      <c r="C188" s="6"/>
      <c r="D188" s="6"/>
      <c r="E188" s="6"/>
      <c r="F188" s="6"/>
      <c r="G188" s="6"/>
      <c r="H188" s="6"/>
      <c r="I188" s="6"/>
      <c r="J188" s="6"/>
      <c r="K188" s="6"/>
      <c r="L188" s="61"/>
    </row>
    <row r="189" spans="1:12" x14ac:dyDescent="0.35">
      <c r="A189" s="6"/>
      <c r="B189" s="6"/>
      <c r="C189" s="6"/>
      <c r="D189" s="6"/>
      <c r="E189" s="6"/>
      <c r="F189" s="6"/>
      <c r="G189" s="6"/>
      <c r="H189" s="6"/>
      <c r="I189" s="6"/>
      <c r="J189" s="6"/>
      <c r="K189" s="6"/>
      <c r="L189" s="61"/>
    </row>
    <row r="190" spans="1:12" x14ac:dyDescent="0.35">
      <c r="A190" s="6"/>
      <c r="B190" s="6"/>
      <c r="C190" s="6"/>
      <c r="D190" s="6"/>
      <c r="E190" s="6"/>
      <c r="F190" s="6"/>
      <c r="G190" s="6"/>
      <c r="H190" s="6"/>
      <c r="I190" s="6"/>
      <c r="J190" s="6"/>
      <c r="K190" s="6"/>
      <c r="L190" s="61"/>
    </row>
    <row r="191" spans="1:12" x14ac:dyDescent="0.35">
      <c r="A191" s="6"/>
      <c r="B191" s="6"/>
      <c r="C191" s="6"/>
      <c r="D191" s="6"/>
      <c r="E191" s="6"/>
      <c r="F191" s="6"/>
      <c r="G191" s="6"/>
      <c r="H191" s="6"/>
      <c r="I191" s="6"/>
      <c r="J191" s="6"/>
      <c r="K191" s="6"/>
      <c r="L191" s="61"/>
    </row>
    <row r="192" spans="1:12" x14ac:dyDescent="0.35">
      <c r="A192" s="6"/>
      <c r="B192" s="6"/>
      <c r="C192" s="6"/>
      <c r="D192" s="6"/>
      <c r="E192" s="6"/>
      <c r="F192" s="6"/>
      <c r="G192" s="6"/>
      <c r="H192" s="6"/>
      <c r="I192" s="6"/>
      <c r="J192" s="6"/>
      <c r="K192" s="6"/>
      <c r="L192" s="61"/>
    </row>
    <row r="193" spans="1:12" x14ac:dyDescent="0.35">
      <c r="A193" s="6"/>
      <c r="B193" s="6"/>
      <c r="C193" s="6"/>
      <c r="D193" s="6"/>
      <c r="E193" s="6"/>
      <c r="F193" s="6"/>
      <c r="G193" s="6"/>
      <c r="H193" s="6"/>
      <c r="I193" s="6"/>
      <c r="J193" s="6"/>
      <c r="K193" s="6"/>
      <c r="L193" s="61"/>
    </row>
    <row r="194" spans="1:12" x14ac:dyDescent="0.35">
      <c r="A194" s="6"/>
      <c r="B194" s="6"/>
      <c r="C194" s="6"/>
      <c r="D194" s="6"/>
      <c r="E194" s="6"/>
      <c r="F194" s="6"/>
      <c r="G194" s="6"/>
      <c r="H194" s="6"/>
      <c r="I194" s="6"/>
      <c r="J194" s="6"/>
      <c r="K194" s="6"/>
      <c r="L194" s="61"/>
    </row>
    <row r="195" spans="1:12" x14ac:dyDescent="0.35">
      <c r="A195" s="6"/>
      <c r="B195" s="6"/>
      <c r="C195" s="6"/>
      <c r="D195" s="6"/>
      <c r="E195" s="6"/>
      <c r="F195" s="6"/>
      <c r="G195" s="6"/>
      <c r="H195" s="6"/>
      <c r="I195" s="6"/>
      <c r="J195" s="6"/>
      <c r="K195" s="6"/>
      <c r="L195" s="61"/>
    </row>
    <row r="196" spans="1:12" x14ac:dyDescent="0.35">
      <c r="A196" s="6"/>
      <c r="B196" s="6"/>
      <c r="C196" s="6"/>
      <c r="D196" s="6"/>
      <c r="E196" s="6"/>
      <c r="F196" s="6"/>
      <c r="G196" s="6"/>
      <c r="H196" s="6"/>
      <c r="I196" s="6"/>
      <c r="J196" s="6"/>
      <c r="K196" s="6"/>
      <c r="L196" s="61"/>
    </row>
    <row r="197" spans="1:12" x14ac:dyDescent="0.35">
      <c r="A197" s="6"/>
      <c r="B197" s="6"/>
      <c r="C197" s="6"/>
      <c r="D197" s="6"/>
      <c r="E197" s="6"/>
      <c r="F197" s="6"/>
      <c r="G197" s="6"/>
      <c r="H197" s="6"/>
      <c r="I197" s="6"/>
      <c r="J197" s="6"/>
      <c r="K197" s="6"/>
      <c r="L197" s="61"/>
    </row>
    <row r="198" spans="1:12" x14ac:dyDescent="0.35">
      <c r="A198" s="6"/>
      <c r="B198" s="6"/>
      <c r="C198" s="6"/>
      <c r="D198" s="6"/>
      <c r="E198" s="6"/>
      <c r="F198" s="6"/>
      <c r="G198" s="6"/>
      <c r="H198" s="6"/>
      <c r="I198" s="6"/>
      <c r="J198" s="6"/>
      <c r="K198" s="6"/>
      <c r="L198" s="61"/>
    </row>
    <row r="199" spans="1:12" x14ac:dyDescent="0.35">
      <c r="A199" s="6"/>
      <c r="B199" s="6"/>
      <c r="C199" s="6"/>
      <c r="D199" s="6"/>
      <c r="E199" s="6"/>
      <c r="F199" s="6"/>
      <c r="G199" s="6"/>
      <c r="H199" s="6"/>
      <c r="I199" s="6"/>
      <c r="J199" s="6"/>
      <c r="K199" s="6"/>
      <c r="L199" s="61"/>
    </row>
    <row r="200" spans="1:12" x14ac:dyDescent="0.35">
      <c r="A200" s="6"/>
      <c r="B200" s="6"/>
      <c r="C200" s="6"/>
      <c r="D200" s="6"/>
      <c r="E200" s="6"/>
      <c r="F200" s="6"/>
      <c r="G200" s="6"/>
      <c r="H200" s="6"/>
      <c r="I200" s="6"/>
      <c r="J200" s="6"/>
      <c r="K200" s="6"/>
      <c r="L200" s="61"/>
    </row>
    <row r="201" spans="1:12" x14ac:dyDescent="0.35">
      <c r="A201" s="6"/>
      <c r="B201" s="6"/>
      <c r="C201" s="6"/>
      <c r="D201" s="6"/>
      <c r="E201" s="6"/>
      <c r="F201" s="6"/>
      <c r="G201" s="6"/>
      <c r="H201" s="6"/>
      <c r="I201" s="6"/>
      <c r="J201" s="6"/>
      <c r="K201" s="6"/>
      <c r="L201" s="61"/>
    </row>
    <row r="202" spans="1:12" x14ac:dyDescent="0.35">
      <c r="A202" s="6"/>
      <c r="B202" s="6"/>
      <c r="C202" s="6"/>
      <c r="D202" s="6"/>
      <c r="E202" s="6"/>
      <c r="F202" s="6"/>
      <c r="G202" s="6"/>
      <c r="H202" s="6"/>
      <c r="I202" s="6"/>
      <c r="J202" s="6"/>
      <c r="K202" s="6"/>
      <c r="L202" s="61"/>
    </row>
    <row r="203" spans="1:12" x14ac:dyDescent="0.35">
      <c r="A203" s="6"/>
      <c r="B203" s="6"/>
      <c r="C203" s="6"/>
      <c r="D203" s="6"/>
      <c r="E203" s="6"/>
      <c r="F203" s="6"/>
      <c r="G203" s="6"/>
      <c r="H203" s="6"/>
      <c r="I203" s="6"/>
      <c r="J203" s="6"/>
      <c r="K203" s="6"/>
      <c r="L203" s="61"/>
    </row>
    <row r="204" spans="1:12" x14ac:dyDescent="0.35">
      <c r="A204" s="6"/>
      <c r="B204" s="6"/>
      <c r="C204" s="6"/>
      <c r="D204" s="6"/>
      <c r="E204" s="6"/>
      <c r="F204" s="6"/>
      <c r="G204" s="6"/>
      <c r="H204" s="6"/>
      <c r="I204" s="6"/>
      <c r="J204" s="6"/>
      <c r="K204" s="6"/>
      <c r="L204" s="61"/>
    </row>
    <row r="205" spans="1:12" x14ac:dyDescent="0.35">
      <c r="A205" s="6"/>
      <c r="B205" s="6"/>
      <c r="C205" s="6"/>
      <c r="D205" s="6"/>
      <c r="E205" s="6"/>
      <c r="F205" s="6"/>
      <c r="G205" s="6"/>
      <c r="H205" s="6"/>
      <c r="I205" s="6"/>
      <c r="J205" s="6"/>
      <c r="K205" s="6"/>
      <c r="L205" s="61"/>
    </row>
    <row r="206" spans="1:12" x14ac:dyDescent="0.35">
      <c r="A206" s="6"/>
      <c r="B206" s="6"/>
      <c r="C206" s="6"/>
      <c r="D206" s="6"/>
      <c r="E206" s="6"/>
      <c r="F206" s="6"/>
      <c r="G206" s="6"/>
      <c r="H206" s="6"/>
      <c r="I206" s="6"/>
      <c r="J206" s="6"/>
      <c r="K206" s="6"/>
      <c r="L206" s="61"/>
    </row>
    <row r="207" spans="1:12" x14ac:dyDescent="0.35">
      <c r="A207" s="6"/>
      <c r="B207" s="6"/>
      <c r="C207" s="6"/>
      <c r="D207" s="6"/>
      <c r="E207" s="6"/>
      <c r="F207" s="6"/>
      <c r="G207" s="6"/>
      <c r="H207" s="6"/>
      <c r="I207" s="6"/>
      <c r="J207" s="6"/>
      <c r="K207" s="6"/>
      <c r="L207" s="61"/>
    </row>
  </sheetData>
  <mergeCells count="9">
    <mergeCell ref="M59:M60"/>
    <mergeCell ref="N59:P59"/>
    <mergeCell ref="J12:J13"/>
    <mergeCell ref="B12:C13"/>
    <mergeCell ref="D12:D13"/>
    <mergeCell ref="F12:F13"/>
    <mergeCell ref="B10:J10"/>
    <mergeCell ref="N52:P52"/>
    <mergeCell ref="H12:H13"/>
  </mergeCells>
  <dataValidations count="4">
    <dataValidation type="list" allowBlank="1" sqref="C23" xr:uid="{00000000-0002-0000-0000-000000000000}">
      <formula1>$B$24:$B$29</formula1>
    </dataValidation>
    <dataValidation type="list" allowBlank="1" sqref="C38" xr:uid="{00000000-0002-0000-0000-000001000000}">
      <formula1>$B$39:$B$41</formula1>
    </dataValidation>
    <dataValidation type="list" allowBlank="1" sqref="C45" xr:uid="{00000000-0002-0000-0000-000002000000}">
      <formula1>$B$46:$B$47</formula1>
    </dataValidation>
    <dataValidation type="list" allowBlank="1" sqref="C32" xr:uid="{00000000-0002-0000-0000-000003000000}">
      <formula1>$B$33:$B$35</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499984740745262"/>
  </sheetPr>
  <dimension ref="A1:W42"/>
  <sheetViews>
    <sheetView workbookViewId="0"/>
  </sheetViews>
  <sheetFormatPr defaultColWidth="9.1796875" defaultRowHeight="14.5" x14ac:dyDescent="0.35"/>
  <cols>
    <col min="1" max="7" width="10.1796875" style="38" customWidth="1"/>
    <col min="8" max="8" width="10.54296875" style="38" customWidth="1"/>
    <col min="9" max="13" width="10.1796875" style="38" customWidth="1"/>
    <col min="14" max="17" width="9.1796875" style="38"/>
    <col min="18" max="18" width="9.1796875" style="38" customWidth="1"/>
    <col min="19" max="16384" width="9.1796875" style="38"/>
  </cols>
  <sheetData>
    <row r="1" spans="1:19" s="164" customFormat="1" ht="30" customHeight="1" x14ac:dyDescent="0.5">
      <c r="A1" s="19" t="s">
        <v>720</v>
      </c>
      <c r="B1" s="19"/>
      <c r="C1" s="19"/>
      <c r="D1" s="19"/>
      <c r="E1" s="19"/>
      <c r="F1" s="19"/>
      <c r="G1" s="19"/>
      <c r="H1" s="19"/>
      <c r="I1" s="19"/>
      <c r="J1" s="19"/>
      <c r="K1" s="19"/>
    </row>
    <row r="2" spans="1:19" x14ac:dyDescent="0.35">
      <c r="B2" s="1"/>
      <c r="C2" s="1"/>
      <c r="D2" s="1"/>
      <c r="E2" s="1"/>
      <c r="F2" s="1"/>
      <c r="G2" s="1"/>
      <c r="H2" s="1"/>
      <c r="I2" s="1"/>
      <c r="J2" s="34"/>
      <c r="K2" s="34"/>
      <c r="L2" s="1"/>
      <c r="M2" s="1"/>
    </row>
    <row r="4" spans="1:19" x14ac:dyDescent="0.35">
      <c r="B4" s="11" t="s">
        <v>490</v>
      </c>
      <c r="C4" s="11"/>
      <c r="D4" s="11"/>
      <c r="E4" s="11"/>
      <c r="F4" s="11"/>
      <c r="G4" s="11"/>
      <c r="H4" s="116" t="s">
        <v>157</v>
      </c>
      <c r="I4" s="143"/>
      <c r="K4" s="18" t="s">
        <v>12</v>
      </c>
      <c r="L4" s="18" t="s">
        <v>16</v>
      </c>
      <c r="M4" s="18" t="s">
        <v>509</v>
      </c>
    </row>
    <row r="5" spans="1:19" x14ac:dyDescent="0.35">
      <c r="B5" s="142" t="s">
        <v>519</v>
      </c>
      <c r="C5" s="142"/>
      <c r="D5" s="142"/>
      <c r="E5" s="142"/>
      <c r="F5" s="142"/>
      <c r="G5" s="113"/>
      <c r="H5" s="112">
        <v>7983000</v>
      </c>
      <c r="I5" s="144"/>
      <c r="K5" s="16" t="s">
        <v>508</v>
      </c>
      <c r="L5" s="16" t="s">
        <v>82</v>
      </c>
      <c r="M5" s="17" t="s">
        <v>83</v>
      </c>
    </row>
    <row r="6" spans="1:19" x14ac:dyDescent="0.35">
      <c r="B6" s="29" t="s">
        <v>520</v>
      </c>
      <c r="C6" s="29"/>
      <c r="D6" s="29"/>
      <c r="E6" s="29"/>
      <c r="F6" s="29"/>
      <c r="G6" s="130"/>
      <c r="H6" s="125">
        <v>3700200</v>
      </c>
      <c r="I6" s="128"/>
      <c r="K6" s="16" t="s">
        <v>517</v>
      </c>
      <c r="L6" s="16" t="s">
        <v>106</v>
      </c>
      <c r="M6" s="17" t="s">
        <v>105</v>
      </c>
    </row>
    <row r="7" spans="1:19" x14ac:dyDescent="0.35">
      <c r="B7" s="31" t="s">
        <v>152</v>
      </c>
      <c r="C7" s="31"/>
      <c r="D7" s="31"/>
      <c r="E7" s="31"/>
      <c r="F7" s="31"/>
      <c r="G7" s="119"/>
      <c r="H7" s="123">
        <f>H6/$H$5</f>
        <v>0.46350995866215711</v>
      </c>
      <c r="I7" s="128"/>
      <c r="L7" s="16"/>
      <c r="M7" s="17"/>
    </row>
    <row r="8" spans="1:19" x14ac:dyDescent="0.35">
      <c r="B8" s="120" t="s">
        <v>156</v>
      </c>
      <c r="C8" s="120"/>
      <c r="D8" s="120"/>
      <c r="E8" s="120"/>
      <c r="F8" s="120"/>
      <c r="G8" s="121"/>
      <c r="H8" s="122">
        <v>2860600</v>
      </c>
      <c r="I8" s="145"/>
      <c r="K8" s="16" t="s">
        <v>517</v>
      </c>
      <c r="L8" s="16" t="s">
        <v>104</v>
      </c>
      <c r="N8" s="1"/>
      <c r="R8" s="16"/>
      <c r="S8" s="17"/>
    </row>
    <row r="9" spans="1:19" x14ac:dyDescent="0.35">
      <c r="B9" s="141" t="s">
        <v>155</v>
      </c>
      <c r="C9" s="141"/>
      <c r="D9" s="141"/>
      <c r="E9" s="141"/>
      <c r="F9" s="141"/>
      <c r="G9" s="121"/>
      <c r="H9" s="114">
        <f>H8/H6</f>
        <v>0.77309334630560511</v>
      </c>
      <c r="I9" s="145"/>
      <c r="J9" s="33"/>
      <c r="L9" s="16"/>
      <c r="N9" s="1"/>
      <c r="R9" s="16"/>
      <c r="S9" s="17"/>
    </row>
    <row r="10" spans="1:19" x14ac:dyDescent="0.35">
      <c r="B10" s="129" t="s">
        <v>154</v>
      </c>
      <c r="C10" s="129"/>
      <c r="D10" s="129"/>
      <c r="E10" s="129"/>
      <c r="F10" s="129"/>
      <c r="G10" s="130"/>
      <c r="H10" s="131">
        <v>839600</v>
      </c>
      <c r="I10" s="137"/>
      <c r="K10" s="16" t="s">
        <v>517</v>
      </c>
      <c r="L10" s="16" t="s">
        <v>103</v>
      </c>
      <c r="N10" s="1"/>
      <c r="R10" s="16"/>
      <c r="S10" s="17"/>
    </row>
    <row r="11" spans="1:19" x14ac:dyDescent="0.35">
      <c r="B11" s="141" t="s">
        <v>153</v>
      </c>
      <c r="C11" s="141"/>
      <c r="D11" s="141"/>
      <c r="E11" s="141"/>
      <c r="F11" s="141"/>
      <c r="G11" s="130"/>
      <c r="H11" s="114">
        <f>H10/H6</f>
        <v>0.22690665369439489</v>
      </c>
      <c r="I11" s="137"/>
      <c r="J11" s="33"/>
      <c r="L11" s="16"/>
      <c r="N11" s="1"/>
      <c r="R11" s="16"/>
      <c r="S11" s="17"/>
    </row>
    <row r="12" spans="1:19" s="133" customFormat="1" x14ac:dyDescent="0.35">
      <c r="B12" s="134"/>
      <c r="C12" s="134"/>
      <c r="D12" s="134"/>
      <c r="E12" s="134"/>
      <c r="F12" s="134"/>
      <c r="G12" s="135"/>
      <c r="H12" s="136"/>
      <c r="I12" s="137"/>
      <c r="J12" s="138"/>
      <c r="L12" s="139"/>
      <c r="R12" s="139"/>
      <c r="S12" s="140"/>
    </row>
    <row r="13" spans="1:19" s="133" customFormat="1" x14ac:dyDescent="0.35">
      <c r="B13" s="134"/>
      <c r="C13" s="134"/>
      <c r="D13" s="134"/>
      <c r="E13" s="134"/>
      <c r="F13" s="134"/>
      <c r="G13" s="135"/>
      <c r="H13" s="136"/>
      <c r="I13" s="137"/>
      <c r="J13" s="138"/>
      <c r="L13" s="139"/>
      <c r="R13" s="139"/>
      <c r="S13" s="140"/>
    </row>
    <row r="14" spans="1:19" x14ac:dyDescent="0.35">
      <c r="B14" s="11" t="s">
        <v>143</v>
      </c>
      <c r="C14" s="11"/>
      <c r="D14" s="11"/>
      <c r="E14" s="11"/>
      <c r="F14" s="11"/>
      <c r="G14" s="11"/>
      <c r="H14" s="11"/>
      <c r="I14" s="116" t="s">
        <v>158</v>
      </c>
      <c r="J14" s="33"/>
      <c r="K14" s="16" t="s">
        <v>523</v>
      </c>
      <c r="L14" s="16" t="s">
        <v>522</v>
      </c>
      <c r="M14" s="17" t="s">
        <v>521</v>
      </c>
      <c r="N14" s="1"/>
      <c r="R14" s="16"/>
      <c r="S14" s="17"/>
    </row>
    <row r="15" spans="1:19" x14ac:dyDescent="0.35">
      <c r="B15" s="153" t="s">
        <v>102</v>
      </c>
      <c r="C15" s="153"/>
      <c r="D15" s="153"/>
      <c r="E15" s="153"/>
      <c r="F15" s="153"/>
      <c r="G15" s="142"/>
      <c r="H15" s="125"/>
      <c r="I15" s="154">
        <v>547.5</v>
      </c>
    </row>
    <row r="16" spans="1:19" x14ac:dyDescent="0.35">
      <c r="B16" s="150" t="s">
        <v>164</v>
      </c>
      <c r="C16" s="150"/>
      <c r="D16" s="150"/>
      <c r="E16" s="150"/>
      <c r="F16" s="150"/>
      <c r="G16" s="125"/>
      <c r="H16" s="125"/>
      <c r="I16" s="146">
        <v>2780</v>
      </c>
      <c r="K16" s="16"/>
      <c r="M16" s="17"/>
    </row>
    <row r="17" spans="2:23" x14ac:dyDescent="0.35">
      <c r="B17" s="150"/>
      <c r="C17" s="150"/>
      <c r="D17" s="150"/>
      <c r="E17" s="150"/>
      <c r="F17" s="256"/>
      <c r="G17" s="257" t="s">
        <v>162</v>
      </c>
      <c r="H17" s="258" t="s">
        <v>163</v>
      </c>
      <c r="I17" s="146"/>
      <c r="K17" s="16"/>
    </row>
    <row r="18" spans="2:23" x14ac:dyDescent="0.35">
      <c r="B18" s="151" t="s">
        <v>101</v>
      </c>
      <c r="C18" s="151"/>
      <c r="D18" s="151"/>
      <c r="E18" s="151"/>
      <c r="F18" s="151"/>
      <c r="G18" s="125">
        <v>185200</v>
      </c>
      <c r="H18" s="132">
        <f>G18/$H$5</f>
        <v>2.319929850933233E-2</v>
      </c>
      <c r="I18" s="152">
        <v>3140</v>
      </c>
      <c r="K18" s="16" t="s">
        <v>517</v>
      </c>
      <c r="L18" s="16" t="s">
        <v>100</v>
      </c>
      <c r="M18" s="17" t="s">
        <v>105</v>
      </c>
    </row>
    <row r="19" spans="2:23" x14ac:dyDescent="0.35">
      <c r="B19" s="151" t="s">
        <v>99</v>
      </c>
      <c r="C19" s="151"/>
      <c r="D19" s="151"/>
      <c r="E19" s="151"/>
      <c r="F19" s="151"/>
      <c r="G19" s="125">
        <v>74000</v>
      </c>
      <c r="H19" s="132">
        <f>G19/$H$5</f>
        <v>9.2696981084805213E-3</v>
      </c>
      <c r="I19" s="146">
        <f xml:space="preserve"> I18 + 1275</f>
        <v>4415</v>
      </c>
      <c r="J19" s="238"/>
      <c r="K19" s="16" t="s">
        <v>517</v>
      </c>
      <c r="L19" s="16" t="s">
        <v>98</v>
      </c>
      <c r="N19" s="337" t="s">
        <v>524</v>
      </c>
    </row>
    <row r="20" spans="2:23" x14ac:dyDescent="0.35">
      <c r="Q20" s="100"/>
      <c r="R20" s="17"/>
    </row>
    <row r="21" spans="2:23" x14ac:dyDescent="0.35">
      <c r="B21" s="99"/>
      <c r="C21" s="99"/>
      <c r="D21" s="99"/>
      <c r="E21" s="99"/>
      <c r="F21" s="99"/>
      <c r="G21" s="83"/>
      <c r="I21" s="45"/>
      <c r="J21" s="56"/>
    </row>
    <row r="22" spans="2:23" ht="29" x14ac:dyDescent="0.35">
      <c r="B22" s="11" t="s">
        <v>148</v>
      </c>
      <c r="C22" s="11"/>
      <c r="D22" s="11"/>
      <c r="E22" s="11"/>
      <c r="F22" s="11"/>
      <c r="G22" s="116" t="s">
        <v>52</v>
      </c>
      <c r="H22" s="203" t="s">
        <v>151</v>
      </c>
      <c r="I22" s="203" t="s">
        <v>150</v>
      </c>
      <c r="K22" s="1"/>
      <c r="L22" s="1"/>
      <c r="M22" s="1"/>
      <c r="N22" s="1"/>
      <c r="O22" s="1"/>
      <c r="P22" s="1"/>
      <c r="Q22" s="1"/>
      <c r="R22" s="1"/>
      <c r="S22" s="1"/>
      <c r="T22" s="1"/>
    </row>
    <row r="23" spans="2:23" x14ac:dyDescent="0.35">
      <c r="B23" s="126" t="s">
        <v>159</v>
      </c>
      <c r="C23" s="126"/>
      <c r="D23" s="126"/>
      <c r="E23" s="126"/>
      <c r="F23" s="126"/>
      <c r="G23" s="147">
        <f>G26*'1.1'!C37</f>
        <v>37407.334670447606</v>
      </c>
      <c r="H23" s="246">
        <f>G23*H7*(I16+I15)+G23*I18*H18+G23*I19*H19</f>
        <v>61950320.686023369</v>
      </c>
      <c r="I23" s="247">
        <f>($H$9*H23)+($H$11*H23/2)</f>
        <v>54921850.704943262</v>
      </c>
      <c r="J23" s="1"/>
      <c r="K23" s="16" t="s">
        <v>149</v>
      </c>
      <c r="M23" s="1"/>
      <c r="N23" s="1"/>
      <c r="O23" s="1"/>
      <c r="P23" s="1"/>
      <c r="Q23" s="1"/>
      <c r="R23" s="1"/>
      <c r="S23" s="1"/>
      <c r="T23" s="1"/>
    </row>
    <row r="24" spans="2:23" x14ac:dyDescent="0.35">
      <c r="B24" s="126" t="s">
        <v>160</v>
      </c>
      <c r="C24" s="126"/>
      <c r="D24" s="126"/>
      <c r="E24" s="126"/>
      <c r="F24" s="126"/>
      <c r="G24" s="147">
        <f>G26*'1.1'!D37</f>
        <v>11164.288477869573</v>
      </c>
      <c r="H24" s="246">
        <f>G24*H7*I16+G24*H18*I18+G24*H19*I19</f>
        <v>15656007.724705428</v>
      </c>
      <c r="I24" s="247">
        <f>($H$9*H24)+($H$11*H24/2)</f>
        <v>13879781.563192174</v>
      </c>
      <c r="J24" s="1"/>
      <c r="K24" s="16" t="s">
        <v>187</v>
      </c>
      <c r="M24" s="1"/>
      <c r="N24" s="1"/>
      <c r="O24" s="1"/>
      <c r="P24" s="1"/>
      <c r="Q24" s="1"/>
      <c r="R24" s="1"/>
      <c r="S24" s="1"/>
      <c r="T24" s="1"/>
    </row>
    <row r="25" spans="2:23" x14ac:dyDescent="0.35">
      <c r="B25" s="149" t="s">
        <v>161</v>
      </c>
      <c r="C25" s="149"/>
      <c r="D25" s="149"/>
      <c r="E25" s="149"/>
      <c r="F25" s="149"/>
      <c r="G25" s="148">
        <f>G26*'1.1'!E37+'1.1'!F37+'1.1'!G37</f>
        <v>15488.567643401182</v>
      </c>
      <c r="H25" s="248">
        <f>G25*H18*I18+G25*H19*I19</f>
        <v>1762157.7977336091</v>
      </c>
      <c r="I25" s="249">
        <f>($H$9*H25)+($H$11*H25/2)</f>
        <v>1562235.1331510001</v>
      </c>
      <c r="J25" s="1"/>
      <c r="K25" s="16" t="s">
        <v>186</v>
      </c>
      <c r="M25" s="1"/>
      <c r="N25" s="1"/>
      <c r="O25" s="1"/>
      <c r="P25" s="1"/>
      <c r="Q25" s="1"/>
      <c r="R25" s="1"/>
      <c r="S25" s="1"/>
      <c r="T25" s="1"/>
    </row>
    <row r="26" spans="2:23" x14ac:dyDescent="0.35">
      <c r="B26" s="338" t="s">
        <v>529</v>
      </c>
      <c r="C26" s="127"/>
      <c r="D26" s="127"/>
      <c r="E26" s="127"/>
      <c r="F26" s="127"/>
      <c r="G26" s="124">
        <f>'1. AVERTED PREGNANCIES'!F59</f>
        <v>73720.391047603742</v>
      </c>
      <c r="H26" s="246">
        <f>SUM(H23:H25)</f>
        <v>79368486.208462402</v>
      </c>
      <c r="I26" s="250">
        <f>SUM(I23:I25)</f>
        <v>70363867.401286423</v>
      </c>
      <c r="J26" s="1"/>
      <c r="K26" s="16"/>
      <c r="M26" s="1"/>
      <c r="N26" s="1"/>
      <c r="O26" s="1"/>
      <c r="P26" s="1"/>
      <c r="Q26" s="1"/>
      <c r="R26" s="1"/>
      <c r="S26" s="1"/>
      <c r="T26" s="1"/>
    </row>
    <row r="27" spans="2:23" x14ac:dyDescent="0.35">
      <c r="B27" s="96"/>
      <c r="C27" s="96"/>
      <c r="D27" s="96"/>
      <c r="E27" s="96"/>
      <c r="F27" s="96"/>
      <c r="G27" s="98"/>
      <c r="H27" s="1"/>
      <c r="I27" s="1"/>
      <c r="J27" s="1"/>
      <c r="K27" s="184"/>
      <c r="L27" s="1"/>
      <c r="M27" s="1"/>
      <c r="N27" s="1"/>
      <c r="O27" s="1"/>
      <c r="P27" s="1"/>
      <c r="Q27" s="1"/>
      <c r="R27" s="1"/>
      <c r="S27" s="1"/>
      <c r="T27" s="1"/>
    </row>
    <row r="28" spans="2:23" x14ac:dyDescent="0.35">
      <c r="B28" s="96"/>
      <c r="C28" s="96"/>
      <c r="D28" s="96"/>
      <c r="E28" s="96"/>
      <c r="F28" s="96"/>
      <c r="H28" s="1"/>
      <c r="I28" s="1"/>
      <c r="J28" s="1"/>
      <c r="K28" s="1"/>
      <c r="L28" s="1"/>
      <c r="M28" s="1"/>
      <c r="N28" s="1"/>
      <c r="O28" s="1"/>
      <c r="P28" s="1"/>
      <c r="Q28" s="1"/>
      <c r="R28" s="1"/>
      <c r="S28" s="1"/>
      <c r="T28" s="1"/>
    </row>
    <row r="29" spans="2:23" x14ac:dyDescent="0.35">
      <c r="B29" s="96"/>
      <c r="C29" s="96"/>
      <c r="D29" s="96"/>
      <c r="E29" s="96"/>
      <c r="F29" s="96"/>
      <c r="G29" s="97"/>
      <c r="H29" s="1"/>
      <c r="I29" s="1"/>
      <c r="J29" s="1"/>
      <c r="K29" s="1"/>
      <c r="L29" s="1"/>
      <c r="M29" s="1"/>
      <c r="N29" s="1"/>
      <c r="O29" s="1"/>
      <c r="P29" s="1"/>
      <c r="Q29" s="1"/>
      <c r="R29" s="1"/>
      <c r="S29" s="1"/>
      <c r="T29" s="1"/>
    </row>
    <row r="30" spans="2:23" x14ac:dyDescent="0.35">
      <c r="B30" s="510" t="s">
        <v>239</v>
      </c>
      <c r="C30" s="510"/>
      <c r="D30" s="510"/>
      <c r="E30" s="510"/>
      <c r="F30" s="510"/>
      <c r="G30" s="510"/>
      <c r="H30" s="510"/>
      <c r="I30" s="510"/>
      <c r="J30" s="510"/>
      <c r="K30" s="510"/>
      <c r="L30" s="510"/>
      <c r="M30" s="510"/>
      <c r="N30" s="510"/>
      <c r="O30" s="253"/>
      <c r="P30" s="253"/>
      <c r="Q30" s="253"/>
      <c r="R30" s="253"/>
      <c r="S30" s="253"/>
      <c r="T30" s="253"/>
      <c r="U30" s="253"/>
      <c r="V30" s="253"/>
      <c r="W30" s="253"/>
    </row>
    <row r="31" spans="2:23" x14ac:dyDescent="0.35">
      <c r="B31" s="58" t="s">
        <v>240</v>
      </c>
      <c r="C31" s="58"/>
      <c r="D31" s="58">
        <v>0</v>
      </c>
      <c r="E31" s="58">
        <v>1</v>
      </c>
      <c r="F31" s="29">
        <v>2</v>
      </c>
      <c r="G31" s="29">
        <v>3</v>
      </c>
      <c r="H31" s="29">
        <v>4</v>
      </c>
      <c r="I31" s="29">
        <v>5</v>
      </c>
      <c r="J31" s="29">
        <v>6</v>
      </c>
      <c r="K31" s="29">
        <v>7</v>
      </c>
      <c r="L31" s="29">
        <v>8</v>
      </c>
      <c r="M31" s="29">
        <v>9</v>
      </c>
      <c r="N31" s="29">
        <v>10</v>
      </c>
      <c r="R31" s="133"/>
      <c r="S31" s="133"/>
      <c r="T31" s="133"/>
      <c r="U31" s="133"/>
      <c r="V31" s="133"/>
      <c r="W31" s="133"/>
    </row>
    <row r="32" spans="2:23" x14ac:dyDescent="0.35">
      <c r="B32" s="29" t="s">
        <v>469</v>
      </c>
      <c r="C32" s="29"/>
      <c r="D32" s="307">
        <v>0</v>
      </c>
      <c r="E32" s="260">
        <f t="shared" ref="E32:N32" si="0">$I$26/1.035^E31</f>
        <v>67984412.948102832</v>
      </c>
      <c r="F32" s="260">
        <f t="shared" si="0"/>
        <v>65685423.138263606</v>
      </c>
      <c r="G32" s="260">
        <f t="shared" si="0"/>
        <v>63464176.945182234</v>
      </c>
      <c r="H32" s="260">
        <f t="shared" si="0"/>
        <v>61318045.357663997</v>
      </c>
      <c r="I32" s="260">
        <f t="shared" si="0"/>
        <v>59244488.268274404</v>
      </c>
      <c r="J32" s="260">
        <f t="shared" si="0"/>
        <v>57241051.46693179</v>
      </c>
      <c r="K32" s="260">
        <f t="shared" si="0"/>
        <v>55305363.736165985</v>
      </c>
      <c r="L32" s="260">
        <f t="shared" si="0"/>
        <v>53435134.044604823</v>
      </c>
      <c r="M32" s="260">
        <f t="shared" si="0"/>
        <v>51628148.835366987</v>
      </c>
      <c r="N32" s="260">
        <f t="shared" si="0"/>
        <v>49882269.406151682</v>
      </c>
      <c r="R32" s="251"/>
      <c r="S32" s="251"/>
      <c r="T32" s="251"/>
      <c r="U32" s="251"/>
      <c r="V32" s="251"/>
      <c r="W32" s="251"/>
    </row>
    <row r="33" spans="2:23" ht="15.75" customHeight="1" x14ac:dyDescent="0.35">
      <c r="B33" s="58" t="s">
        <v>437</v>
      </c>
      <c r="C33" s="58"/>
      <c r="D33" s="58">
        <v>0</v>
      </c>
      <c r="E33" s="262">
        <f>E32</f>
        <v>67984412.948102832</v>
      </c>
      <c r="F33" s="262">
        <f t="shared" ref="F33:N33" si="1">E33+F32</f>
        <v>133669836.08636644</v>
      </c>
      <c r="G33" s="262">
        <f t="shared" si="1"/>
        <v>197134013.03154868</v>
      </c>
      <c r="H33" s="262">
        <f t="shared" si="1"/>
        <v>258452058.38921267</v>
      </c>
      <c r="I33" s="262">
        <f t="shared" si="1"/>
        <v>317696546.65748709</v>
      </c>
      <c r="J33" s="262">
        <f t="shared" si="1"/>
        <v>374937598.12441885</v>
      </c>
      <c r="K33" s="262">
        <f t="shared" si="1"/>
        <v>430242961.86058486</v>
      </c>
      <c r="L33" s="262">
        <f t="shared" si="1"/>
        <v>483678095.90518969</v>
      </c>
      <c r="M33" s="262">
        <f t="shared" si="1"/>
        <v>535306244.74055666</v>
      </c>
      <c r="N33" s="262">
        <f t="shared" si="1"/>
        <v>585188514.14670837</v>
      </c>
      <c r="R33" s="252"/>
      <c r="S33" s="252"/>
      <c r="T33" s="252"/>
      <c r="U33" s="252"/>
      <c r="V33" s="252"/>
      <c r="W33" s="252"/>
    </row>
    <row r="34" spans="2:23" ht="16" x14ac:dyDescent="0.35">
      <c r="B34" s="92"/>
      <c r="C34" s="92"/>
      <c r="D34" s="92"/>
      <c r="E34" s="92"/>
      <c r="F34" s="92"/>
      <c r="G34" s="95"/>
      <c r="H34" s="95"/>
      <c r="I34" s="90"/>
      <c r="J34" s="91"/>
      <c r="K34" s="91"/>
      <c r="L34" s="90"/>
      <c r="M34" s="1"/>
      <c r="N34" s="1"/>
      <c r="O34" s="1"/>
      <c r="P34" s="1"/>
      <c r="Q34" s="1"/>
      <c r="R34" s="1"/>
      <c r="S34" s="1"/>
      <c r="T34" s="1"/>
    </row>
    <row r="35" spans="2:23" ht="16" x14ac:dyDescent="0.35">
      <c r="B35" s="94"/>
      <c r="C35" s="94"/>
      <c r="D35" s="94"/>
      <c r="E35" s="94"/>
      <c r="F35" s="94"/>
      <c r="G35" s="94"/>
      <c r="H35" s="94"/>
      <c r="I35" s="90"/>
      <c r="O35" s="1"/>
      <c r="P35" s="1"/>
      <c r="Q35" s="1"/>
      <c r="R35" s="1"/>
      <c r="S35" s="1"/>
      <c r="T35" s="1"/>
    </row>
    <row r="36" spans="2:23" ht="15.5" x14ac:dyDescent="0.35">
      <c r="B36" s="89"/>
      <c r="C36" s="89"/>
      <c r="D36" s="89"/>
      <c r="E36" s="89"/>
      <c r="F36" s="89"/>
      <c r="G36" s="89"/>
      <c r="H36" s="89"/>
      <c r="I36" s="93"/>
      <c r="J36" s="260"/>
      <c r="K36" s="260"/>
      <c r="L36" s="260"/>
      <c r="M36" s="399" t="s">
        <v>636</v>
      </c>
      <c r="N36" s="419">
        <f>N33/'1. AVERTED PREGNANCIES'!F58</f>
        <v>2857.6607109528168</v>
      </c>
      <c r="O36" s="1"/>
      <c r="P36" s="1"/>
      <c r="Q36" s="1"/>
      <c r="R36" s="1"/>
      <c r="S36" s="1"/>
      <c r="T36" s="1"/>
    </row>
    <row r="37" spans="2:23" ht="16" x14ac:dyDescent="0.35">
      <c r="B37" s="92"/>
      <c r="C37" s="92"/>
      <c r="D37" s="92"/>
      <c r="E37" s="92"/>
      <c r="F37" s="92"/>
      <c r="G37" s="92"/>
      <c r="H37" s="92"/>
      <c r="I37" s="90"/>
      <c r="J37" s="260"/>
      <c r="K37" s="260"/>
      <c r="L37" s="260"/>
      <c r="M37" s="399" t="s">
        <v>637</v>
      </c>
      <c r="N37" s="158">
        <f>N33/'1. AVERTED PREGNANCIES'!F59</f>
        <v>7937.9464193133808</v>
      </c>
      <c r="O37" s="1"/>
      <c r="P37" s="1"/>
      <c r="Q37" s="1"/>
      <c r="R37" s="1"/>
      <c r="S37" s="1"/>
      <c r="T37" s="1"/>
    </row>
    <row r="38" spans="2:23" ht="15.5" x14ac:dyDescent="0.35">
      <c r="B38" s="89"/>
      <c r="C38" s="89"/>
      <c r="D38" s="89"/>
      <c r="E38" s="89"/>
      <c r="F38" s="89"/>
      <c r="G38" s="89"/>
      <c r="H38" s="89"/>
      <c r="I38" s="89"/>
      <c r="J38" s="89"/>
      <c r="K38" s="89"/>
      <c r="L38" s="89"/>
      <c r="M38" s="40"/>
      <c r="N38" s="40"/>
      <c r="O38" s="40"/>
      <c r="P38" s="40"/>
      <c r="Q38" s="40"/>
      <c r="R38" s="40"/>
      <c r="S38" s="40"/>
      <c r="T38" s="40"/>
    </row>
    <row r="39" spans="2:23" ht="15.5" x14ac:dyDescent="0.35">
      <c r="B39" s="89"/>
      <c r="C39" s="89"/>
      <c r="D39" s="89"/>
      <c r="E39" s="89"/>
      <c r="F39" s="89"/>
      <c r="G39" s="89"/>
      <c r="H39" s="89"/>
      <c r="I39" s="89"/>
      <c r="J39" s="89"/>
      <c r="K39" s="89"/>
      <c r="L39" s="89"/>
      <c r="M39" s="40"/>
      <c r="N39" s="40"/>
      <c r="O39" s="40"/>
      <c r="P39" s="40"/>
      <c r="Q39" s="40"/>
      <c r="R39" s="40"/>
      <c r="S39" s="40"/>
      <c r="T39" s="1"/>
    </row>
    <row r="40" spans="2:23" ht="15.5" x14ac:dyDescent="0.35">
      <c r="B40" s="89"/>
      <c r="C40" s="89"/>
      <c r="D40" s="89"/>
      <c r="E40" s="89"/>
      <c r="F40" s="89"/>
      <c r="G40" s="89"/>
      <c r="H40" s="89"/>
      <c r="I40" s="89"/>
      <c r="J40" s="89"/>
      <c r="K40" s="89"/>
      <c r="L40" s="89"/>
      <c r="M40" s="40"/>
      <c r="N40" s="40"/>
      <c r="O40" s="40"/>
      <c r="P40" s="40"/>
      <c r="Q40" s="40"/>
      <c r="R40" s="40"/>
      <c r="S40" s="40"/>
      <c r="T40" s="40"/>
    </row>
    <row r="41" spans="2:23" ht="15.5" x14ac:dyDescent="0.35">
      <c r="B41" s="88"/>
      <c r="C41" s="88"/>
      <c r="D41" s="88"/>
      <c r="E41" s="88"/>
      <c r="F41" s="88"/>
      <c r="G41" s="88"/>
      <c r="H41" s="88"/>
      <c r="I41" s="88"/>
      <c r="J41" s="88"/>
      <c r="K41" s="88"/>
      <c r="L41" s="88"/>
      <c r="M41" s="40"/>
      <c r="N41" s="40"/>
      <c r="O41" s="40"/>
      <c r="P41" s="40"/>
      <c r="Q41" s="40"/>
      <c r="R41" s="40"/>
      <c r="S41" s="40"/>
      <c r="T41" s="40"/>
    </row>
    <row r="42" spans="2:23" ht="15.5" x14ac:dyDescent="0.35">
      <c r="B42" s="88"/>
      <c r="C42" s="88"/>
      <c r="D42" s="88"/>
      <c r="E42" s="88"/>
      <c r="F42" s="88"/>
      <c r="G42" s="88"/>
      <c r="H42" s="88"/>
      <c r="I42" s="88"/>
      <c r="J42" s="88"/>
      <c r="K42" s="88"/>
      <c r="L42" s="88"/>
      <c r="M42" s="40"/>
      <c r="N42" s="40"/>
      <c r="O42" s="40"/>
      <c r="P42" s="40"/>
      <c r="Q42" s="40"/>
      <c r="R42" s="40"/>
      <c r="S42" s="40"/>
      <c r="T42" s="40"/>
    </row>
  </sheetData>
  <mergeCells count="1">
    <mergeCell ref="B30:N30"/>
  </mergeCells>
  <conditionalFormatting sqref="J2">
    <cfRule type="expression" dxfId="2" priority="1" stopIfTrue="1">
      <formula>IF(K2="b",TRUE,FALSE)</formula>
    </cfRule>
    <cfRule type="expression" dxfId="1" priority="2" stopIfTrue="1">
      <formula>IF(K2="c",TRUE,FALSE)</formula>
    </cfRule>
    <cfRule type="expression" dxfId="0" priority="3" stopIfTrue="1">
      <formula>IF(K2="d",TRUE,FALSE)</formula>
    </cfRule>
  </conditionalFormatting>
  <hyperlinks>
    <hyperlink ref="M5" r:id="rId1" xr:uid="{00000000-0004-0000-0900-000000000000}"/>
    <hyperlink ref="M6" r:id="rId2" xr:uid="{00000000-0004-0000-0900-000001000000}"/>
    <hyperlink ref="M18" r:id="rId3" xr:uid="{00000000-0004-0000-0900-000002000000}"/>
    <hyperlink ref="M14" r:id="rId4" xr:uid="{00000000-0004-0000-0900-000003000000}"/>
  </hyperlinks>
  <pageMargins left="0.7" right="0.7" top="0.75" bottom="0.75" header="0.3" footer="0.3"/>
  <pageSetup paperSize="9" orientation="portrait" r:id="rId5"/>
  <drawing r:id="rId6"/>
  <legacy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499984740745262"/>
  </sheetPr>
  <dimension ref="A1:M23"/>
  <sheetViews>
    <sheetView workbookViewId="0"/>
  </sheetViews>
  <sheetFormatPr defaultColWidth="9.1796875" defaultRowHeight="14.5" x14ac:dyDescent="0.35"/>
  <cols>
    <col min="1" max="1" width="9.1796875" style="38" customWidth="1"/>
    <col min="2" max="2" width="20.54296875" style="38" customWidth="1"/>
    <col min="3" max="7" width="9.1796875" style="38"/>
    <col min="8" max="8" width="10.1796875" style="38" customWidth="1"/>
    <col min="9" max="9" width="9.1796875" style="38"/>
    <col min="10" max="10" width="9.1796875" style="38" customWidth="1"/>
    <col min="11" max="16384" width="9.1796875" style="38"/>
  </cols>
  <sheetData>
    <row r="1" spans="1:13" s="164" customFormat="1" ht="30" customHeight="1" x14ac:dyDescent="0.5">
      <c r="A1" s="19" t="s">
        <v>721</v>
      </c>
      <c r="B1" s="19"/>
      <c r="C1" s="19"/>
      <c r="D1" s="19"/>
      <c r="E1" s="19"/>
      <c r="F1" s="19"/>
      <c r="G1" s="19"/>
      <c r="H1" s="19"/>
    </row>
    <row r="4" spans="1:13" x14ac:dyDescent="0.35">
      <c r="B4" s="11" t="s">
        <v>145</v>
      </c>
      <c r="C4" s="11"/>
      <c r="D4" s="11"/>
      <c r="E4" s="11"/>
      <c r="F4" s="11"/>
      <c r="G4" s="11"/>
      <c r="H4" s="116" t="s">
        <v>157</v>
      </c>
      <c r="J4" s="18" t="s">
        <v>12</v>
      </c>
      <c r="K4" s="18" t="s">
        <v>16</v>
      </c>
      <c r="L4" s="18" t="s">
        <v>509</v>
      </c>
    </row>
    <row r="5" spans="1:13" x14ac:dyDescent="0.35">
      <c r="B5" s="58" t="s">
        <v>518</v>
      </c>
      <c r="C5" s="58"/>
      <c r="D5" s="58"/>
      <c r="E5" s="58"/>
      <c r="F5" s="58"/>
      <c r="G5" s="58"/>
      <c r="H5" s="105">
        <v>7960000</v>
      </c>
      <c r="J5" s="16" t="s">
        <v>508</v>
      </c>
      <c r="K5" s="16" t="s">
        <v>82</v>
      </c>
      <c r="L5" s="17" t="s">
        <v>83</v>
      </c>
    </row>
    <row r="6" spans="1:13" x14ac:dyDescent="0.35">
      <c r="A6" s="38" t="s">
        <v>199</v>
      </c>
      <c r="B6" s="58" t="s">
        <v>93</v>
      </c>
      <c r="C6" s="58"/>
      <c r="D6" s="58"/>
      <c r="E6" s="58"/>
      <c r="F6" s="58"/>
      <c r="G6" s="58"/>
      <c r="H6" s="105">
        <v>387000</v>
      </c>
      <c r="J6" s="16" t="s">
        <v>517</v>
      </c>
      <c r="K6" s="16" t="s">
        <v>94</v>
      </c>
      <c r="L6" s="17" t="s">
        <v>95</v>
      </c>
    </row>
    <row r="7" spans="1:13" x14ac:dyDescent="0.35">
      <c r="B7" s="31" t="s">
        <v>97</v>
      </c>
      <c r="C7" s="31"/>
      <c r="D7" s="31"/>
      <c r="E7" s="31"/>
      <c r="F7" s="31"/>
      <c r="G7" s="31"/>
      <c r="H7" s="336">
        <f>H6/H5</f>
        <v>4.8618090452261307E-2</v>
      </c>
    </row>
    <row r="8" spans="1:13" x14ac:dyDescent="0.35">
      <c r="B8" s="58" t="s">
        <v>146</v>
      </c>
      <c r="C8" s="58"/>
      <c r="D8" s="58"/>
      <c r="E8" s="58"/>
      <c r="F8" s="58"/>
      <c r="G8" s="58"/>
      <c r="H8" s="155">
        <v>57</v>
      </c>
      <c r="J8" s="16" t="s">
        <v>517</v>
      </c>
      <c r="K8" s="16" t="s">
        <v>96</v>
      </c>
      <c r="L8" s="17" t="s">
        <v>95</v>
      </c>
    </row>
    <row r="9" spans="1:13" x14ac:dyDescent="0.35">
      <c r="B9" s="58" t="s">
        <v>147</v>
      </c>
      <c r="C9" s="58"/>
      <c r="D9" s="58"/>
      <c r="E9" s="58"/>
      <c r="F9" s="58"/>
      <c r="G9" s="58"/>
      <c r="H9" s="155">
        <f>H8*52</f>
        <v>2964</v>
      </c>
      <c r="K9" s="16"/>
    </row>
    <row r="10" spans="1:13" x14ac:dyDescent="0.35">
      <c r="B10" s="31" t="s">
        <v>135</v>
      </c>
      <c r="C10" s="31"/>
      <c r="D10" s="31"/>
      <c r="E10" s="31"/>
      <c r="F10" s="31"/>
      <c r="G10" s="31"/>
      <c r="H10" s="106">
        <f>'1. AVERTED PREGNANCIES'!F59</f>
        <v>73720.391047603742</v>
      </c>
    </row>
    <row r="11" spans="1:13" x14ac:dyDescent="0.35">
      <c r="B11" s="57" t="s">
        <v>530</v>
      </c>
      <c r="C11" s="57"/>
      <c r="D11" s="57"/>
      <c r="E11" s="57"/>
      <c r="F11" s="57"/>
      <c r="G11" s="57"/>
      <c r="H11" s="228">
        <f>H10*H7*H9</f>
        <v>10623404.713340795</v>
      </c>
    </row>
    <row r="12" spans="1:13" x14ac:dyDescent="0.35">
      <c r="A12" s="80"/>
    </row>
    <row r="13" spans="1:13" x14ac:dyDescent="0.35">
      <c r="A13" s="80"/>
      <c r="B13" s="79"/>
    </row>
    <row r="14" spans="1:13" x14ac:dyDescent="0.35">
      <c r="B14" s="510" t="s">
        <v>239</v>
      </c>
      <c r="C14" s="510"/>
      <c r="D14" s="510"/>
      <c r="E14" s="510"/>
      <c r="F14" s="510"/>
      <c r="G14" s="510"/>
      <c r="H14" s="510"/>
      <c r="I14" s="510"/>
      <c r="J14" s="510"/>
      <c r="K14" s="510"/>
      <c r="L14" s="510"/>
      <c r="M14" s="510"/>
    </row>
    <row r="15" spans="1:13" x14ac:dyDescent="0.35">
      <c r="B15" s="58" t="s">
        <v>240</v>
      </c>
      <c r="C15" s="58">
        <v>0</v>
      </c>
      <c r="D15" s="58">
        <v>1</v>
      </c>
      <c r="E15" s="29">
        <v>2</v>
      </c>
      <c r="F15" s="29">
        <v>3</v>
      </c>
      <c r="G15" s="29">
        <v>4</v>
      </c>
      <c r="H15" s="29">
        <v>5</v>
      </c>
      <c r="I15" s="29">
        <v>6</v>
      </c>
      <c r="J15" s="29">
        <v>7</v>
      </c>
      <c r="K15" s="29">
        <v>8</v>
      </c>
      <c r="L15" s="29">
        <v>9</v>
      </c>
      <c r="M15" s="29">
        <v>10</v>
      </c>
    </row>
    <row r="16" spans="1:13" x14ac:dyDescent="0.35">
      <c r="B16" s="29" t="s">
        <v>470</v>
      </c>
      <c r="C16" s="307">
        <v>0</v>
      </c>
      <c r="D16" s="202">
        <f>$H$11/1.035^D15</f>
        <v>10264159.14332444</v>
      </c>
      <c r="E16" s="202">
        <f>$H$11/1.035^E15</f>
        <v>9917061.974226512</v>
      </c>
      <c r="F16" s="202">
        <f>$H$11/1.035^F15</f>
        <v>9581702.3905570172</v>
      </c>
      <c r="G16" s="202">
        <f>$H$11/1.035^G15</f>
        <v>9257683.469137216</v>
      </c>
      <c r="H16" s="202">
        <f>$H$11/1.035^H15</f>
        <v>8944621.7093113214</v>
      </c>
      <c r="I16" s="254">
        <f t="shared" ref="I16:M16" si="0">$E$26/1.035^I15</f>
        <v>0</v>
      </c>
      <c r="J16" s="254">
        <f t="shared" si="0"/>
        <v>0</v>
      </c>
      <c r="K16" s="254">
        <f t="shared" si="0"/>
        <v>0</v>
      </c>
      <c r="L16" s="254">
        <f t="shared" si="0"/>
        <v>0</v>
      </c>
      <c r="M16" s="254">
        <f t="shared" si="0"/>
        <v>0</v>
      </c>
    </row>
    <row r="17" spans="1:13" x14ac:dyDescent="0.35">
      <c r="A17" s="80"/>
      <c r="B17" s="58" t="s">
        <v>437</v>
      </c>
      <c r="C17" s="58">
        <v>0</v>
      </c>
      <c r="D17" s="200">
        <f>D16</f>
        <v>10264159.14332444</v>
      </c>
      <c r="E17" s="200">
        <f>D17+E16</f>
        <v>20181221.117550954</v>
      </c>
      <c r="F17" s="200">
        <f t="shared" ref="F17:M17" si="1">E17+F16</f>
        <v>29762923.508107971</v>
      </c>
      <c r="G17" s="200">
        <f t="shared" si="1"/>
        <v>39020606.977245189</v>
      </c>
      <c r="H17" s="200">
        <f t="shared" si="1"/>
        <v>47965228.686556511</v>
      </c>
      <c r="I17" s="200">
        <f>H17+I16</f>
        <v>47965228.686556511</v>
      </c>
      <c r="J17" s="200">
        <f t="shared" si="1"/>
        <v>47965228.686556511</v>
      </c>
      <c r="K17" s="200">
        <f t="shared" si="1"/>
        <v>47965228.686556511</v>
      </c>
      <c r="L17" s="200">
        <f t="shared" si="1"/>
        <v>47965228.686556511</v>
      </c>
      <c r="M17" s="200">
        <f t="shared" si="1"/>
        <v>47965228.686556511</v>
      </c>
    </row>
    <row r="18" spans="1:13" x14ac:dyDescent="0.35">
      <c r="A18" s="80"/>
      <c r="B18" s="81"/>
    </row>
    <row r="19" spans="1:13" x14ac:dyDescent="0.35">
      <c r="A19" s="82"/>
      <c r="B19" s="83"/>
    </row>
    <row r="20" spans="1:13" x14ac:dyDescent="0.35">
      <c r="A20" s="84"/>
      <c r="B20" s="83"/>
      <c r="I20" s="260"/>
      <c r="J20" s="260"/>
      <c r="K20" s="260"/>
      <c r="L20" s="399" t="s">
        <v>636</v>
      </c>
      <c r="M20" s="419">
        <f>M17/'1. AVERTED PREGNANCIES'!F58</f>
        <v>234.22939137707704</v>
      </c>
    </row>
    <row r="21" spans="1:13" x14ac:dyDescent="0.35">
      <c r="A21" s="80"/>
      <c r="B21" s="85"/>
      <c r="I21" s="260"/>
      <c r="J21" s="260"/>
      <c r="K21" s="260"/>
      <c r="L21" s="399" t="s">
        <v>637</v>
      </c>
      <c r="M21" s="419">
        <f>M17/H10</f>
        <v>650.63719826965848</v>
      </c>
    </row>
    <row r="22" spans="1:13" x14ac:dyDescent="0.35">
      <c r="A22" s="80"/>
      <c r="B22" s="85"/>
    </row>
    <row r="23" spans="1:13" x14ac:dyDescent="0.35">
      <c r="A23" s="86"/>
      <c r="B23" s="87"/>
    </row>
  </sheetData>
  <mergeCells count="1">
    <mergeCell ref="B14:M14"/>
  </mergeCells>
  <hyperlinks>
    <hyperlink ref="L5" r:id="rId1" xr:uid="{00000000-0004-0000-0A00-000000000000}"/>
    <hyperlink ref="L8" r:id="rId2" xr:uid="{00000000-0004-0000-0A00-000001000000}"/>
    <hyperlink ref="L6" r:id="rId3" xr:uid="{00000000-0004-0000-0A00-000002000000}"/>
  </hyperlinks>
  <pageMargins left="0.7" right="0.7" top="0.75" bottom="0.75" header="0.3" footer="0.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499984740745262"/>
  </sheetPr>
  <dimension ref="A1:O24"/>
  <sheetViews>
    <sheetView workbookViewId="0"/>
  </sheetViews>
  <sheetFormatPr defaultRowHeight="14.5" x14ac:dyDescent="0.35"/>
  <cols>
    <col min="8" max="9" width="9.1796875" style="38"/>
    <col min="10" max="10" width="9.1796875" customWidth="1"/>
    <col min="12" max="12" width="9.1796875" customWidth="1"/>
    <col min="14" max="14" width="9.1796875" customWidth="1"/>
  </cols>
  <sheetData>
    <row r="1" spans="1:15" s="164" customFormat="1" ht="30" customHeight="1" x14ac:dyDescent="0.5">
      <c r="A1" s="19" t="s">
        <v>722</v>
      </c>
      <c r="B1" s="19"/>
      <c r="C1" s="19"/>
      <c r="D1" s="19"/>
      <c r="E1" s="19"/>
      <c r="F1" s="19"/>
      <c r="G1" s="19"/>
      <c r="H1" s="19"/>
      <c r="I1" s="19"/>
      <c r="J1" s="19"/>
      <c r="K1" s="19"/>
      <c r="L1" s="19"/>
      <c r="M1" s="19"/>
      <c r="N1" s="19"/>
      <c r="O1" s="19"/>
    </row>
    <row r="3" spans="1:15" s="38" customFormat="1" x14ac:dyDescent="0.35"/>
    <row r="4" spans="1:15" x14ac:dyDescent="0.35">
      <c r="B4" s="11" t="s">
        <v>492</v>
      </c>
      <c r="C4" s="11"/>
      <c r="D4" s="11"/>
      <c r="E4" s="11"/>
      <c r="F4" s="11"/>
      <c r="G4" s="11"/>
      <c r="H4" s="11"/>
      <c r="I4" s="11"/>
      <c r="J4" s="116" t="s">
        <v>157</v>
      </c>
      <c r="L4" s="18" t="s">
        <v>12</v>
      </c>
      <c r="M4" s="18" t="s">
        <v>16</v>
      </c>
      <c r="N4" s="18" t="s">
        <v>509</v>
      </c>
    </row>
    <row r="5" spans="1:15" x14ac:dyDescent="0.35">
      <c r="B5" s="316" t="s">
        <v>505</v>
      </c>
      <c r="C5" s="316"/>
      <c r="D5" s="316"/>
      <c r="E5" s="316"/>
      <c r="F5" s="316"/>
      <c r="G5" s="316"/>
      <c r="H5" s="316"/>
      <c r="I5" s="316"/>
      <c r="J5" s="329">
        <v>387440</v>
      </c>
      <c r="L5" s="16" t="s">
        <v>507</v>
      </c>
      <c r="M5" s="16" t="s">
        <v>493</v>
      </c>
      <c r="N5" s="17" t="s">
        <v>491</v>
      </c>
    </row>
    <row r="6" spans="1:15" x14ac:dyDescent="0.35">
      <c r="B6" s="29" t="s">
        <v>506</v>
      </c>
      <c r="C6" s="29"/>
      <c r="D6" s="29"/>
      <c r="E6" s="29"/>
      <c r="F6" s="29"/>
      <c r="G6" s="29"/>
      <c r="H6" s="29"/>
      <c r="I6" s="29"/>
      <c r="J6" s="112">
        <v>1781000</v>
      </c>
      <c r="L6" s="16" t="s">
        <v>508</v>
      </c>
      <c r="M6" s="16" t="s">
        <v>498</v>
      </c>
      <c r="N6" s="17" t="s">
        <v>83</v>
      </c>
    </row>
    <row r="7" spans="1:15" x14ac:dyDescent="0.35">
      <c r="B7" s="31" t="s">
        <v>495</v>
      </c>
      <c r="C7" s="31"/>
      <c r="D7" s="31"/>
      <c r="E7" s="31"/>
      <c r="F7" s="31"/>
      <c r="G7" s="31"/>
      <c r="H7" s="31"/>
      <c r="I7" s="31"/>
      <c r="J7" s="323">
        <f>J5/J6</f>
        <v>0.21754070746771476</v>
      </c>
    </row>
    <row r="8" spans="1:15" s="38" customFormat="1" x14ac:dyDescent="0.35">
      <c r="B8" s="29" t="s">
        <v>135</v>
      </c>
      <c r="C8" s="29"/>
      <c r="D8" s="29"/>
      <c r="E8" s="29"/>
      <c r="F8" s="29"/>
      <c r="G8" s="29"/>
      <c r="H8" s="29"/>
      <c r="I8" s="29"/>
      <c r="J8" s="112">
        <f>'1. AVERTED PREGNANCIES'!F59</f>
        <v>73720.391047603742</v>
      </c>
    </row>
    <row r="9" spans="1:15" s="38" customFormat="1" x14ac:dyDescent="0.35">
      <c r="B9" s="31" t="s">
        <v>503</v>
      </c>
      <c r="C9" s="31"/>
      <c r="D9" s="31"/>
      <c r="E9" s="31"/>
      <c r="F9" s="31"/>
      <c r="G9" s="31"/>
      <c r="H9" s="31"/>
      <c r="I9" s="31"/>
      <c r="J9" s="330">
        <f>'1.1'!C37</f>
        <v>0.507421815577354</v>
      </c>
      <c r="L9" s="16" t="s">
        <v>508</v>
      </c>
      <c r="M9" s="16" t="s">
        <v>510</v>
      </c>
    </row>
    <row r="10" spans="1:15" s="38" customFormat="1" x14ac:dyDescent="0.35">
      <c r="B10" s="29" t="s">
        <v>512</v>
      </c>
      <c r="C10" s="29"/>
      <c r="D10" s="29"/>
      <c r="E10" s="29"/>
      <c r="F10" s="29"/>
      <c r="G10" s="29"/>
      <c r="H10" s="29"/>
      <c r="I10" s="29"/>
      <c r="J10" s="112">
        <v>3600000</v>
      </c>
      <c r="L10" s="16" t="s">
        <v>508</v>
      </c>
      <c r="M10" s="16" t="s">
        <v>511</v>
      </c>
      <c r="N10" s="17" t="s">
        <v>83</v>
      </c>
    </row>
    <row r="11" spans="1:15" s="38" customFormat="1" x14ac:dyDescent="0.35">
      <c r="B11" s="29" t="s">
        <v>513</v>
      </c>
      <c r="C11" s="29"/>
      <c r="D11" s="29"/>
      <c r="E11" s="29"/>
      <c r="F11" s="29"/>
      <c r="G11" s="29"/>
      <c r="H11" s="29"/>
      <c r="I11" s="29"/>
      <c r="J11" s="112">
        <v>972000</v>
      </c>
      <c r="L11" s="16" t="s">
        <v>508</v>
      </c>
      <c r="M11" s="16" t="s">
        <v>514</v>
      </c>
      <c r="N11" s="17" t="s">
        <v>83</v>
      </c>
    </row>
    <row r="12" spans="1:15" s="38" customFormat="1" x14ac:dyDescent="0.35">
      <c r="B12" s="31" t="s">
        <v>504</v>
      </c>
      <c r="C12" s="31"/>
      <c r="D12" s="31"/>
      <c r="E12" s="31"/>
      <c r="F12" s="31"/>
      <c r="G12" s="31"/>
      <c r="H12" s="31"/>
      <c r="I12" s="31"/>
      <c r="J12" s="330">
        <f>J11/J10</f>
        <v>0.27</v>
      </c>
      <c r="L12" s="16"/>
    </row>
    <row r="13" spans="1:15" s="38" customFormat="1" ht="15" thickBot="1" x14ac:dyDescent="0.4">
      <c r="B13" s="331" t="s">
        <v>494</v>
      </c>
      <c r="C13" s="331"/>
      <c r="D13" s="331"/>
      <c r="E13" s="331"/>
      <c r="F13" s="331"/>
      <c r="G13" s="331"/>
      <c r="H13" s="331"/>
      <c r="I13" s="331"/>
      <c r="J13" s="332">
        <v>71.33</v>
      </c>
      <c r="L13" s="16" t="s">
        <v>507</v>
      </c>
      <c r="M13" s="16" t="s">
        <v>496</v>
      </c>
      <c r="N13" s="17" t="s">
        <v>491</v>
      </c>
    </row>
    <row r="14" spans="1:15" x14ac:dyDescent="0.35">
      <c r="B14" s="57" t="s">
        <v>531</v>
      </c>
      <c r="C14" s="57"/>
      <c r="D14" s="57"/>
      <c r="E14" s="57"/>
      <c r="F14" s="57"/>
      <c r="G14" s="57"/>
      <c r="H14" s="57"/>
      <c r="I14" s="57"/>
      <c r="J14" s="261">
        <f>J8*(J13*52)*J7*J9*J12</f>
        <v>8149606.3876000764</v>
      </c>
      <c r="K14" s="327"/>
      <c r="L14" s="16" t="s">
        <v>515</v>
      </c>
      <c r="N14" s="327"/>
    </row>
    <row r="17" spans="2:14" x14ac:dyDescent="0.35">
      <c r="B17" s="510" t="s">
        <v>239</v>
      </c>
      <c r="C17" s="510"/>
      <c r="D17" s="510"/>
      <c r="E17" s="510"/>
      <c r="F17" s="510"/>
      <c r="G17" s="510"/>
      <c r="H17" s="510"/>
      <c r="I17" s="510"/>
      <c r="J17" s="510"/>
      <c r="K17" s="510"/>
      <c r="L17" s="510"/>
      <c r="M17" s="510"/>
      <c r="N17" s="510"/>
    </row>
    <row r="18" spans="2:14" x14ac:dyDescent="0.35">
      <c r="B18" s="58" t="s">
        <v>240</v>
      </c>
      <c r="C18" s="58"/>
      <c r="D18" s="58">
        <v>0</v>
      </c>
      <c r="E18" s="58">
        <v>1</v>
      </c>
      <c r="F18" s="29">
        <v>2</v>
      </c>
      <c r="G18" s="29">
        <v>3</v>
      </c>
      <c r="H18" s="29">
        <v>4</v>
      </c>
      <c r="I18" s="29">
        <v>5</v>
      </c>
      <c r="J18" s="29">
        <v>6</v>
      </c>
      <c r="K18" s="29">
        <v>7</v>
      </c>
      <c r="L18" s="29">
        <v>8</v>
      </c>
      <c r="M18" s="29">
        <v>9</v>
      </c>
      <c r="N18" s="29">
        <v>10</v>
      </c>
    </row>
    <row r="19" spans="2:14" x14ac:dyDescent="0.35">
      <c r="B19" s="29" t="s">
        <v>497</v>
      </c>
      <c r="C19" s="29"/>
      <c r="D19" s="307">
        <v>0</v>
      </c>
      <c r="E19" s="260">
        <f>$J$14/1.035^E18</f>
        <v>7874015.8334300257</v>
      </c>
      <c r="F19" s="260">
        <f>$J$14/1.035^F18</f>
        <v>7607744.7665990591</v>
      </c>
      <c r="G19" s="260">
        <f>$J$14/1.035^G18</f>
        <v>7350478.035361411</v>
      </c>
      <c r="H19" s="260">
        <f>$J$14/1.035^H18</f>
        <v>7101911.1452767262</v>
      </c>
      <c r="I19" s="260">
        <f>$J$14/1.035^I18</f>
        <v>6861749.8988180934</v>
      </c>
      <c r="J19" s="260">
        <v>0</v>
      </c>
      <c r="K19" s="260">
        <v>0</v>
      </c>
      <c r="L19" s="260">
        <v>0</v>
      </c>
      <c r="M19" s="260">
        <v>0</v>
      </c>
      <c r="N19" s="260">
        <v>0</v>
      </c>
    </row>
    <row r="20" spans="2:14" x14ac:dyDescent="0.35">
      <c r="B20" s="58" t="s">
        <v>437</v>
      </c>
      <c r="C20" s="58"/>
      <c r="D20" s="58">
        <v>0</v>
      </c>
      <c r="E20" s="262">
        <f>E19</f>
        <v>7874015.8334300257</v>
      </c>
      <c r="F20" s="262">
        <f>E20+F19</f>
        <v>15481760.600029085</v>
      </c>
      <c r="G20" s="262">
        <f t="shared" ref="G20:N20" si="0">F20+G19</f>
        <v>22832238.635390498</v>
      </c>
      <c r="H20" s="262">
        <f t="shared" si="0"/>
        <v>29934149.780667223</v>
      </c>
      <c r="I20" s="262">
        <f t="shared" si="0"/>
        <v>36795899.679485314</v>
      </c>
      <c r="J20" s="262">
        <f t="shared" si="0"/>
        <v>36795899.679485314</v>
      </c>
      <c r="K20" s="262">
        <f t="shared" si="0"/>
        <v>36795899.679485314</v>
      </c>
      <c r="L20" s="262">
        <f t="shared" si="0"/>
        <v>36795899.679485314</v>
      </c>
      <c r="M20" s="262">
        <f t="shared" si="0"/>
        <v>36795899.679485314</v>
      </c>
      <c r="N20" s="262">
        <f t="shared" si="0"/>
        <v>36795899.679485314</v>
      </c>
    </row>
    <row r="23" spans="2:14" x14ac:dyDescent="0.35">
      <c r="J23" s="260"/>
      <c r="K23" s="260"/>
      <c r="L23" s="260"/>
      <c r="M23" s="399" t="s">
        <v>636</v>
      </c>
      <c r="N23" s="419">
        <f>N20/'1. AVERTED PREGNANCIES'!F58</f>
        <v>179.68602304430243</v>
      </c>
    </row>
    <row r="24" spans="2:14" x14ac:dyDescent="0.35">
      <c r="J24" s="260"/>
      <c r="K24" s="260"/>
      <c r="L24" s="260"/>
      <c r="M24" s="399" t="s">
        <v>637</v>
      </c>
      <c r="N24" s="419">
        <f>N20/J8</f>
        <v>499.12784178972896</v>
      </c>
    </row>
  </sheetData>
  <mergeCells count="1">
    <mergeCell ref="B17:N17"/>
  </mergeCells>
  <hyperlinks>
    <hyperlink ref="N5" r:id="rId1" xr:uid="{00000000-0004-0000-0B00-000000000000}"/>
    <hyperlink ref="N6" r:id="rId2" xr:uid="{00000000-0004-0000-0B00-000001000000}"/>
    <hyperlink ref="N13" r:id="rId3" xr:uid="{00000000-0004-0000-0B00-000002000000}"/>
    <hyperlink ref="N10" r:id="rId4" xr:uid="{00000000-0004-0000-0B00-000003000000}"/>
    <hyperlink ref="N11" r:id="rId5" xr:uid="{00000000-0004-0000-0B00-000004000000}"/>
  </hyperlinks>
  <pageMargins left="0.7" right="0.7" top="0.75" bottom="0.75" header="0.3" footer="0.3"/>
  <pageSetup paperSize="9" orientation="portrait" r:id="rId6"/>
  <legacy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499984740745262"/>
  </sheetPr>
  <dimension ref="A1:P23"/>
  <sheetViews>
    <sheetView workbookViewId="0"/>
  </sheetViews>
  <sheetFormatPr defaultColWidth="9.1796875" defaultRowHeight="14.5" x14ac:dyDescent="0.35"/>
  <cols>
    <col min="1" max="1" width="9.1796875" style="38"/>
    <col min="2" max="4" width="9.1796875" style="38" customWidth="1"/>
    <col min="5" max="8" width="9.1796875" style="38"/>
    <col min="9" max="12" width="9.1796875" style="38" customWidth="1"/>
    <col min="13" max="13" width="9.1796875" style="38"/>
    <col min="14" max="14" width="9.1796875" style="38" customWidth="1"/>
    <col min="15" max="16384" width="9.1796875" style="38"/>
  </cols>
  <sheetData>
    <row r="1" spans="1:16" s="164" customFormat="1" ht="30" customHeight="1" x14ac:dyDescent="0.5">
      <c r="A1" s="19" t="s">
        <v>723</v>
      </c>
      <c r="B1" s="19"/>
      <c r="C1" s="19"/>
      <c r="D1" s="19"/>
      <c r="E1" s="19"/>
      <c r="F1" s="19"/>
      <c r="G1" s="19"/>
      <c r="H1" s="19"/>
      <c r="I1" s="19"/>
      <c r="J1" s="19"/>
      <c r="K1" s="19"/>
      <c r="L1" s="19"/>
      <c r="M1" s="19"/>
    </row>
    <row r="4" spans="1:16" x14ac:dyDescent="0.35">
      <c r="B4" s="11" t="s">
        <v>185</v>
      </c>
      <c r="C4" s="11"/>
      <c r="D4" s="11"/>
      <c r="E4" s="11"/>
      <c r="F4" s="11"/>
      <c r="G4" s="11"/>
      <c r="H4" s="11"/>
      <c r="I4" s="11"/>
      <c r="J4" s="11"/>
      <c r="K4" s="11"/>
      <c r="L4" s="11"/>
      <c r="N4" s="18" t="s">
        <v>12</v>
      </c>
      <c r="O4" s="18" t="s">
        <v>16</v>
      </c>
      <c r="P4" s="18" t="s">
        <v>509</v>
      </c>
    </row>
    <row r="5" spans="1:16" x14ac:dyDescent="0.35">
      <c r="B5" s="29" t="s">
        <v>500</v>
      </c>
      <c r="C5" s="29"/>
      <c r="D5" s="58"/>
      <c r="E5" s="29"/>
      <c r="F5" s="29"/>
      <c r="G5" s="58"/>
      <c r="H5" s="58"/>
      <c r="I5" s="58"/>
      <c r="J5" s="58"/>
      <c r="K5" s="58"/>
      <c r="L5" s="112">
        <v>7983000</v>
      </c>
      <c r="N5" s="16" t="s">
        <v>508</v>
      </c>
      <c r="O5" s="16" t="s">
        <v>499</v>
      </c>
      <c r="P5" s="17" t="s">
        <v>83</v>
      </c>
    </row>
    <row r="6" spans="1:16" x14ac:dyDescent="0.35">
      <c r="B6" s="58" t="s">
        <v>501</v>
      </c>
      <c r="C6" s="58"/>
      <c r="D6" s="58"/>
      <c r="E6" s="58"/>
      <c r="F6" s="58"/>
      <c r="G6" s="58"/>
      <c r="H6" s="58"/>
      <c r="I6" s="58"/>
      <c r="J6" s="58"/>
      <c r="K6" s="58"/>
      <c r="L6" s="105">
        <v>1007387</v>
      </c>
      <c r="N6" s="16" t="s">
        <v>507</v>
      </c>
      <c r="O6" s="16" t="s">
        <v>203</v>
      </c>
      <c r="P6" s="17" t="s">
        <v>124</v>
      </c>
    </row>
    <row r="7" spans="1:16" x14ac:dyDescent="0.35">
      <c r="B7" s="58"/>
      <c r="C7" s="58"/>
      <c r="D7" s="199" t="s">
        <v>205</v>
      </c>
      <c r="E7" s="58"/>
      <c r="F7" s="58"/>
      <c r="G7" s="58"/>
      <c r="H7" s="58"/>
      <c r="I7" s="58"/>
      <c r="J7" s="58"/>
      <c r="K7" s="58"/>
      <c r="L7" s="59">
        <f>(L6/L5)</f>
        <v>0.12619153200551173</v>
      </c>
      <c r="O7" s="16"/>
      <c r="P7" s="17"/>
    </row>
    <row r="8" spans="1:16" x14ac:dyDescent="0.35">
      <c r="B8" s="58" t="s">
        <v>200</v>
      </c>
      <c r="C8" s="58"/>
      <c r="D8" s="58"/>
      <c r="E8" s="58"/>
      <c r="F8" s="58"/>
      <c r="G8" s="58"/>
      <c r="H8" s="58"/>
      <c r="I8" s="58"/>
      <c r="J8" s="58"/>
      <c r="K8" s="58"/>
      <c r="L8" s="198">
        <v>508329</v>
      </c>
      <c r="N8" s="16" t="s">
        <v>507</v>
      </c>
      <c r="O8" s="16" t="s">
        <v>204</v>
      </c>
      <c r="P8" s="17"/>
    </row>
    <row r="9" spans="1:16" x14ac:dyDescent="0.35">
      <c r="B9" s="31"/>
      <c r="C9" s="31"/>
      <c r="D9" s="188" t="s">
        <v>205</v>
      </c>
      <c r="E9" s="31"/>
      <c r="F9" s="31"/>
      <c r="G9" s="31"/>
      <c r="H9" s="31"/>
      <c r="I9" s="31"/>
      <c r="J9" s="31"/>
      <c r="K9" s="31"/>
      <c r="L9" s="335">
        <f>L8/L5</f>
        <v>6.3676437429537769E-2</v>
      </c>
      <c r="N9" s="16"/>
      <c r="O9" s="16"/>
      <c r="P9" s="17"/>
    </row>
    <row r="10" spans="1:16" x14ac:dyDescent="0.35">
      <c r="B10" s="58" t="s">
        <v>207</v>
      </c>
      <c r="C10" s="58"/>
      <c r="D10" s="58"/>
      <c r="E10" s="58"/>
      <c r="F10" s="58"/>
      <c r="G10" s="58"/>
      <c r="H10" s="58"/>
      <c r="I10" s="58"/>
      <c r="J10" s="58"/>
      <c r="K10" s="58"/>
      <c r="L10" s="197">
        <f>102.46-90.41</f>
        <v>12.049999999999997</v>
      </c>
      <c r="N10" s="16" t="s">
        <v>507</v>
      </c>
      <c r="O10" s="16" t="s">
        <v>202</v>
      </c>
      <c r="P10" s="17"/>
    </row>
    <row r="11" spans="1:16" x14ac:dyDescent="0.35">
      <c r="B11" s="58" t="s">
        <v>208</v>
      </c>
      <c r="C11" s="58"/>
      <c r="D11" s="58"/>
      <c r="E11" s="58"/>
      <c r="F11" s="58"/>
      <c r="G11" s="58"/>
      <c r="H11" s="58"/>
      <c r="I11" s="58"/>
      <c r="J11" s="58"/>
      <c r="K11" s="58"/>
      <c r="L11" s="197">
        <f>113.05-84.62</f>
        <v>28.429999999999993</v>
      </c>
      <c r="N11" s="16" t="s">
        <v>507</v>
      </c>
      <c r="O11" s="16" t="s">
        <v>201</v>
      </c>
      <c r="P11" s="17"/>
    </row>
    <row r="12" spans="1:16" ht="15" thickBot="1" x14ac:dyDescent="0.4">
      <c r="B12" s="68" t="s">
        <v>135</v>
      </c>
      <c r="C12" s="68"/>
      <c r="D12" s="68"/>
      <c r="E12" s="68"/>
      <c r="F12" s="68"/>
      <c r="G12" s="68"/>
      <c r="H12" s="68"/>
      <c r="I12" s="68"/>
      <c r="J12" s="68"/>
      <c r="K12" s="68"/>
      <c r="L12" s="333">
        <f>'1. AVERTED PREGNANCIES'!F59</f>
        <v>73720.391047603742</v>
      </c>
      <c r="N12" s="49"/>
    </row>
    <row r="13" spans="1:16" x14ac:dyDescent="0.35">
      <c r="B13" s="57" t="s">
        <v>206</v>
      </c>
      <c r="C13" s="57"/>
      <c r="D13" s="57"/>
      <c r="E13" s="57"/>
      <c r="F13" s="57"/>
      <c r="G13" s="57"/>
      <c r="H13" s="57"/>
      <c r="I13" s="57"/>
      <c r="J13" s="57"/>
      <c r="K13" s="57"/>
      <c r="L13" s="228">
        <f>L12*L7*(L10*52) + L12*L9*(L11*52)</f>
        <v>12768984.492818212</v>
      </c>
    </row>
    <row r="16" spans="1:16" x14ac:dyDescent="0.35">
      <c r="B16" s="510" t="s">
        <v>239</v>
      </c>
      <c r="C16" s="510"/>
      <c r="D16" s="510"/>
      <c r="E16" s="510"/>
      <c r="F16" s="510"/>
      <c r="G16" s="510"/>
      <c r="H16" s="510"/>
      <c r="I16" s="510"/>
      <c r="J16" s="510"/>
      <c r="K16" s="510"/>
      <c r="L16" s="510"/>
      <c r="M16" s="510"/>
      <c r="N16" s="510"/>
    </row>
    <row r="17" spans="2:14" x14ac:dyDescent="0.35">
      <c r="B17" s="58" t="s">
        <v>240</v>
      </c>
      <c r="C17" s="58"/>
      <c r="D17" s="58">
        <v>0</v>
      </c>
      <c r="E17" s="58">
        <v>1</v>
      </c>
      <c r="F17" s="29">
        <v>2</v>
      </c>
      <c r="G17" s="29">
        <v>3</v>
      </c>
      <c r="H17" s="29">
        <v>4</v>
      </c>
      <c r="I17" s="29">
        <v>5</v>
      </c>
      <c r="J17" s="29">
        <v>6</v>
      </c>
      <c r="K17" s="29">
        <v>7</v>
      </c>
      <c r="L17" s="29">
        <v>8</v>
      </c>
      <c r="M17" s="29">
        <v>9</v>
      </c>
      <c r="N17" s="29">
        <v>10</v>
      </c>
    </row>
    <row r="18" spans="2:14" x14ac:dyDescent="0.35">
      <c r="B18" s="29" t="s">
        <v>438</v>
      </c>
      <c r="C18" s="29"/>
      <c r="D18" s="307">
        <v>0</v>
      </c>
      <c r="E18" s="260">
        <f>$L$13/1.035^E17</f>
        <v>12337183.084848516</v>
      </c>
      <c r="F18" s="260">
        <f t="shared" ref="F18:N18" si="0">$L$13/1.035^F17</f>
        <v>11919983.656858468</v>
      </c>
      <c r="G18" s="260">
        <f t="shared" si="0"/>
        <v>11516892.422085479</v>
      </c>
      <c r="H18" s="260">
        <f t="shared" si="0"/>
        <v>11127432.291870028</v>
      </c>
      <c r="I18" s="260">
        <f t="shared" si="0"/>
        <v>10751142.310985535</v>
      </c>
      <c r="J18" s="260">
        <f t="shared" si="0"/>
        <v>10387577.112063318</v>
      </c>
      <c r="K18" s="260">
        <f t="shared" si="0"/>
        <v>10036306.388466977</v>
      </c>
      <c r="L18" s="260">
        <f t="shared" si="0"/>
        <v>9696914.3849922493</v>
      </c>
      <c r="M18" s="260">
        <f t="shared" si="0"/>
        <v>9368999.4057896137</v>
      </c>
      <c r="N18" s="260">
        <f t="shared" si="0"/>
        <v>9052173.3389271647</v>
      </c>
    </row>
    <row r="19" spans="2:14" x14ac:dyDescent="0.35">
      <c r="B19" s="58" t="s">
        <v>437</v>
      </c>
      <c r="C19" s="58"/>
      <c r="D19" s="58">
        <v>0</v>
      </c>
      <c r="E19" s="262">
        <f>E18</f>
        <v>12337183.084848516</v>
      </c>
      <c r="F19" s="262">
        <f>E19+F18</f>
        <v>24257166.741706982</v>
      </c>
      <c r="G19" s="262">
        <f t="shared" ref="G19:N19" si="1">F19+G18</f>
        <v>35774059.163792461</v>
      </c>
      <c r="H19" s="262">
        <f t="shared" si="1"/>
        <v>46901491.455662489</v>
      </c>
      <c r="I19" s="262">
        <f t="shared" si="1"/>
        <v>57652633.766648024</v>
      </c>
      <c r="J19" s="262">
        <f t="shared" si="1"/>
        <v>68040210.878711343</v>
      </c>
      <c r="K19" s="262">
        <f t="shared" si="1"/>
        <v>78076517.267178327</v>
      </c>
      <c r="L19" s="262">
        <f t="shared" si="1"/>
        <v>87773431.652170569</v>
      </c>
      <c r="M19" s="262">
        <f t="shared" si="1"/>
        <v>97142431.057960182</v>
      </c>
      <c r="N19" s="262">
        <f t="shared" si="1"/>
        <v>106194604.39688735</v>
      </c>
    </row>
    <row r="22" spans="2:14" x14ac:dyDescent="0.35">
      <c r="J22" s="260"/>
      <c r="K22" s="260"/>
      <c r="L22" s="260"/>
      <c r="M22" s="399" t="s">
        <v>636</v>
      </c>
      <c r="N22" s="419">
        <f>N19/'1. AVERTED PREGNANCIES'!F58</f>
        <v>518.58186099681711</v>
      </c>
    </row>
    <row r="23" spans="2:14" x14ac:dyDescent="0.35">
      <c r="J23" s="58"/>
      <c r="K23" s="58"/>
      <c r="L23" s="58"/>
      <c r="M23" s="399" t="s">
        <v>637</v>
      </c>
      <c r="N23" s="419">
        <f>N19/L12</f>
        <v>1440.5051694356032</v>
      </c>
    </row>
  </sheetData>
  <mergeCells count="1">
    <mergeCell ref="B16:N16"/>
  </mergeCells>
  <hyperlinks>
    <hyperlink ref="P6" r:id="rId1" xr:uid="{00000000-0004-0000-0C00-000000000000}"/>
    <hyperlink ref="P5" r:id="rId2" xr:uid="{00000000-0004-0000-0C00-000001000000}"/>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499984740745262"/>
  </sheetPr>
  <dimension ref="A1:O49"/>
  <sheetViews>
    <sheetView workbookViewId="0"/>
  </sheetViews>
  <sheetFormatPr defaultColWidth="9.1796875" defaultRowHeight="14.5" x14ac:dyDescent="0.35"/>
  <cols>
    <col min="1" max="1" width="9.1796875" style="38"/>
    <col min="2" max="2" width="9.1796875" style="38" customWidth="1"/>
    <col min="3" max="3" width="9.1796875" style="38"/>
    <col min="4" max="8" width="9.1796875" style="38" customWidth="1"/>
    <col min="9" max="9" width="11" style="38" customWidth="1"/>
    <col min="10" max="10" width="12.1796875" style="38" customWidth="1"/>
    <col min="11" max="11" width="9.1796875" style="38" customWidth="1"/>
    <col min="12" max="12" width="13.7265625" style="38" customWidth="1"/>
    <col min="13" max="13" width="9.1796875" style="38" customWidth="1"/>
    <col min="14" max="14" width="19.26953125" style="38" customWidth="1"/>
    <col min="15" max="16384" width="9.1796875" style="38"/>
  </cols>
  <sheetData>
    <row r="1" spans="1:15" s="164" customFormat="1" ht="30" customHeight="1" x14ac:dyDescent="0.5">
      <c r="A1" s="19" t="s">
        <v>725</v>
      </c>
      <c r="B1" s="19"/>
      <c r="C1" s="19"/>
      <c r="D1" s="19"/>
      <c r="E1" s="19"/>
      <c r="F1" s="19"/>
      <c r="G1" s="19"/>
      <c r="H1" s="19"/>
      <c r="I1" s="19"/>
      <c r="J1" s="19"/>
      <c r="K1" s="19"/>
      <c r="L1" s="19"/>
      <c r="M1" s="19"/>
      <c r="N1" s="19"/>
    </row>
    <row r="4" spans="1:15" ht="15" customHeight="1" x14ac:dyDescent="0.35">
      <c r="B4" s="11" t="s">
        <v>454</v>
      </c>
      <c r="C4" s="11"/>
      <c r="D4" s="11"/>
      <c r="E4" s="11"/>
      <c r="F4" s="11"/>
      <c r="G4" s="11"/>
      <c r="H4" s="515" t="s">
        <v>166</v>
      </c>
      <c r="I4" s="515" t="s">
        <v>165</v>
      </c>
      <c r="J4" s="515" t="s">
        <v>455</v>
      </c>
      <c r="K4" s="515" t="s">
        <v>456</v>
      </c>
      <c r="L4" s="101"/>
      <c r="M4" s="101"/>
      <c r="N4" s="156"/>
      <c r="O4" s="156"/>
    </row>
    <row r="5" spans="1:15" x14ac:dyDescent="0.35">
      <c r="B5" s="11"/>
      <c r="C5" s="11"/>
      <c r="D5" s="11"/>
      <c r="E5" s="11"/>
      <c r="F5" s="11"/>
      <c r="G5" s="11"/>
      <c r="H5" s="515"/>
      <c r="I5" s="515"/>
      <c r="J5" s="515"/>
      <c r="K5" s="515"/>
      <c r="L5" s="101"/>
      <c r="M5" s="18" t="s">
        <v>12</v>
      </c>
      <c r="N5" s="18" t="s">
        <v>16</v>
      </c>
      <c r="O5" s="18" t="s">
        <v>509</v>
      </c>
    </row>
    <row r="6" spans="1:15" x14ac:dyDescent="0.35">
      <c r="B6" s="29" t="s">
        <v>111</v>
      </c>
      <c r="C6" s="29"/>
      <c r="D6" s="29"/>
      <c r="E6" s="29"/>
      <c r="F6" s="29"/>
      <c r="G6" s="29"/>
      <c r="H6" s="112">
        <v>15000</v>
      </c>
      <c r="I6" s="29"/>
      <c r="J6" s="29"/>
      <c r="K6" s="29"/>
      <c r="M6" s="16" t="s">
        <v>507</v>
      </c>
      <c r="N6" s="16" t="s">
        <v>112</v>
      </c>
      <c r="O6" s="17" t="s">
        <v>113</v>
      </c>
    </row>
    <row r="7" spans="1:15" x14ac:dyDescent="0.35">
      <c r="B7" s="29"/>
      <c r="C7" s="187" t="s">
        <v>194</v>
      </c>
      <c r="D7" s="29"/>
      <c r="E7" s="29"/>
      <c r="F7" s="29"/>
      <c r="G7" s="29"/>
      <c r="H7" s="112">
        <v>10300</v>
      </c>
      <c r="I7" s="157">
        <f>H7/H6</f>
        <v>0.68666666666666665</v>
      </c>
      <c r="J7" s="158">
        <v>140.97999999999999</v>
      </c>
      <c r="K7" s="158">
        <f>J7*K9</f>
        <v>5455.9260000000004</v>
      </c>
      <c r="M7" s="16" t="s">
        <v>507</v>
      </c>
      <c r="N7" s="16" t="s">
        <v>114</v>
      </c>
    </row>
    <row r="8" spans="1:15" x14ac:dyDescent="0.35">
      <c r="B8" s="31"/>
      <c r="C8" s="188" t="s">
        <v>195</v>
      </c>
      <c r="D8" s="31"/>
      <c r="E8" s="31"/>
      <c r="F8" s="31"/>
      <c r="G8" s="31"/>
      <c r="H8" s="106">
        <v>4800</v>
      </c>
      <c r="I8" s="118">
        <f>H8/H6</f>
        <v>0.32</v>
      </c>
      <c r="J8" s="159">
        <v>78</v>
      </c>
      <c r="K8" s="159">
        <f>J8*K9</f>
        <v>3018.6000000000004</v>
      </c>
      <c r="M8" s="16" t="s">
        <v>507</v>
      </c>
      <c r="N8" s="16" t="s">
        <v>115</v>
      </c>
    </row>
    <row r="9" spans="1:15" x14ac:dyDescent="0.35">
      <c r="B9" s="328" t="s">
        <v>585</v>
      </c>
      <c r="C9" s="328"/>
      <c r="D9" s="328"/>
      <c r="E9" s="328"/>
      <c r="F9" s="328"/>
      <c r="G9" s="328"/>
      <c r="H9" s="328"/>
      <c r="I9" s="328"/>
      <c r="J9" s="384"/>
      <c r="K9" s="385">
        <v>38.700000000000003</v>
      </c>
      <c r="M9" s="16" t="s">
        <v>507</v>
      </c>
      <c r="N9" s="16" t="s">
        <v>116</v>
      </c>
    </row>
    <row r="10" spans="1:15" x14ac:dyDescent="0.35">
      <c r="B10" s="58" t="s">
        <v>117</v>
      </c>
      <c r="C10" s="58"/>
      <c r="D10" s="58"/>
      <c r="E10" s="58"/>
      <c r="F10" s="58"/>
      <c r="G10" s="58"/>
      <c r="H10" s="58"/>
      <c r="I10" s="58"/>
      <c r="J10" s="58"/>
      <c r="K10" s="105">
        <v>663157</v>
      </c>
      <c r="M10" s="16" t="s">
        <v>508</v>
      </c>
      <c r="N10" s="50" t="s">
        <v>586</v>
      </c>
      <c r="O10" s="17" t="s">
        <v>119</v>
      </c>
    </row>
    <row r="11" spans="1:15" x14ac:dyDescent="0.35">
      <c r="B11" s="58" t="s">
        <v>167</v>
      </c>
      <c r="C11" s="58"/>
      <c r="D11" s="58"/>
      <c r="E11" s="58"/>
      <c r="F11" s="58"/>
      <c r="G11" s="58"/>
      <c r="H11" s="58"/>
      <c r="I11" s="58"/>
      <c r="J11" s="58"/>
      <c r="K11" s="114">
        <f>H6*4/K10</f>
        <v>9.0476312547405818E-2</v>
      </c>
      <c r="N11" s="16"/>
    </row>
    <row r="12" spans="1:15" x14ac:dyDescent="0.35">
      <c r="B12" s="58"/>
      <c r="C12" s="187" t="s">
        <v>194</v>
      </c>
      <c r="D12" s="58"/>
      <c r="E12" s="58"/>
      <c r="F12" s="58"/>
      <c r="G12" s="58"/>
      <c r="H12" s="58"/>
      <c r="I12" s="58"/>
      <c r="J12" s="58"/>
      <c r="K12" s="114">
        <f>K11*I7</f>
        <v>6.2127067949218663E-2</v>
      </c>
      <c r="N12" s="16"/>
    </row>
    <row r="13" spans="1:15" x14ac:dyDescent="0.35">
      <c r="B13" s="58"/>
      <c r="C13" s="187" t="s">
        <v>195</v>
      </c>
      <c r="D13" s="58"/>
      <c r="E13" s="58"/>
      <c r="F13" s="58"/>
      <c r="G13" s="58"/>
      <c r="H13" s="58"/>
      <c r="I13" s="58"/>
      <c r="J13" s="58"/>
      <c r="K13" s="114">
        <f>K11*I8</f>
        <v>2.8952420015169861E-2</v>
      </c>
      <c r="N13" s="16"/>
    </row>
    <row r="14" spans="1:15" ht="15" thickBot="1" x14ac:dyDescent="0.4">
      <c r="B14" s="68" t="s">
        <v>135</v>
      </c>
      <c r="C14" s="68"/>
      <c r="D14" s="68"/>
      <c r="E14" s="68"/>
      <c r="F14" s="68"/>
      <c r="G14" s="68"/>
      <c r="H14" s="68"/>
      <c r="I14" s="68"/>
      <c r="J14" s="68"/>
      <c r="K14" s="333">
        <f>'1. AVERTED PREGNANCIES'!F59</f>
        <v>73720.391047603742</v>
      </c>
      <c r="M14" s="158">
        <f>K15/'1. AVERTED PREGNANCIES'!F58</f>
        <v>153.48832573885218</v>
      </c>
      <c r="N14" s="29" t="s">
        <v>675</v>
      </c>
    </row>
    <row r="15" spans="1:15" x14ac:dyDescent="0.35">
      <c r="B15" s="63" t="s">
        <v>120</v>
      </c>
      <c r="C15" s="63"/>
      <c r="D15" s="63"/>
      <c r="E15" s="63"/>
      <c r="F15" s="63"/>
      <c r="G15" s="63"/>
      <c r="H15" s="63"/>
      <c r="I15" s="63"/>
      <c r="J15" s="63"/>
      <c r="K15" s="250">
        <f>(K14*K12*K7)+(K14*K13*K8)</f>
        <v>31431164.985306021</v>
      </c>
      <c r="M15" s="158">
        <f>K15/K14</f>
        <v>426.35646038570059</v>
      </c>
      <c r="N15" s="29" t="s">
        <v>676</v>
      </c>
    </row>
    <row r="16" spans="1:15" x14ac:dyDescent="0.35">
      <c r="K16" s="56"/>
      <c r="N16" s="16"/>
    </row>
    <row r="17" spans="2:15" x14ac:dyDescent="0.35">
      <c r="O17" s="102"/>
    </row>
    <row r="18" spans="2:15" x14ac:dyDescent="0.35">
      <c r="B18" s="11" t="s">
        <v>457</v>
      </c>
      <c r="C18" s="185"/>
      <c r="D18" s="185"/>
      <c r="E18" s="185"/>
      <c r="F18" s="185"/>
      <c r="G18" s="185"/>
      <c r="H18" s="185"/>
      <c r="I18" s="185"/>
      <c r="J18" s="185"/>
      <c r="K18" s="186" t="s">
        <v>157</v>
      </c>
      <c r="L18" s="253"/>
      <c r="M18" s="253"/>
    </row>
    <row r="19" spans="2:15" x14ac:dyDescent="0.35">
      <c r="B19" s="58" t="s">
        <v>458</v>
      </c>
      <c r="C19" s="58"/>
      <c r="D19" s="58"/>
      <c r="E19" s="58"/>
      <c r="F19" s="58"/>
      <c r="G19" s="58"/>
      <c r="H19" s="58"/>
      <c r="I19" s="58"/>
      <c r="J19" s="58"/>
      <c r="K19" s="105">
        <v>54900</v>
      </c>
      <c r="L19" s="133"/>
      <c r="M19" s="16" t="s">
        <v>507</v>
      </c>
      <c r="N19" s="16" t="s">
        <v>460</v>
      </c>
      <c r="O19" s="17" t="s">
        <v>459</v>
      </c>
    </row>
    <row r="20" spans="2:15" x14ac:dyDescent="0.35">
      <c r="B20" s="58" t="s">
        <v>117</v>
      </c>
      <c r="C20" s="58"/>
      <c r="D20" s="58"/>
      <c r="E20" s="58"/>
      <c r="F20" s="58"/>
      <c r="G20" s="58"/>
      <c r="H20" s="58"/>
      <c r="I20" s="58"/>
      <c r="J20" s="58"/>
      <c r="K20" s="105">
        <v>663157</v>
      </c>
      <c r="L20" s="133"/>
      <c r="M20" s="16" t="s">
        <v>508</v>
      </c>
      <c r="N20" s="50" t="s">
        <v>586</v>
      </c>
      <c r="O20" s="17" t="s">
        <v>119</v>
      </c>
    </row>
    <row r="21" spans="2:15" x14ac:dyDescent="0.35">
      <c r="B21" s="31" t="s">
        <v>461</v>
      </c>
      <c r="C21" s="31"/>
      <c r="D21" s="31"/>
      <c r="E21" s="31"/>
      <c r="F21" s="31"/>
      <c r="G21" s="31"/>
      <c r="H21" s="31"/>
      <c r="I21" s="31"/>
      <c r="J21" s="31"/>
      <c r="K21" s="118">
        <f>K19/K20</f>
        <v>8.2785825980876318E-2</v>
      </c>
      <c r="L21" s="255"/>
      <c r="M21" s="255"/>
    </row>
    <row r="22" spans="2:15" x14ac:dyDescent="0.35">
      <c r="B22" s="58" t="s">
        <v>462</v>
      </c>
      <c r="C22" s="58"/>
      <c r="D22" s="58"/>
      <c r="E22" s="58"/>
      <c r="F22" s="58"/>
      <c r="G22" s="58"/>
      <c r="H22" s="58"/>
      <c r="I22" s="58"/>
      <c r="J22" s="58"/>
      <c r="K22" s="104">
        <v>500</v>
      </c>
      <c r="L22" s="253"/>
      <c r="M22" s="253"/>
      <c r="O22" s="17" t="s">
        <v>464</v>
      </c>
    </row>
    <row r="23" spans="2:15" ht="15" thickBot="1" x14ac:dyDescent="0.4">
      <c r="B23" s="68" t="s">
        <v>135</v>
      </c>
      <c r="C23" s="334"/>
      <c r="D23" s="68"/>
      <c r="E23" s="68"/>
      <c r="F23" s="68"/>
      <c r="G23" s="68"/>
      <c r="H23" s="68"/>
      <c r="I23" s="68"/>
      <c r="J23" s="68"/>
      <c r="K23" s="333">
        <f>'1. AVERTED PREGNANCIES'!F59</f>
        <v>73720.391047603742</v>
      </c>
      <c r="L23" s="252"/>
      <c r="M23" s="158">
        <f>K24/'1. AVERTED PREGNANCIES'!F58</f>
        <v>14.901448676557735</v>
      </c>
      <c r="N23" s="29" t="s">
        <v>675</v>
      </c>
    </row>
    <row r="24" spans="2:15" x14ac:dyDescent="0.35">
      <c r="B24" s="63" t="s">
        <v>463</v>
      </c>
      <c r="C24" s="63"/>
      <c r="D24" s="63"/>
      <c r="E24" s="63"/>
      <c r="F24" s="63"/>
      <c r="G24" s="63"/>
      <c r="H24" s="63"/>
      <c r="I24" s="63"/>
      <c r="J24" s="63"/>
      <c r="K24" s="250">
        <f>K23*K21*K22</f>
        <v>3051501.7322545378</v>
      </c>
      <c r="M24" s="158">
        <f>K24/K23</f>
        <v>41.392912990438155</v>
      </c>
      <c r="N24" s="29" t="s">
        <v>676</v>
      </c>
    </row>
    <row r="27" spans="2:15" x14ac:dyDescent="0.35">
      <c r="B27" s="11" t="s">
        <v>465</v>
      </c>
      <c r="C27" s="11"/>
      <c r="D27" s="11"/>
      <c r="E27" s="11"/>
      <c r="F27" s="11"/>
      <c r="G27" s="11"/>
      <c r="H27" s="11"/>
      <c r="I27" s="11"/>
      <c r="J27" s="11"/>
      <c r="K27" s="306">
        <f>K15+K24</f>
        <v>34482666.71756056</v>
      </c>
    </row>
    <row r="28" spans="2:15" x14ac:dyDescent="0.35">
      <c r="B28" s="38" t="s">
        <v>466</v>
      </c>
    </row>
    <row r="33" spans="2:3" x14ac:dyDescent="0.35">
      <c r="B33" s="402"/>
      <c r="C33" s="1"/>
    </row>
    <row r="34" spans="2:3" x14ac:dyDescent="0.35">
      <c r="B34" s="402"/>
      <c r="C34" s="1"/>
    </row>
    <row r="35" spans="2:3" x14ac:dyDescent="0.35">
      <c r="B35" s="402"/>
      <c r="C35" s="1"/>
    </row>
    <row r="36" spans="2:3" x14ac:dyDescent="0.35">
      <c r="B36" s="402"/>
      <c r="C36" s="1"/>
    </row>
    <row r="37" spans="2:3" x14ac:dyDescent="0.35">
      <c r="B37" s="402"/>
      <c r="C37" s="1"/>
    </row>
    <row r="38" spans="2:3" x14ac:dyDescent="0.35">
      <c r="B38" s="402"/>
      <c r="C38" s="1"/>
    </row>
    <row r="39" spans="2:3" x14ac:dyDescent="0.35">
      <c r="B39" s="402"/>
      <c r="C39" s="1"/>
    </row>
    <row r="40" spans="2:3" x14ac:dyDescent="0.35">
      <c r="B40" s="402"/>
      <c r="C40" s="1"/>
    </row>
    <row r="41" spans="2:3" x14ac:dyDescent="0.35">
      <c r="B41" s="402"/>
      <c r="C41" s="1"/>
    </row>
    <row r="42" spans="2:3" x14ac:dyDescent="0.35">
      <c r="B42" s="402"/>
      <c r="C42" s="1"/>
    </row>
    <row r="43" spans="2:3" x14ac:dyDescent="0.35">
      <c r="B43" s="402"/>
      <c r="C43" s="1"/>
    </row>
    <row r="44" spans="2:3" x14ac:dyDescent="0.35">
      <c r="B44" s="402"/>
      <c r="C44" s="1"/>
    </row>
    <row r="45" spans="2:3" x14ac:dyDescent="0.35">
      <c r="B45" s="402"/>
      <c r="C45" s="1"/>
    </row>
    <row r="46" spans="2:3" x14ac:dyDescent="0.35">
      <c r="B46" s="398"/>
      <c r="C46" s="1"/>
    </row>
    <row r="47" spans="2:3" x14ac:dyDescent="0.35">
      <c r="B47" s="1"/>
      <c r="C47" s="1"/>
    </row>
    <row r="48" spans="2:3" x14ac:dyDescent="0.35">
      <c r="B48" s="1"/>
      <c r="C48" s="1"/>
    </row>
    <row r="49" spans="2:3" x14ac:dyDescent="0.35">
      <c r="B49" s="1"/>
      <c r="C49" s="1"/>
    </row>
  </sheetData>
  <mergeCells count="4">
    <mergeCell ref="H4:H5"/>
    <mergeCell ref="I4:I5"/>
    <mergeCell ref="J4:J5"/>
    <mergeCell ref="K4:K5"/>
  </mergeCells>
  <hyperlinks>
    <hyperlink ref="O10" r:id="rId1" xr:uid="{00000000-0004-0000-0D00-000000000000}"/>
    <hyperlink ref="O6" r:id="rId2" xr:uid="{00000000-0004-0000-0D00-000001000000}"/>
    <hyperlink ref="O19" r:id="rId3" xr:uid="{00000000-0004-0000-0D00-000002000000}"/>
    <hyperlink ref="O22" r:id="rId4" xr:uid="{00000000-0004-0000-0D00-000003000000}"/>
    <hyperlink ref="O20" r:id="rId5" xr:uid="{00000000-0004-0000-0D00-000004000000}"/>
  </hyperlinks>
  <pageMargins left="0.7" right="0.7" top="0.75" bottom="0.75" header="0.3" footer="0.3"/>
  <pageSetup paperSize="9" orientation="portrait" r:id="rId6"/>
  <legacy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O39"/>
  <sheetViews>
    <sheetView workbookViewId="0">
      <selection activeCell="G23" sqref="G23"/>
    </sheetView>
  </sheetViews>
  <sheetFormatPr defaultRowHeight="14.5" x14ac:dyDescent="0.35"/>
  <cols>
    <col min="2" max="2" width="20.81640625" style="342" customWidth="1"/>
    <col min="3" max="3" width="21.7265625" style="342" customWidth="1"/>
    <col min="4" max="4" width="16.1796875" customWidth="1"/>
    <col min="5" max="5" width="16.1796875" style="38" customWidth="1"/>
    <col min="6" max="6" width="9.1796875" style="20"/>
  </cols>
  <sheetData>
    <row r="1" spans="1:15" s="164" customFormat="1" ht="30" customHeight="1" x14ac:dyDescent="0.5">
      <c r="A1" s="19" t="s">
        <v>544</v>
      </c>
      <c r="B1" s="341"/>
      <c r="C1" s="341"/>
      <c r="D1" s="19"/>
      <c r="E1" s="19"/>
      <c r="F1" s="361"/>
      <c r="G1" s="19"/>
      <c r="H1" s="19"/>
      <c r="I1" s="19"/>
      <c r="J1" s="19"/>
      <c r="K1" s="19"/>
      <c r="L1" s="19"/>
      <c r="M1" s="19"/>
      <c r="N1" s="19"/>
      <c r="O1" s="19"/>
    </row>
    <row r="3" spans="1:15" x14ac:dyDescent="0.35">
      <c r="B3" s="343" t="s">
        <v>545</v>
      </c>
      <c r="C3" s="343" t="s">
        <v>490</v>
      </c>
      <c r="D3" s="5"/>
      <c r="E3" s="5"/>
      <c r="F3" s="20">
        <v>0.46</v>
      </c>
    </row>
    <row r="4" spans="1:15" x14ac:dyDescent="0.35">
      <c r="B4" s="343"/>
      <c r="C4" s="343" t="s">
        <v>185</v>
      </c>
      <c r="D4" s="5"/>
      <c r="E4" s="5"/>
      <c r="F4" s="20">
        <f>19%</f>
        <v>0.19</v>
      </c>
    </row>
    <row r="5" spans="1:15" x14ac:dyDescent="0.35">
      <c r="B5" s="343"/>
      <c r="C5" s="343" t="s">
        <v>492</v>
      </c>
      <c r="D5" s="5"/>
      <c r="E5" s="5"/>
      <c r="F5" s="20">
        <f>0.27*0.57</f>
        <v>0.15390000000000001</v>
      </c>
    </row>
    <row r="6" spans="1:15" x14ac:dyDescent="0.35">
      <c r="B6" s="343"/>
      <c r="C6" s="343" t="s">
        <v>548</v>
      </c>
      <c r="D6" s="5"/>
      <c r="E6" s="5"/>
      <c r="F6" s="20">
        <f>4.86%</f>
        <v>4.8600000000000004E-2</v>
      </c>
    </row>
    <row r="7" spans="1:15" ht="29" x14ac:dyDescent="0.35">
      <c r="B7" s="343"/>
      <c r="C7" s="343" t="s">
        <v>546</v>
      </c>
      <c r="D7" s="5"/>
      <c r="E7" s="5"/>
    </row>
    <row r="8" spans="1:15" ht="29" x14ac:dyDescent="0.35">
      <c r="B8" s="343"/>
      <c r="C8" s="343" t="s">
        <v>547</v>
      </c>
      <c r="D8" s="5"/>
      <c r="E8" s="5"/>
    </row>
    <row r="10" spans="1:15" s="342" customFormat="1" ht="29.5" thickBot="1" x14ac:dyDescent="0.4">
      <c r="B10" s="343" t="s">
        <v>549</v>
      </c>
      <c r="C10" s="343"/>
      <c r="D10" s="343" t="s">
        <v>550</v>
      </c>
      <c r="E10" s="343" t="s">
        <v>581</v>
      </c>
      <c r="F10" s="362"/>
    </row>
    <row r="11" spans="1:15" x14ac:dyDescent="0.35">
      <c r="B11" s="516" t="s">
        <v>551</v>
      </c>
      <c r="C11" s="348" t="s">
        <v>552</v>
      </c>
      <c r="D11" s="345">
        <v>251.77</v>
      </c>
      <c r="E11" s="344">
        <f>D11*12</f>
        <v>3021.2400000000002</v>
      </c>
      <c r="F11" s="20">
        <f>0.46*(SUM('1.1'!I6:I15)/'1.1'!I37)</f>
        <v>0.14238868687919964</v>
      </c>
    </row>
    <row r="12" spans="1:15" ht="29" x14ac:dyDescent="0.35">
      <c r="B12" s="517"/>
      <c r="C12" s="353" t="s">
        <v>554</v>
      </c>
      <c r="D12" s="346">
        <v>395.2</v>
      </c>
      <c r="E12" s="344">
        <f t="shared" ref="E12:E39" si="0">D12*12</f>
        <v>4742.3999999999996</v>
      </c>
    </row>
    <row r="13" spans="1:15" ht="29" x14ac:dyDescent="0.35">
      <c r="B13" s="517"/>
      <c r="C13" s="353" t="s">
        <v>553</v>
      </c>
      <c r="D13" s="346">
        <v>317.82</v>
      </c>
      <c r="E13" s="344">
        <f t="shared" si="0"/>
        <v>3813.84</v>
      </c>
      <c r="F13" s="20">
        <f>0.46*(SUM('1.1'!I16:I35)/'1.1'!I37)</f>
        <v>0.31761131312080038</v>
      </c>
    </row>
    <row r="14" spans="1:15" ht="29.5" thickBot="1" x14ac:dyDescent="0.4">
      <c r="B14" s="518"/>
      <c r="C14" s="353" t="s">
        <v>555</v>
      </c>
      <c r="D14" s="346">
        <v>498.89</v>
      </c>
      <c r="E14" s="344">
        <f t="shared" si="0"/>
        <v>5986.68</v>
      </c>
    </row>
    <row r="15" spans="1:15" ht="29" x14ac:dyDescent="0.35">
      <c r="B15" s="516" t="s">
        <v>556</v>
      </c>
      <c r="C15" s="348" t="s">
        <v>582</v>
      </c>
      <c r="D15" s="345">
        <v>231.67</v>
      </c>
      <c r="E15" s="344">
        <f t="shared" si="0"/>
        <v>2780.04</v>
      </c>
      <c r="F15" s="20">
        <f>0.46*'1.1'!C37</f>
        <v>0.23341403516558284</v>
      </c>
    </row>
    <row r="16" spans="1:15" ht="73" thickBot="1" x14ac:dyDescent="0.4">
      <c r="B16" s="518"/>
      <c r="C16" s="349" t="s">
        <v>557</v>
      </c>
      <c r="D16" s="347">
        <v>231.67</v>
      </c>
      <c r="E16" s="344">
        <f t="shared" si="0"/>
        <v>2780.04</v>
      </c>
    </row>
    <row r="17" spans="2:6" s="38" customFormat="1" ht="15" thickBot="1" x14ac:dyDescent="0.4">
      <c r="B17" s="363"/>
      <c r="C17" s="353"/>
      <c r="D17" s="346"/>
      <c r="E17" s="344"/>
      <c r="F17" s="20"/>
    </row>
    <row r="18" spans="2:6" ht="60" customHeight="1" x14ac:dyDescent="0.35">
      <c r="B18" s="516" t="s">
        <v>558</v>
      </c>
      <c r="C18" s="348" t="s">
        <v>559</v>
      </c>
      <c r="D18" s="345">
        <v>126.11</v>
      </c>
      <c r="E18" s="344">
        <f t="shared" si="0"/>
        <v>1513.32</v>
      </c>
    </row>
    <row r="19" spans="2:6" ht="15" thickBot="1" x14ac:dyDescent="0.4">
      <c r="B19" s="518"/>
      <c r="C19" s="349" t="s">
        <v>560</v>
      </c>
      <c r="D19" s="347">
        <v>372.3</v>
      </c>
      <c r="E19" s="344">
        <f t="shared" si="0"/>
        <v>4467.6000000000004</v>
      </c>
    </row>
    <row r="20" spans="2:6" ht="29.5" thickBot="1" x14ac:dyDescent="0.4">
      <c r="B20" s="359" t="s">
        <v>561</v>
      </c>
      <c r="C20" s="350" t="s">
        <v>562</v>
      </c>
      <c r="D20" s="351">
        <v>126.11</v>
      </c>
      <c r="E20" s="344">
        <f t="shared" si="0"/>
        <v>1513.32</v>
      </c>
    </row>
    <row r="21" spans="2:6" ht="44" thickBot="1" x14ac:dyDescent="0.4">
      <c r="B21" s="359" t="s">
        <v>563</v>
      </c>
      <c r="C21" s="350"/>
      <c r="D21" s="351">
        <v>318.76</v>
      </c>
      <c r="E21" s="344">
        <f t="shared" si="0"/>
        <v>3825.12</v>
      </c>
    </row>
    <row r="22" spans="2:6" ht="15" thickBot="1" x14ac:dyDescent="0.4">
      <c r="B22" s="359" t="s">
        <v>564</v>
      </c>
      <c r="C22" s="350"/>
      <c r="D22" s="351">
        <v>151.88999999999999</v>
      </c>
      <c r="E22" s="344">
        <f t="shared" si="0"/>
        <v>1822.6799999999998</v>
      </c>
    </row>
    <row r="23" spans="2:6" ht="73" thickBot="1" x14ac:dyDescent="0.4">
      <c r="B23" s="359" t="s">
        <v>565</v>
      </c>
      <c r="C23" s="350" t="s">
        <v>566</v>
      </c>
      <c r="D23" s="351">
        <v>646.35</v>
      </c>
      <c r="E23" s="344">
        <f t="shared" si="0"/>
        <v>7756.2000000000007</v>
      </c>
    </row>
    <row r="24" spans="2:6" ht="73" thickBot="1" x14ac:dyDescent="0.4">
      <c r="B24" s="359"/>
      <c r="C24" s="350" t="s">
        <v>567</v>
      </c>
      <c r="D24" s="351">
        <v>1108.04</v>
      </c>
      <c r="E24" s="344">
        <f t="shared" si="0"/>
        <v>13296.48</v>
      </c>
    </row>
    <row r="25" spans="2:6" x14ac:dyDescent="0.35">
      <c r="B25" s="357" t="s">
        <v>568</v>
      </c>
      <c r="C25" s="348" t="s">
        <v>569</v>
      </c>
      <c r="D25" s="352">
        <v>6000</v>
      </c>
      <c r="E25" s="344"/>
    </row>
    <row r="26" spans="2:6" x14ac:dyDescent="0.35">
      <c r="B26" s="360"/>
      <c r="C26" s="353" t="s">
        <v>570</v>
      </c>
      <c r="D26" s="354">
        <v>16000</v>
      </c>
      <c r="E26" s="344"/>
    </row>
    <row r="27" spans="2:6" ht="15" thickBot="1" x14ac:dyDescent="0.4">
      <c r="B27" s="358"/>
      <c r="C27" s="349" t="s">
        <v>571</v>
      </c>
      <c r="D27" s="355" t="s">
        <v>572</v>
      </c>
      <c r="E27" s="344"/>
    </row>
    <row r="28" spans="2:6" ht="58" x14ac:dyDescent="0.35">
      <c r="B28" s="357" t="s">
        <v>573</v>
      </c>
      <c r="C28" s="348" t="s">
        <v>574</v>
      </c>
      <c r="D28" s="352">
        <v>0</v>
      </c>
      <c r="E28" s="344">
        <f t="shared" si="0"/>
        <v>0</v>
      </c>
      <c r="F28" s="20">
        <v>0</v>
      </c>
    </row>
    <row r="29" spans="2:6" ht="58" x14ac:dyDescent="0.35">
      <c r="B29" s="360"/>
      <c r="C29" s="353" t="s">
        <v>575</v>
      </c>
      <c r="D29" s="354">
        <v>397</v>
      </c>
      <c r="E29" s="344">
        <f t="shared" si="0"/>
        <v>4764</v>
      </c>
      <c r="F29" s="20" t="s">
        <v>627</v>
      </c>
    </row>
    <row r="30" spans="2:6" ht="29" x14ac:dyDescent="0.35">
      <c r="B30" s="360"/>
      <c r="C30" s="353" t="s">
        <v>576</v>
      </c>
      <c r="D30" s="354">
        <v>397</v>
      </c>
      <c r="E30" s="344">
        <f t="shared" si="0"/>
        <v>4764</v>
      </c>
      <c r="F30" s="20">
        <v>0</v>
      </c>
    </row>
    <row r="31" spans="2:6" ht="43.5" x14ac:dyDescent="0.35">
      <c r="B31" s="360"/>
      <c r="C31" s="353" t="s">
        <v>577</v>
      </c>
      <c r="D31" s="354">
        <v>0</v>
      </c>
      <c r="E31" s="344">
        <f t="shared" si="0"/>
        <v>0</v>
      </c>
      <c r="F31" s="20">
        <v>0</v>
      </c>
    </row>
    <row r="32" spans="2:6" ht="58" x14ac:dyDescent="0.35">
      <c r="B32" s="360"/>
      <c r="C32" s="353" t="s">
        <v>578</v>
      </c>
      <c r="D32" s="354">
        <v>397</v>
      </c>
      <c r="E32" s="344">
        <f t="shared" si="0"/>
        <v>4764</v>
      </c>
      <c r="F32" s="20" t="s">
        <v>628</v>
      </c>
    </row>
    <row r="33" spans="2:6" ht="44" thickBot="1" x14ac:dyDescent="0.4">
      <c r="B33" s="358"/>
      <c r="C33" s="349" t="s">
        <v>579</v>
      </c>
      <c r="D33" s="356">
        <v>397</v>
      </c>
      <c r="E33" s="344">
        <f t="shared" si="0"/>
        <v>4764</v>
      </c>
      <c r="F33" s="20">
        <v>0</v>
      </c>
    </row>
    <row r="34" spans="2:6" ht="58" x14ac:dyDescent="0.35">
      <c r="B34" s="357" t="s">
        <v>580</v>
      </c>
      <c r="C34" s="348" t="s">
        <v>574</v>
      </c>
      <c r="D34" s="352">
        <v>0</v>
      </c>
      <c r="E34" s="344">
        <f t="shared" si="0"/>
        <v>0</v>
      </c>
      <c r="F34" s="20">
        <v>0</v>
      </c>
    </row>
    <row r="35" spans="2:6" ht="58" x14ac:dyDescent="0.35">
      <c r="B35" s="360"/>
      <c r="C35" s="353" t="s">
        <v>575</v>
      </c>
      <c r="D35" s="354">
        <v>192</v>
      </c>
      <c r="E35" s="344">
        <f t="shared" si="0"/>
        <v>2304</v>
      </c>
      <c r="F35" s="20" t="s">
        <v>627</v>
      </c>
    </row>
    <row r="36" spans="2:6" ht="29" x14ac:dyDescent="0.35">
      <c r="B36" s="360"/>
      <c r="C36" s="353" t="s">
        <v>576</v>
      </c>
      <c r="D36" s="354">
        <v>192</v>
      </c>
      <c r="E36" s="344">
        <f t="shared" si="0"/>
        <v>2304</v>
      </c>
      <c r="F36" s="20">
        <v>0</v>
      </c>
    </row>
    <row r="37" spans="2:6" ht="43.5" x14ac:dyDescent="0.35">
      <c r="B37" s="360"/>
      <c r="C37" s="353" t="s">
        <v>577</v>
      </c>
      <c r="D37" s="354">
        <v>0</v>
      </c>
      <c r="E37" s="344">
        <f t="shared" si="0"/>
        <v>0</v>
      </c>
      <c r="F37" s="20">
        <v>0</v>
      </c>
    </row>
    <row r="38" spans="2:6" ht="58" x14ac:dyDescent="0.35">
      <c r="B38" s="360"/>
      <c r="C38" s="353" t="s">
        <v>578</v>
      </c>
      <c r="D38" s="354">
        <v>192</v>
      </c>
      <c r="E38" s="344">
        <f t="shared" si="0"/>
        <v>2304</v>
      </c>
      <c r="F38" s="20" t="s">
        <v>628</v>
      </c>
    </row>
    <row r="39" spans="2:6" ht="44" thickBot="1" x14ac:dyDescent="0.4">
      <c r="B39" s="358"/>
      <c r="C39" s="349" t="s">
        <v>579</v>
      </c>
      <c r="D39" s="356">
        <v>192</v>
      </c>
      <c r="E39" s="344">
        <f t="shared" si="0"/>
        <v>2304</v>
      </c>
      <c r="F39" s="20">
        <v>0</v>
      </c>
    </row>
  </sheetData>
  <mergeCells count="3">
    <mergeCell ref="B11:B14"/>
    <mergeCell ref="B15:B16"/>
    <mergeCell ref="B18:B1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499984740745262"/>
  </sheetPr>
  <dimension ref="A1:P41"/>
  <sheetViews>
    <sheetView workbookViewId="0"/>
  </sheetViews>
  <sheetFormatPr defaultRowHeight="14.5" x14ac:dyDescent="0.35"/>
  <cols>
    <col min="6" max="6" width="12.54296875" customWidth="1"/>
    <col min="7" max="7" width="9.1796875" customWidth="1"/>
    <col min="14" max="14" width="11.1796875" customWidth="1"/>
    <col min="16" max="16" width="13.7265625" customWidth="1"/>
  </cols>
  <sheetData>
    <row r="1" spans="1:14" s="164" customFormat="1" ht="30" customHeight="1" x14ac:dyDescent="0.5">
      <c r="A1" s="19" t="s">
        <v>724</v>
      </c>
      <c r="B1" s="19"/>
      <c r="C1" s="19"/>
      <c r="D1" s="19"/>
      <c r="E1" s="19"/>
      <c r="F1" s="19"/>
      <c r="G1" s="19"/>
      <c r="H1" s="19"/>
      <c r="I1" s="19"/>
      <c r="J1" s="19"/>
      <c r="K1" s="19"/>
      <c r="L1" s="19"/>
      <c r="M1" s="19"/>
      <c r="N1" s="19"/>
    </row>
    <row r="3" spans="1:14" s="38" customFormat="1" x14ac:dyDescent="0.35"/>
    <row r="4" spans="1:14" s="38" customFormat="1" x14ac:dyDescent="0.35">
      <c r="B4" s="11" t="s">
        <v>621</v>
      </c>
      <c r="C4" s="11"/>
      <c r="D4" s="11"/>
      <c r="E4" s="11"/>
      <c r="F4" s="11"/>
      <c r="G4" s="11"/>
      <c r="I4" s="18" t="s">
        <v>12</v>
      </c>
      <c r="J4" s="18" t="s">
        <v>16</v>
      </c>
      <c r="K4" s="18" t="s">
        <v>509</v>
      </c>
    </row>
    <row r="5" spans="1:14" x14ac:dyDescent="0.35">
      <c r="B5" s="58" t="s">
        <v>135</v>
      </c>
      <c r="C5" s="58"/>
      <c r="D5" s="58"/>
      <c r="E5" s="58"/>
      <c r="F5" s="58"/>
      <c r="G5" s="105">
        <f>'2.1'!I13</f>
        <v>73720.391047603742</v>
      </c>
    </row>
    <row r="6" spans="1:14" x14ac:dyDescent="0.35">
      <c r="B6" s="31" t="s">
        <v>616</v>
      </c>
      <c r="C6" s="31"/>
      <c r="D6" s="31"/>
      <c r="E6" s="31"/>
      <c r="F6" s="31"/>
      <c r="G6" s="118">
        <v>6.0000000000000001E-3</v>
      </c>
      <c r="I6" s="16" t="s">
        <v>624</v>
      </c>
      <c r="J6" s="16" t="s">
        <v>626</v>
      </c>
      <c r="K6" s="17" t="s">
        <v>625</v>
      </c>
    </row>
    <row r="7" spans="1:14" x14ac:dyDescent="0.35">
      <c r="B7" s="58" t="s">
        <v>617</v>
      </c>
      <c r="C7" s="58"/>
      <c r="D7" s="58"/>
      <c r="E7" s="58"/>
      <c r="F7" s="58"/>
      <c r="G7" s="155">
        <v>28778</v>
      </c>
      <c r="I7" s="16" t="s">
        <v>624</v>
      </c>
      <c r="J7" s="16"/>
    </row>
    <row r="8" spans="1:14" s="38" customFormat="1" x14ac:dyDescent="0.35">
      <c r="B8" s="58" t="s">
        <v>199</v>
      </c>
      <c r="C8" s="199" t="s">
        <v>653</v>
      </c>
      <c r="D8" s="58"/>
      <c r="E8" s="58"/>
      <c r="F8" s="58"/>
      <c r="G8" s="155">
        <f>G7*'Inflation Index'!C31/'Inflation Index'!C27</f>
        <v>30568.06594153637</v>
      </c>
      <c r="I8" s="16" t="s">
        <v>654</v>
      </c>
      <c r="J8" s="16"/>
    </row>
    <row r="9" spans="1:14" x14ac:dyDescent="0.35">
      <c r="B9" s="58" t="s">
        <v>618</v>
      </c>
      <c r="C9" s="58"/>
      <c r="D9" s="58"/>
      <c r="E9" s="58"/>
      <c r="F9" s="58"/>
      <c r="G9" s="59">
        <v>0.75</v>
      </c>
      <c r="I9" s="16" t="s">
        <v>624</v>
      </c>
      <c r="J9" s="16"/>
    </row>
    <row r="10" spans="1:14" x14ac:dyDescent="0.35">
      <c r="B10" s="58" t="s">
        <v>619</v>
      </c>
      <c r="C10" s="58"/>
      <c r="D10" s="58"/>
      <c r="E10" s="58"/>
      <c r="F10" s="58"/>
      <c r="G10" s="155">
        <v>130729</v>
      </c>
      <c r="I10" s="16" t="s">
        <v>624</v>
      </c>
      <c r="J10" s="16"/>
    </row>
    <row r="11" spans="1:14" s="38" customFormat="1" x14ac:dyDescent="0.35">
      <c r="B11" s="58"/>
      <c r="C11" s="199" t="s">
        <v>653</v>
      </c>
      <c r="D11" s="58"/>
      <c r="E11" s="58"/>
      <c r="F11" s="58"/>
      <c r="G11" s="155">
        <f>G10*'Inflation Index'!C31/'Inflation Index'!C27</f>
        <v>138860.68150917743</v>
      </c>
      <c r="I11" s="16" t="s">
        <v>654</v>
      </c>
      <c r="J11" s="16"/>
    </row>
    <row r="12" spans="1:14" ht="15" thickBot="1" x14ac:dyDescent="0.4">
      <c r="B12" s="68" t="s">
        <v>620</v>
      </c>
      <c r="C12" s="68"/>
      <c r="D12" s="68"/>
      <c r="E12" s="68"/>
      <c r="F12" s="68"/>
      <c r="G12" s="386">
        <v>0.25</v>
      </c>
      <c r="I12" s="16" t="s">
        <v>624</v>
      </c>
      <c r="J12" s="16"/>
    </row>
    <row r="13" spans="1:14" x14ac:dyDescent="0.35">
      <c r="B13" s="58" t="s">
        <v>622</v>
      </c>
      <c r="C13" s="58"/>
      <c r="D13" s="58"/>
      <c r="E13" s="58"/>
      <c r="F13" s="58"/>
      <c r="G13" s="200">
        <f>G5*G6*(G8*G9+G11*G12)</f>
        <v>25495999.599495474</v>
      </c>
      <c r="H13" s="391"/>
    </row>
    <row r="16" spans="1:14" x14ac:dyDescent="0.35">
      <c r="B16" s="510" t="s">
        <v>239</v>
      </c>
      <c r="C16" s="510"/>
      <c r="D16" s="510"/>
      <c r="E16" s="510"/>
      <c r="F16" s="510"/>
      <c r="G16" s="510"/>
      <c r="H16" s="510"/>
      <c r="I16" s="510"/>
      <c r="J16" s="510"/>
      <c r="K16" s="510"/>
      <c r="L16" s="510"/>
      <c r="M16" s="510"/>
      <c r="N16" s="510"/>
    </row>
    <row r="17" spans="2:16" x14ac:dyDescent="0.35">
      <c r="B17" s="58" t="s">
        <v>240</v>
      </c>
      <c r="C17" s="58"/>
      <c r="D17" s="58">
        <v>0</v>
      </c>
      <c r="E17" s="58">
        <v>1</v>
      </c>
      <c r="F17" s="29">
        <v>2</v>
      </c>
      <c r="G17" s="29">
        <v>3</v>
      </c>
      <c r="H17" s="29">
        <v>4</v>
      </c>
      <c r="I17" s="29">
        <v>5</v>
      </c>
      <c r="J17" s="29">
        <v>6</v>
      </c>
      <c r="K17" s="29">
        <v>7</v>
      </c>
      <c r="L17" s="29">
        <v>8</v>
      </c>
      <c r="M17" s="29">
        <v>9</v>
      </c>
      <c r="N17" s="29">
        <v>10</v>
      </c>
    </row>
    <row r="18" spans="2:16" x14ac:dyDescent="0.35">
      <c r="B18" s="29" t="s">
        <v>623</v>
      </c>
      <c r="C18" s="29"/>
      <c r="D18" s="307">
        <v>0</v>
      </c>
      <c r="E18" s="260">
        <f>$G$13/1.035^E17</f>
        <v>24633816.038159881</v>
      </c>
      <c r="F18" s="260">
        <f t="shared" ref="F18:N18" si="0">$G$13/1.035^F17</f>
        <v>23800788.442666553</v>
      </c>
      <c r="G18" s="260">
        <f t="shared" si="0"/>
        <v>22995930.862479765</v>
      </c>
      <c r="H18" s="260">
        <f t="shared" si="0"/>
        <v>22218290.688386247</v>
      </c>
      <c r="I18" s="260">
        <f t="shared" si="0"/>
        <v>21466947.525010869</v>
      </c>
      <c r="J18" s="260">
        <f t="shared" si="0"/>
        <v>20741012.101459775</v>
      </c>
      <c r="K18" s="260">
        <f t="shared" si="0"/>
        <v>20039625.218801718</v>
      </c>
      <c r="L18" s="260">
        <f t="shared" si="0"/>
        <v>19361956.733141758</v>
      </c>
      <c r="M18" s="260">
        <f t="shared" si="0"/>
        <v>18707204.573083829</v>
      </c>
      <c r="N18" s="260">
        <f t="shared" si="0"/>
        <v>18074593.790419158</v>
      </c>
      <c r="O18" s="391"/>
      <c r="P18" s="238"/>
    </row>
    <row r="19" spans="2:16" x14ac:dyDescent="0.35">
      <c r="B19" s="58" t="s">
        <v>437</v>
      </c>
      <c r="C19" s="58"/>
      <c r="D19" s="58">
        <v>0</v>
      </c>
      <c r="E19" s="262">
        <f>E18+D19</f>
        <v>24633816.038159881</v>
      </c>
      <c r="F19" s="262">
        <f t="shared" ref="F19:N19" si="1">F18+E19</f>
        <v>48434604.480826437</v>
      </c>
      <c r="G19" s="262">
        <f t="shared" si="1"/>
        <v>71430535.343306199</v>
      </c>
      <c r="H19" s="262">
        <f t="shared" si="1"/>
        <v>93648826.031692445</v>
      </c>
      <c r="I19" s="262">
        <f t="shared" si="1"/>
        <v>115115773.55670331</v>
      </c>
      <c r="J19" s="262">
        <f t="shared" si="1"/>
        <v>135856785.6581631</v>
      </c>
      <c r="K19" s="262">
        <f t="shared" si="1"/>
        <v>155896410.87696481</v>
      </c>
      <c r="L19" s="262">
        <f t="shared" si="1"/>
        <v>175258367.61010656</v>
      </c>
      <c r="M19" s="262">
        <f t="shared" si="1"/>
        <v>193965572.18319038</v>
      </c>
      <c r="N19" s="262">
        <f t="shared" si="1"/>
        <v>212040165.97360954</v>
      </c>
    </row>
    <row r="22" spans="2:16" x14ac:dyDescent="0.35">
      <c r="J22" s="260"/>
      <c r="K22" s="260"/>
      <c r="L22" s="260"/>
      <c r="M22" s="399" t="s">
        <v>636</v>
      </c>
      <c r="N22" s="254">
        <f>N19/'1. AVERTED PREGNANCIES'!F58</f>
        <v>1035.4592354401334</v>
      </c>
    </row>
    <row r="23" spans="2:16" x14ac:dyDescent="0.35">
      <c r="B23" s="387"/>
      <c r="C23" s="387"/>
      <c r="E23" s="390"/>
      <c r="J23" s="418"/>
      <c r="K23" s="418"/>
      <c r="L23" s="58"/>
      <c r="M23" s="399" t="s">
        <v>637</v>
      </c>
      <c r="N23" s="254">
        <f>N19/G5</f>
        <v>2876.2756540003707</v>
      </c>
      <c r="P23" s="238"/>
    </row>
    <row r="24" spans="2:16" x14ac:dyDescent="0.35">
      <c r="B24" s="388"/>
      <c r="C24" s="389"/>
      <c r="E24" s="392"/>
      <c r="F24" s="392"/>
      <c r="G24" s="392"/>
      <c r="H24" s="392"/>
      <c r="I24" s="392"/>
      <c r="P24" s="391"/>
    </row>
    <row r="25" spans="2:16" x14ac:dyDescent="0.35">
      <c r="B25" s="388"/>
      <c r="C25" s="389"/>
      <c r="E25" s="392"/>
      <c r="F25" s="392"/>
      <c r="G25" s="392"/>
      <c r="H25" s="392"/>
      <c r="I25" s="392"/>
      <c r="J25" s="392"/>
      <c r="K25" s="392"/>
      <c r="M25" s="392"/>
      <c r="N25" s="56"/>
    </row>
    <row r="26" spans="2:16" x14ac:dyDescent="0.35">
      <c r="B26" s="388"/>
      <c r="C26" s="389"/>
      <c r="E26" s="392"/>
      <c r="F26" s="392"/>
      <c r="G26" s="395"/>
      <c r="H26" s="395"/>
      <c r="I26" s="395"/>
      <c r="J26" s="392"/>
      <c r="K26" s="392"/>
      <c r="M26" s="395"/>
      <c r="N26" s="400"/>
      <c r="O26" s="1"/>
    </row>
    <row r="27" spans="2:16" x14ac:dyDescent="0.35">
      <c r="B27" s="388"/>
      <c r="C27" s="389"/>
      <c r="E27" s="392"/>
      <c r="F27" s="392"/>
      <c r="G27" s="396"/>
      <c r="H27" s="396"/>
      <c r="I27" s="397"/>
      <c r="J27" s="393"/>
      <c r="K27" s="393"/>
      <c r="L27" s="393"/>
      <c r="M27" s="34"/>
      <c r="N27" s="400"/>
      <c r="O27" s="1"/>
    </row>
    <row r="28" spans="2:16" x14ac:dyDescent="0.35">
      <c r="B28" s="388"/>
      <c r="C28" s="389"/>
      <c r="E28" s="392"/>
      <c r="F28" s="392"/>
      <c r="G28" s="396"/>
      <c r="H28" s="396"/>
      <c r="I28" s="397"/>
      <c r="J28" s="392"/>
      <c r="K28" s="392"/>
      <c r="L28" s="392"/>
      <c r="M28" s="34"/>
      <c r="N28" s="400"/>
      <c r="O28" s="1"/>
    </row>
    <row r="29" spans="2:16" x14ac:dyDescent="0.35">
      <c r="E29" s="45"/>
      <c r="G29" s="396"/>
      <c r="H29" s="396"/>
      <c r="I29" s="1"/>
      <c r="M29" s="1"/>
      <c r="N29" s="400"/>
      <c r="O29" s="396"/>
    </row>
    <row r="30" spans="2:16" x14ac:dyDescent="0.35">
      <c r="G30" s="396"/>
      <c r="H30" s="396"/>
      <c r="I30" s="1"/>
      <c r="M30" s="1"/>
      <c r="N30" s="1"/>
      <c r="O30" s="396"/>
    </row>
    <row r="31" spans="2:16" x14ac:dyDescent="0.35">
      <c r="G31" s="396"/>
      <c r="H31" s="396"/>
      <c r="I31" s="1"/>
      <c r="M31" s="1"/>
      <c r="N31" s="1"/>
      <c r="O31" s="396"/>
    </row>
    <row r="32" spans="2:16" x14ac:dyDescent="0.35">
      <c r="G32" s="396"/>
      <c r="H32" s="396"/>
      <c r="I32" s="1"/>
      <c r="M32" s="1"/>
      <c r="N32" s="1"/>
      <c r="O32" s="396"/>
    </row>
    <row r="33" spans="7:15" x14ac:dyDescent="0.35">
      <c r="G33" s="396"/>
      <c r="H33" s="396"/>
      <c r="I33" s="1"/>
      <c r="M33" s="1"/>
      <c r="N33" s="1"/>
      <c r="O33" s="396"/>
    </row>
    <row r="34" spans="7:15" x14ac:dyDescent="0.35">
      <c r="G34" s="396"/>
      <c r="H34" s="396"/>
      <c r="I34" s="1"/>
      <c r="M34" s="1"/>
      <c r="N34" s="1"/>
      <c r="O34" s="396"/>
    </row>
    <row r="35" spans="7:15" x14ac:dyDescent="0.35">
      <c r="G35" s="396"/>
      <c r="H35" s="396"/>
      <c r="I35" s="1"/>
      <c r="M35" s="1"/>
      <c r="N35" s="1"/>
      <c r="O35" s="396"/>
    </row>
    <row r="36" spans="7:15" x14ac:dyDescent="0.35">
      <c r="G36" s="396"/>
      <c r="H36" s="396"/>
      <c r="I36" s="1"/>
      <c r="M36" s="1"/>
      <c r="N36" s="1"/>
      <c r="O36" s="401"/>
    </row>
    <row r="37" spans="7:15" x14ac:dyDescent="0.35">
      <c r="G37" s="396"/>
      <c r="H37" s="396"/>
      <c r="I37" s="1"/>
      <c r="M37" s="1"/>
      <c r="N37" s="1"/>
      <c r="O37" s="398"/>
    </row>
    <row r="38" spans="7:15" x14ac:dyDescent="0.35">
      <c r="G38" s="396"/>
      <c r="H38" s="396"/>
      <c r="I38" s="1"/>
      <c r="M38" s="1"/>
      <c r="N38" s="1"/>
      <c r="O38" s="1"/>
    </row>
    <row r="39" spans="7:15" x14ac:dyDescent="0.35">
      <c r="G39" s="1"/>
      <c r="H39" s="396"/>
      <c r="I39" s="1"/>
      <c r="M39" s="1"/>
      <c r="N39" s="1"/>
      <c r="O39" s="1"/>
    </row>
    <row r="40" spans="7:15" x14ac:dyDescent="0.35">
      <c r="G40" s="1"/>
      <c r="H40" s="398"/>
      <c r="I40" s="1"/>
      <c r="M40" s="1"/>
      <c r="N40" s="1"/>
      <c r="O40" s="1"/>
    </row>
    <row r="41" spans="7:15" x14ac:dyDescent="0.35">
      <c r="G41" s="1"/>
      <c r="H41" s="1"/>
      <c r="I41" s="1"/>
    </row>
  </sheetData>
  <mergeCells count="1">
    <mergeCell ref="B16:N16"/>
  </mergeCells>
  <hyperlinks>
    <hyperlink ref="K6" r:id="rId1" xr:uid="{00000000-0004-0000-0F00-000000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249977111117893"/>
  </sheetPr>
  <dimension ref="A1:K23"/>
  <sheetViews>
    <sheetView workbookViewId="0"/>
  </sheetViews>
  <sheetFormatPr defaultRowHeight="14.5" x14ac:dyDescent="0.35"/>
  <cols>
    <col min="2" max="2" width="10.81640625" customWidth="1"/>
    <col min="3" max="3" width="11.1796875" customWidth="1"/>
    <col min="5" max="5" width="9.1796875" customWidth="1"/>
    <col min="7" max="7" width="13.7265625" customWidth="1"/>
    <col min="10" max="10" width="23.26953125" customWidth="1"/>
  </cols>
  <sheetData>
    <row r="1" spans="1:11" ht="31.5" customHeight="1" x14ac:dyDescent="0.5">
      <c r="A1" s="14" t="s">
        <v>10</v>
      </c>
      <c r="B1" s="14"/>
      <c r="C1" s="14"/>
      <c r="D1" s="14"/>
      <c r="E1" s="14"/>
      <c r="F1" s="14"/>
      <c r="G1" s="14"/>
      <c r="H1" s="14"/>
      <c r="I1" s="14"/>
      <c r="J1" s="14"/>
      <c r="K1" s="14"/>
    </row>
    <row r="3" spans="1:11" s="38" customFormat="1" x14ac:dyDescent="0.35"/>
    <row r="4" spans="1:11" x14ac:dyDescent="0.35">
      <c r="B4" s="13" t="s">
        <v>168</v>
      </c>
      <c r="C4" s="163"/>
      <c r="D4" s="163"/>
      <c r="E4" s="163"/>
      <c r="F4" s="163"/>
      <c r="G4" s="163"/>
      <c r="I4" s="18" t="s">
        <v>12</v>
      </c>
      <c r="J4" s="18" t="s">
        <v>16</v>
      </c>
      <c r="K4" s="18" t="s">
        <v>509</v>
      </c>
    </row>
    <row r="5" spans="1:11" x14ac:dyDescent="0.35">
      <c r="B5" s="160" t="s">
        <v>11</v>
      </c>
      <c r="C5" s="160"/>
      <c r="D5" s="160"/>
      <c r="E5" s="160"/>
      <c r="F5" s="160"/>
      <c r="G5" s="263">
        <v>174500000</v>
      </c>
      <c r="I5" s="313" t="s">
        <v>516</v>
      </c>
      <c r="J5" s="16" t="s">
        <v>474</v>
      </c>
      <c r="K5" s="17" t="s">
        <v>13</v>
      </c>
    </row>
    <row r="6" spans="1:11" x14ac:dyDescent="0.35">
      <c r="B6" s="162" t="s">
        <v>14</v>
      </c>
      <c r="C6" s="162"/>
      <c r="D6" s="162"/>
      <c r="E6" s="162"/>
      <c r="F6" s="162"/>
      <c r="G6" s="264">
        <f>C23</f>
        <v>71632075.23443</v>
      </c>
      <c r="J6" s="16" t="s">
        <v>66</v>
      </c>
      <c r="K6" s="16" t="s">
        <v>475</v>
      </c>
    </row>
    <row r="7" spans="1:11" x14ac:dyDescent="0.35">
      <c r="B7" s="161" t="s">
        <v>15</v>
      </c>
      <c r="C7" s="160"/>
      <c r="D7" s="160"/>
      <c r="E7" s="160"/>
      <c r="F7" s="160"/>
      <c r="G7" s="263">
        <f>SUM(G5+G6)</f>
        <v>246132075.23443002</v>
      </c>
    </row>
    <row r="8" spans="1:11" x14ac:dyDescent="0.35">
      <c r="G8" s="15"/>
    </row>
    <row r="9" spans="1:11" s="38" customFormat="1" x14ac:dyDescent="0.35">
      <c r="B9" s="13" t="s">
        <v>444</v>
      </c>
      <c r="C9" s="13"/>
      <c r="G9" s="15"/>
      <c r="I9" s="313" t="s">
        <v>473</v>
      </c>
      <c r="J9" s="16" t="s">
        <v>446</v>
      </c>
      <c r="K9" s="17" t="s">
        <v>445</v>
      </c>
    </row>
    <row r="10" spans="1:11" x14ac:dyDescent="0.35">
      <c r="B10" s="13" t="s">
        <v>442</v>
      </c>
      <c r="C10" s="13" t="s">
        <v>443</v>
      </c>
    </row>
    <row r="11" spans="1:11" x14ac:dyDescent="0.35">
      <c r="B11" s="281">
        <v>42461</v>
      </c>
      <c r="C11" s="282">
        <v>6428200.21</v>
      </c>
    </row>
    <row r="12" spans="1:11" x14ac:dyDescent="0.35">
      <c r="B12" s="281">
        <v>42491</v>
      </c>
      <c r="C12" s="282">
        <v>6061596.9900000002</v>
      </c>
    </row>
    <row r="13" spans="1:11" x14ac:dyDescent="0.35">
      <c r="B13" s="281">
        <v>42522</v>
      </c>
      <c r="C13" s="282">
        <v>6272289.6900000004</v>
      </c>
    </row>
    <row r="14" spans="1:11" x14ac:dyDescent="0.35">
      <c r="B14" s="281">
        <v>42552</v>
      </c>
      <c r="C14" s="282">
        <v>5886920.3200000096</v>
      </c>
    </row>
    <row r="15" spans="1:11" x14ac:dyDescent="0.35">
      <c r="B15" s="281">
        <v>42583</v>
      </c>
      <c r="C15" s="282">
        <v>5777149.7199999997</v>
      </c>
    </row>
    <row r="16" spans="1:11" x14ac:dyDescent="0.35">
      <c r="B16" s="281">
        <v>42614</v>
      </c>
      <c r="C16" s="282">
        <v>6060558.1799999997</v>
      </c>
    </row>
    <row r="17" spans="2:3" x14ac:dyDescent="0.35">
      <c r="B17" s="281">
        <v>42644</v>
      </c>
      <c r="C17" s="282">
        <v>5754314.3799999999</v>
      </c>
    </row>
    <row r="18" spans="2:3" x14ac:dyDescent="0.35">
      <c r="B18" s="281">
        <v>42675</v>
      </c>
      <c r="C18" s="282">
        <v>5934296.7800000003</v>
      </c>
    </row>
    <row r="19" spans="2:3" x14ac:dyDescent="0.35">
      <c r="B19" s="281">
        <v>42705</v>
      </c>
      <c r="C19" s="282">
        <v>5470385.9000000004</v>
      </c>
    </row>
    <row r="20" spans="2:3" x14ac:dyDescent="0.35">
      <c r="B20" s="281">
        <v>42736</v>
      </c>
      <c r="C20" s="282">
        <v>6039249.1073599998</v>
      </c>
    </row>
    <row r="21" spans="2:3" x14ac:dyDescent="0.35">
      <c r="B21" s="281">
        <v>42767</v>
      </c>
      <c r="C21" s="282">
        <v>5544766.1371400002</v>
      </c>
    </row>
    <row r="22" spans="2:3" x14ac:dyDescent="0.35">
      <c r="B22" s="281">
        <v>42795</v>
      </c>
      <c r="C22" s="282">
        <v>6402347.8199300002</v>
      </c>
    </row>
    <row r="23" spans="2:3" x14ac:dyDescent="0.35">
      <c r="B23" s="25" t="s">
        <v>19</v>
      </c>
      <c r="C23" s="283">
        <f>SUM(C11:C22)</f>
        <v>71632075.23443</v>
      </c>
    </row>
  </sheetData>
  <hyperlinks>
    <hyperlink ref="K5" r:id="rId1" xr:uid="{00000000-0004-0000-1000-000000000000}"/>
    <hyperlink ref="K9" r:id="rId2" xr:uid="{00000000-0004-0000-1000-000001000000}"/>
  </hyperlinks>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sheetPr>
  <dimension ref="A1:K31"/>
  <sheetViews>
    <sheetView workbookViewId="0"/>
  </sheetViews>
  <sheetFormatPr defaultRowHeight="14.5" x14ac:dyDescent="0.35"/>
  <cols>
    <col min="2" max="2" width="10.81640625" customWidth="1"/>
    <col min="3" max="3" width="20.1796875" style="38" customWidth="1"/>
    <col min="4" max="4" width="50.26953125" customWidth="1"/>
    <col min="5" max="6" width="12.7265625" customWidth="1"/>
    <col min="8" max="8" width="9.26953125" customWidth="1"/>
    <col min="9" max="9" width="9.81640625" customWidth="1"/>
    <col min="10" max="10" width="9.26953125" customWidth="1"/>
    <col min="11" max="11" width="12.7265625" customWidth="1"/>
  </cols>
  <sheetData>
    <row r="1" spans="1:9" s="172" customFormat="1" ht="31.5" customHeight="1" x14ac:dyDescent="0.5">
      <c r="A1" s="173" t="s">
        <v>171</v>
      </c>
    </row>
    <row r="4" spans="1:9" x14ac:dyDescent="0.35">
      <c r="B4" s="5" t="s">
        <v>172</v>
      </c>
      <c r="C4" s="5"/>
    </row>
    <row r="5" spans="1:9" x14ac:dyDescent="0.35">
      <c r="B5" s="17" t="s">
        <v>169</v>
      </c>
      <c r="C5" s="17"/>
      <c r="I5" t="s">
        <v>188</v>
      </c>
    </row>
    <row r="6" spans="1:9" x14ac:dyDescent="0.35">
      <c r="B6" s="17" t="s">
        <v>477</v>
      </c>
    </row>
    <row r="8" spans="1:9" x14ac:dyDescent="0.35">
      <c r="B8" s="174" t="s">
        <v>170</v>
      </c>
      <c r="C8" s="174" t="s">
        <v>176</v>
      </c>
    </row>
    <row r="9" spans="1:9" x14ac:dyDescent="0.35">
      <c r="B9" s="175" t="s">
        <v>173</v>
      </c>
      <c r="C9" s="178">
        <v>240.9</v>
      </c>
    </row>
    <row r="10" spans="1:9" x14ac:dyDescent="0.35">
      <c r="B10" s="176" t="s">
        <v>174</v>
      </c>
      <c r="C10" s="179">
        <v>249.8</v>
      </c>
      <c r="D10" s="56"/>
    </row>
    <row r="11" spans="1:9" x14ac:dyDescent="0.35">
      <c r="B11" s="176" t="s">
        <v>175</v>
      </c>
      <c r="C11" s="179">
        <v>257</v>
      </c>
      <c r="D11" s="56"/>
    </row>
    <row r="12" spans="1:9" x14ac:dyDescent="0.35">
      <c r="B12" s="176" t="s">
        <v>177</v>
      </c>
      <c r="C12" s="179">
        <v>267</v>
      </c>
      <c r="D12" s="56"/>
    </row>
    <row r="13" spans="1:9" x14ac:dyDescent="0.35">
      <c r="B13" s="176" t="s">
        <v>178</v>
      </c>
      <c r="C13" s="179">
        <v>268.60000000000002</v>
      </c>
      <c r="D13" s="56"/>
    </row>
    <row r="14" spans="1:9" x14ac:dyDescent="0.35">
      <c r="B14" s="176" t="s">
        <v>179</v>
      </c>
      <c r="C14" s="179">
        <v>276.60000000000002</v>
      </c>
      <c r="D14" s="56"/>
    </row>
    <row r="15" spans="1:9" x14ac:dyDescent="0.35">
      <c r="B15" s="176" t="s">
        <v>180</v>
      </c>
      <c r="C15" s="179">
        <v>282.5</v>
      </c>
      <c r="D15" s="56"/>
    </row>
    <row r="16" spans="1:9" x14ac:dyDescent="0.35">
      <c r="B16" s="176" t="s">
        <v>181</v>
      </c>
      <c r="C16" s="179">
        <v>287.3</v>
      </c>
      <c r="D16" s="56"/>
    </row>
    <row r="17" spans="2:11" x14ac:dyDescent="0.35">
      <c r="B17" s="176" t="s">
        <v>182</v>
      </c>
      <c r="C17" s="179">
        <v>290.5</v>
      </c>
      <c r="D17" s="56"/>
    </row>
    <row r="18" spans="2:11" x14ac:dyDescent="0.35">
      <c r="B18" s="176" t="s">
        <v>183</v>
      </c>
      <c r="C18" s="179">
        <v>293.10000000000002</v>
      </c>
      <c r="D18" s="56"/>
    </row>
    <row r="19" spans="2:11" x14ac:dyDescent="0.35">
      <c r="B19" s="177" t="s">
        <v>184</v>
      </c>
      <c r="C19" s="180">
        <v>297</v>
      </c>
      <c r="D19" s="56"/>
    </row>
    <row r="20" spans="2:11" x14ac:dyDescent="0.35">
      <c r="B20" s="38"/>
    </row>
    <row r="21" spans="2:11" ht="14.25" customHeight="1" x14ac:dyDescent="0.35"/>
    <row r="22" spans="2:11" s="38" customFormat="1" ht="14.25" customHeight="1" x14ac:dyDescent="0.35">
      <c r="B22" s="5" t="s">
        <v>657</v>
      </c>
    </row>
    <row r="23" spans="2:11" s="38" customFormat="1" x14ac:dyDescent="0.35">
      <c r="B23" s="17" t="s">
        <v>656</v>
      </c>
    </row>
    <row r="24" spans="2:11" s="38" customFormat="1" x14ac:dyDescent="0.35">
      <c r="B24" s="174" t="s">
        <v>170</v>
      </c>
      <c r="C24" s="174" t="s">
        <v>651</v>
      </c>
    </row>
    <row r="25" spans="2:11" x14ac:dyDescent="0.35">
      <c r="B25" s="175" t="s">
        <v>644</v>
      </c>
      <c r="C25" s="178">
        <v>90.918000000000006</v>
      </c>
      <c r="D25" s="38"/>
      <c r="E25" s="38"/>
      <c r="F25" s="38"/>
      <c r="G25" s="38"/>
      <c r="H25" s="38"/>
      <c r="I25" s="38"/>
      <c r="J25" s="38"/>
      <c r="K25" s="38"/>
    </row>
    <row r="26" spans="2:11" x14ac:dyDescent="0.35">
      <c r="B26" s="176" t="s">
        <v>645</v>
      </c>
      <c r="C26" s="179">
        <v>92.227999999999994</v>
      </c>
      <c r="D26" s="38"/>
      <c r="E26" s="38"/>
      <c r="F26" s="38"/>
      <c r="G26" s="38"/>
      <c r="H26" s="38"/>
      <c r="I26" s="38"/>
      <c r="J26" s="38"/>
      <c r="K26" s="38"/>
    </row>
    <row r="27" spans="2:11" x14ac:dyDescent="0.35">
      <c r="B27" s="176" t="s">
        <v>646</v>
      </c>
      <c r="C27" s="179">
        <v>94.144000000000005</v>
      </c>
      <c r="D27" s="38"/>
      <c r="E27" s="38"/>
      <c r="F27" s="38"/>
      <c r="G27" s="38"/>
      <c r="H27" s="38"/>
      <c r="I27" s="38"/>
      <c r="J27" s="38"/>
      <c r="K27" s="38"/>
    </row>
    <row r="28" spans="2:11" x14ac:dyDescent="0.35">
      <c r="B28" s="176" t="s">
        <v>647</v>
      </c>
      <c r="C28" s="179">
        <v>95.751999999999995</v>
      </c>
      <c r="D28" s="38"/>
      <c r="E28" s="38"/>
      <c r="F28" s="38"/>
      <c r="G28" s="38"/>
      <c r="H28" s="38"/>
      <c r="I28" s="38"/>
      <c r="J28" s="38"/>
      <c r="K28" s="38"/>
    </row>
    <row r="29" spans="2:11" x14ac:dyDescent="0.35">
      <c r="B29" s="176" t="s">
        <v>648</v>
      </c>
      <c r="C29" s="179">
        <v>97.14</v>
      </c>
      <c r="D29" s="38"/>
      <c r="E29" s="38"/>
      <c r="F29" s="38"/>
      <c r="G29" s="38"/>
      <c r="H29" s="38"/>
      <c r="I29" s="38"/>
      <c r="J29" s="38"/>
      <c r="K29" s="38"/>
    </row>
    <row r="30" spans="2:11" x14ac:dyDescent="0.35">
      <c r="B30" s="176" t="s">
        <v>649</v>
      </c>
      <c r="C30" s="179">
        <v>97.793999999999997</v>
      </c>
      <c r="D30" s="38"/>
      <c r="E30" s="38"/>
      <c r="F30" s="38"/>
      <c r="G30" s="38"/>
      <c r="H30" s="38"/>
      <c r="I30" s="38"/>
      <c r="J30" s="38"/>
      <c r="K30" s="38"/>
    </row>
    <row r="31" spans="2:11" x14ac:dyDescent="0.35">
      <c r="B31" s="177" t="s">
        <v>650</v>
      </c>
      <c r="C31" s="180">
        <v>100</v>
      </c>
      <c r="D31" s="38"/>
      <c r="E31" s="38"/>
      <c r="F31" s="38"/>
      <c r="G31" s="38"/>
      <c r="H31" s="38"/>
      <c r="I31" s="38"/>
      <c r="J31" s="38"/>
      <c r="K31" s="38"/>
    </row>
  </sheetData>
  <hyperlinks>
    <hyperlink ref="B5" r:id="rId1" xr:uid="{00000000-0004-0000-1100-000000000000}"/>
    <hyperlink ref="B6" r:id="rId2" xr:uid="{00000000-0004-0000-1100-000001000000}"/>
    <hyperlink ref="B23" r:id="rId3" xr:uid="{00000000-0004-0000-1100-000002000000}"/>
  </hyperlink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9"/>
  <sheetViews>
    <sheetView workbookViewId="0">
      <selection activeCell="E21" sqref="E21"/>
    </sheetView>
  </sheetViews>
  <sheetFormatPr defaultRowHeight="14.5" x14ac:dyDescent="0.35"/>
  <cols>
    <col min="1" max="1" width="17.453125" bestFit="1" customWidth="1"/>
    <col min="7" max="7" width="17.54296875" bestFit="1" customWidth="1"/>
    <col min="8" max="8" width="10.54296875" customWidth="1"/>
    <col min="9" max="9" width="15.1796875" bestFit="1" customWidth="1"/>
    <col min="10" max="10" width="17.54296875" bestFit="1" customWidth="1"/>
  </cols>
  <sheetData>
    <row r="1" spans="1:10" x14ac:dyDescent="0.35">
      <c r="A1" s="463" t="s">
        <v>26</v>
      </c>
      <c r="B1" s="464" t="s">
        <v>434</v>
      </c>
      <c r="C1" s="464" t="s">
        <v>436</v>
      </c>
      <c r="D1" s="464" t="s">
        <v>435</v>
      </c>
      <c r="G1" s="465" t="s">
        <v>712</v>
      </c>
    </row>
    <row r="2" spans="1:10" x14ac:dyDescent="0.35">
      <c r="A2" s="464" t="s">
        <v>125</v>
      </c>
      <c r="B2" s="467">
        <v>1.51</v>
      </c>
      <c r="C2" s="467">
        <v>2.82</v>
      </c>
      <c r="D2" s="467">
        <v>3.68</v>
      </c>
      <c r="G2" t="str">
        <f>OUTLINE!C23</f>
        <v>Scenario 1</v>
      </c>
    </row>
    <row r="3" spans="1:10" x14ac:dyDescent="0.35">
      <c r="A3" s="464" t="s">
        <v>126</v>
      </c>
      <c r="B3" s="467">
        <v>4.53</v>
      </c>
      <c r="C3" s="467">
        <v>8.4600000000000009</v>
      </c>
      <c r="D3" s="467">
        <v>11.08</v>
      </c>
      <c r="G3" s="519" t="s">
        <v>239</v>
      </c>
      <c r="H3" s="519" t="s">
        <v>673</v>
      </c>
      <c r="I3" s="519"/>
      <c r="J3" s="519"/>
    </row>
    <row r="4" spans="1:10" x14ac:dyDescent="0.35">
      <c r="A4" s="464" t="s">
        <v>196</v>
      </c>
      <c r="B4" s="467">
        <v>10.57</v>
      </c>
      <c r="C4" s="467">
        <v>19.760000000000002</v>
      </c>
      <c r="D4" s="467">
        <v>25.86</v>
      </c>
      <c r="G4" s="519"/>
      <c r="H4" s="466" t="s">
        <v>26</v>
      </c>
      <c r="I4" s="462" t="s">
        <v>671</v>
      </c>
      <c r="J4" s="462" t="s">
        <v>665</v>
      </c>
    </row>
    <row r="5" spans="1:10" x14ac:dyDescent="0.35">
      <c r="A5" s="464" t="s">
        <v>638</v>
      </c>
      <c r="B5" s="467">
        <v>5</v>
      </c>
      <c r="C5" s="467">
        <v>9.35</v>
      </c>
      <c r="D5" s="467">
        <v>12.23</v>
      </c>
      <c r="G5" s="462">
        <v>1</v>
      </c>
      <c r="H5" s="468">
        <f>VLOOKUP($G$2,$A$1:$D$6,2,0)</f>
        <v>1.51</v>
      </c>
      <c r="I5" s="468">
        <f>VLOOKUP($G$2,$A$9:$D$14,2,0)</f>
        <v>0.36</v>
      </c>
      <c r="J5" s="468">
        <f>VLOOKUP($G$2,$A$17:$D$22,2,0)</f>
        <v>1.86</v>
      </c>
    </row>
    <row r="6" spans="1:10" x14ac:dyDescent="0.35">
      <c r="A6" s="464" t="s">
        <v>655</v>
      </c>
      <c r="B6" s="486">
        <v>2.0099999999999998</v>
      </c>
      <c r="C6" s="486">
        <v>3.76</v>
      </c>
      <c r="D6" s="486">
        <v>4.92</v>
      </c>
      <c r="G6" s="462">
        <v>5</v>
      </c>
      <c r="H6" s="468">
        <f>VLOOKUP($G$2,$A$1:$D$6,3,0)</f>
        <v>2.82</v>
      </c>
      <c r="I6" s="468">
        <f>VLOOKUP($G$2,$A$9:$D$14,3,0)</f>
        <v>1.82</v>
      </c>
      <c r="J6" s="468">
        <f>VLOOKUP($G$2,$A$17:$D$22,3,0)</f>
        <v>4.6399999999999997</v>
      </c>
    </row>
    <row r="7" spans="1:10" x14ac:dyDescent="0.35">
      <c r="G7" s="462">
        <v>10</v>
      </c>
      <c r="H7" s="468">
        <f>VLOOKUP($G$2,$A$1:$D$6,4,0)</f>
        <v>3.68</v>
      </c>
      <c r="I7" s="468">
        <f>VLOOKUP($G$2,$A$9:$D$14,4,0)</f>
        <v>5.32</v>
      </c>
      <c r="J7" s="468">
        <f>VLOOKUP($G$2,$A$17:$D$22,4,0)</f>
        <v>9</v>
      </c>
    </row>
    <row r="9" spans="1:10" ht="15" customHeight="1" x14ac:dyDescent="0.35">
      <c r="A9" s="463" t="s">
        <v>671</v>
      </c>
      <c r="B9" s="464" t="s">
        <v>434</v>
      </c>
      <c r="C9" s="464" t="s">
        <v>436</v>
      </c>
      <c r="D9" s="464" t="s">
        <v>435</v>
      </c>
    </row>
    <row r="10" spans="1:10" x14ac:dyDescent="0.35">
      <c r="A10" s="464" t="s">
        <v>125</v>
      </c>
      <c r="B10" s="467">
        <v>0.36</v>
      </c>
      <c r="C10" s="467">
        <v>1.82</v>
      </c>
      <c r="D10" s="467">
        <v>5.32</v>
      </c>
    </row>
    <row r="11" spans="1:10" x14ac:dyDescent="0.35">
      <c r="A11" s="464" t="s">
        <v>126</v>
      </c>
      <c r="B11" s="467">
        <v>1.08</v>
      </c>
      <c r="C11" s="467">
        <v>5.47</v>
      </c>
      <c r="D11" s="467">
        <v>15.98</v>
      </c>
    </row>
    <row r="12" spans="1:10" x14ac:dyDescent="0.35">
      <c r="A12" s="464" t="s">
        <v>196</v>
      </c>
      <c r="B12" s="467">
        <v>2.52</v>
      </c>
      <c r="C12" s="467">
        <v>12.78</v>
      </c>
      <c r="D12" s="467">
        <v>37.32</v>
      </c>
    </row>
    <row r="13" spans="1:10" x14ac:dyDescent="0.35">
      <c r="A13" s="464" t="s">
        <v>638</v>
      </c>
      <c r="B13" s="467">
        <v>1.19</v>
      </c>
      <c r="C13" s="467">
        <v>6.04</v>
      </c>
      <c r="D13" s="467">
        <v>17.649999999999999</v>
      </c>
    </row>
    <row r="14" spans="1:10" x14ac:dyDescent="0.35">
      <c r="A14" s="464" t="s">
        <v>655</v>
      </c>
      <c r="B14" s="467">
        <v>0.48</v>
      </c>
      <c r="C14" s="467">
        <v>2.4300000000000002</v>
      </c>
      <c r="D14" s="467">
        <v>7.1</v>
      </c>
    </row>
    <row r="17" spans="1:4" x14ac:dyDescent="0.35">
      <c r="A17" s="463" t="s">
        <v>711</v>
      </c>
      <c r="B17" s="464" t="s">
        <v>434</v>
      </c>
      <c r="C17" s="464" t="s">
        <v>436</v>
      </c>
      <c r="D17" s="464" t="s">
        <v>435</v>
      </c>
    </row>
    <row r="18" spans="1:4" x14ac:dyDescent="0.35">
      <c r="A18" s="464" t="s">
        <v>125</v>
      </c>
      <c r="B18" s="467">
        <v>1.86</v>
      </c>
      <c r="C18" s="467">
        <v>4.6399999999999997</v>
      </c>
      <c r="D18" s="467">
        <v>9</v>
      </c>
    </row>
    <row r="19" spans="1:4" x14ac:dyDescent="0.35">
      <c r="A19" s="464" t="s">
        <v>126</v>
      </c>
      <c r="B19" s="467">
        <v>5.61</v>
      </c>
      <c r="C19" s="467">
        <v>13.94</v>
      </c>
      <c r="D19" s="467">
        <v>27.06</v>
      </c>
    </row>
    <row r="20" spans="1:4" x14ac:dyDescent="0.35">
      <c r="A20" s="464" t="s">
        <v>196</v>
      </c>
      <c r="B20" s="467">
        <v>13.09</v>
      </c>
      <c r="C20" s="467">
        <v>32.54</v>
      </c>
      <c r="D20" s="467">
        <v>63.18</v>
      </c>
    </row>
    <row r="21" spans="1:4" x14ac:dyDescent="0.35">
      <c r="A21" s="464" t="s">
        <v>638</v>
      </c>
      <c r="B21" s="467">
        <v>6.19</v>
      </c>
      <c r="C21" s="467">
        <v>15.39</v>
      </c>
      <c r="D21" s="467">
        <v>29.88</v>
      </c>
    </row>
    <row r="22" spans="1:4" x14ac:dyDescent="0.35">
      <c r="A22" s="464" t="s">
        <v>655</v>
      </c>
      <c r="B22" s="467">
        <v>2.4900000000000002</v>
      </c>
      <c r="C22" s="467">
        <v>6.19</v>
      </c>
      <c r="D22" s="467">
        <v>12.02</v>
      </c>
    </row>
    <row r="24" spans="1:4" x14ac:dyDescent="0.35">
      <c r="A24" s="465" t="s">
        <v>716</v>
      </c>
      <c r="B24" s="464" t="s">
        <v>434</v>
      </c>
      <c r="C24" s="464" t="s">
        <v>436</v>
      </c>
      <c r="D24" s="464" t="s">
        <v>435</v>
      </c>
    </row>
    <row r="25" spans="1:4" x14ac:dyDescent="0.35">
      <c r="A25" s="464" t="s">
        <v>125</v>
      </c>
      <c r="B25" s="487">
        <f>B18-B10-B2</f>
        <v>-1.0000000000000009E-2</v>
      </c>
      <c r="C25" s="487">
        <f t="shared" ref="C25:D25" si="0">C18-C10-C2</f>
        <v>0</v>
      </c>
      <c r="D25" s="487">
        <f t="shared" si="0"/>
        <v>0</v>
      </c>
    </row>
    <row r="26" spans="1:4" x14ac:dyDescent="0.35">
      <c r="A26" s="464" t="s">
        <v>126</v>
      </c>
      <c r="B26" s="487">
        <f t="shared" ref="B26:D29" si="1">B19-B11-B3</f>
        <v>0</v>
      </c>
      <c r="C26" s="487">
        <f>C19-C11-C3</f>
        <v>9.9999999999980105E-3</v>
      </c>
      <c r="D26" s="487">
        <f t="shared" si="1"/>
        <v>0</v>
      </c>
    </row>
    <row r="27" spans="1:4" x14ac:dyDescent="0.35">
      <c r="A27" s="464" t="s">
        <v>196</v>
      </c>
      <c r="B27" s="487">
        <f t="shared" si="1"/>
        <v>0</v>
      </c>
      <c r="C27" s="487">
        <f t="shared" si="1"/>
        <v>0</v>
      </c>
      <c r="D27" s="487">
        <f t="shared" si="1"/>
        <v>0</v>
      </c>
    </row>
    <row r="28" spans="1:4" x14ac:dyDescent="0.35">
      <c r="A28" s="464" t="s">
        <v>638</v>
      </c>
      <c r="B28" s="487">
        <f t="shared" si="1"/>
        <v>0</v>
      </c>
      <c r="C28" s="487">
        <f t="shared" si="1"/>
        <v>0</v>
      </c>
      <c r="D28" s="487">
        <f t="shared" si="1"/>
        <v>0</v>
      </c>
    </row>
    <row r="29" spans="1:4" x14ac:dyDescent="0.35">
      <c r="A29" s="464" t="s">
        <v>655</v>
      </c>
      <c r="B29" s="487">
        <f t="shared" si="1"/>
        <v>0</v>
      </c>
      <c r="C29" s="487">
        <f t="shared" si="1"/>
        <v>0</v>
      </c>
      <c r="D29" s="487">
        <f t="shared" si="1"/>
        <v>0</v>
      </c>
    </row>
  </sheetData>
  <mergeCells count="2">
    <mergeCell ref="G3:G4"/>
    <mergeCell ref="H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L85"/>
  <sheetViews>
    <sheetView zoomScaleNormal="100" workbookViewId="0"/>
  </sheetViews>
  <sheetFormatPr defaultRowHeight="14.5" x14ac:dyDescent="0.35"/>
  <cols>
    <col min="2" max="2" width="20.1796875" customWidth="1"/>
    <col min="3" max="5" width="13.1796875" customWidth="1"/>
    <col min="6" max="6" width="18.26953125" customWidth="1"/>
    <col min="7" max="8" width="13.1796875" customWidth="1"/>
    <col min="9" max="9" width="16.7265625" customWidth="1"/>
    <col min="10" max="10" width="9.1796875" customWidth="1"/>
    <col min="11" max="11" width="16.81640625" customWidth="1"/>
  </cols>
  <sheetData>
    <row r="1" spans="1:12" s="171" customFormat="1" ht="30" customHeight="1" x14ac:dyDescent="0.5">
      <c r="A1" s="21" t="s">
        <v>122</v>
      </c>
      <c r="B1" s="21"/>
      <c r="C1" s="21"/>
      <c r="D1" s="21"/>
      <c r="E1" s="21"/>
      <c r="F1" s="21"/>
      <c r="G1" s="21"/>
      <c r="H1" s="21"/>
      <c r="I1" s="21"/>
      <c r="J1" s="21"/>
      <c r="K1" s="21"/>
      <c r="L1" s="21"/>
    </row>
    <row r="3" spans="1:12" s="38" customFormat="1" x14ac:dyDescent="0.35"/>
    <row r="4" spans="1:12" x14ac:dyDescent="0.35">
      <c r="B4" s="72" t="s">
        <v>92</v>
      </c>
      <c r="C4" s="72"/>
      <c r="D4" s="72"/>
      <c r="E4" s="72"/>
      <c r="F4" s="72"/>
      <c r="G4" s="72"/>
      <c r="I4" s="18" t="s">
        <v>16</v>
      </c>
      <c r="J4" s="18" t="s">
        <v>12</v>
      </c>
    </row>
    <row r="5" spans="1:12" s="38" customFormat="1" x14ac:dyDescent="0.35">
      <c r="B5" s="499" t="s">
        <v>31</v>
      </c>
      <c r="C5" s="500"/>
      <c r="D5" s="500"/>
      <c r="E5" s="500"/>
      <c r="F5" s="500"/>
      <c r="G5" s="501"/>
    </row>
    <row r="6" spans="1:12" s="38" customFormat="1" x14ac:dyDescent="0.35">
      <c r="B6" s="502"/>
      <c r="C6" s="503"/>
      <c r="D6" s="503"/>
      <c r="E6" s="503"/>
      <c r="F6" s="503"/>
      <c r="G6" s="504"/>
      <c r="I6" s="16" t="s">
        <v>662</v>
      </c>
    </row>
    <row r="7" spans="1:12" x14ac:dyDescent="0.35">
      <c r="B7" s="502"/>
      <c r="C7" s="503"/>
      <c r="D7" s="503"/>
      <c r="E7" s="503"/>
      <c r="F7" s="503"/>
      <c r="G7" s="504"/>
    </row>
    <row r="8" spans="1:12" x14ac:dyDescent="0.35">
      <c r="B8" s="69" t="s">
        <v>107</v>
      </c>
      <c r="C8" s="27"/>
      <c r="D8" s="27"/>
      <c r="E8" s="27"/>
      <c r="F8" s="27"/>
      <c r="G8" s="74" t="s">
        <v>32</v>
      </c>
    </row>
    <row r="9" spans="1:12" x14ac:dyDescent="0.35">
      <c r="B9" s="69" t="s">
        <v>108</v>
      </c>
      <c r="C9" s="27"/>
      <c r="D9" s="27"/>
      <c r="E9" s="27"/>
      <c r="F9" s="27"/>
      <c r="G9" s="75">
        <f>'1.1'!I37</f>
        <v>10607577</v>
      </c>
      <c r="I9" s="16" t="s">
        <v>193</v>
      </c>
      <c r="J9" s="22"/>
    </row>
    <row r="10" spans="1:12" x14ac:dyDescent="0.35">
      <c r="B10" s="69" t="s">
        <v>110</v>
      </c>
      <c r="C10" s="27"/>
      <c r="D10" s="27"/>
      <c r="E10" s="27"/>
      <c r="F10" s="27"/>
      <c r="G10" s="76">
        <v>0.85</v>
      </c>
      <c r="I10" s="16" t="s">
        <v>70</v>
      </c>
      <c r="J10" s="17" t="s">
        <v>44</v>
      </c>
    </row>
    <row r="11" spans="1:12" x14ac:dyDescent="0.35">
      <c r="B11" s="69" t="s">
        <v>109</v>
      </c>
      <c r="C11" s="27"/>
      <c r="D11" s="27"/>
      <c r="E11" s="27"/>
      <c r="F11" s="27"/>
      <c r="G11" s="74" t="s">
        <v>32</v>
      </c>
      <c r="K11" s="16"/>
    </row>
    <row r="12" spans="1:12" x14ac:dyDescent="0.35">
      <c r="B12" s="70" t="s">
        <v>28</v>
      </c>
      <c r="C12" s="71"/>
      <c r="D12" s="71"/>
      <c r="E12" s="71"/>
      <c r="F12" s="71"/>
      <c r="G12" s="77"/>
      <c r="K12" s="16"/>
    </row>
    <row r="13" spans="1:12" x14ac:dyDescent="0.35">
      <c r="K13" s="16"/>
    </row>
    <row r="14" spans="1:12" s="38" customFormat="1" x14ac:dyDescent="0.35">
      <c r="I14" s="16" t="s">
        <v>594</v>
      </c>
      <c r="K14" s="16"/>
    </row>
    <row r="15" spans="1:12" x14ac:dyDescent="0.35">
      <c r="I15" s="16" t="s">
        <v>450</v>
      </c>
      <c r="K15" s="16"/>
    </row>
    <row r="16" spans="1:12" x14ac:dyDescent="0.35">
      <c r="B16" s="72" t="s">
        <v>449</v>
      </c>
      <c r="C16" s="72"/>
      <c r="D16" s="72"/>
      <c r="E16" s="72"/>
      <c r="F16" s="72"/>
      <c r="I16" s="16" t="s">
        <v>601</v>
      </c>
      <c r="K16" s="16"/>
    </row>
    <row r="17" spans="2:11" s="38" customFormat="1" x14ac:dyDescent="0.35">
      <c r="B17" s="72"/>
      <c r="C17" s="72"/>
      <c r="D17" s="72"/>
      <c r="E17" s="72"/>
      <c r="F17" s="72"/>
      <c r="I17" s="16" t="s">
        <v>709</v>
      </c>
      <c r="J17" s="16"/>
      <c r="K17" s="16"/>
    </row>
    <row r="18" spans="2:11" ht="31.5" customHeight="1" thickBot="1" x14ac:dyDescent="0.4">
      <c r="B18" s="46" t="s">
        <v>29</v>
      </c>
      <c r="C18" s="47" t="s">
        <v>45</v>
      </c>
      <c r="D18" s="48" t="s">
        <v>192</v>
      </c>
      <c r="E18" s="46" t="s">
        <v>71</v>
      </c>
      <c r="F18" s="48" t="s">
        <v>33</v>
      </c>
      <c r="G18" s="38"/>
      <c r="K18" s="16"/>
    </row>
    <row r="19" spans="2:11" x14ac:dyDescent="0.35">
      <c r="B19" s="27"/>
      <c r="C19" s="312"/>
      <c r="D19" s="27"/>
      <c r="E19" s="27"/>
      <c r="F19" s="27"/>
      <c r="G19" s="56"/>
      <c r="I19" s="16" t="s">
        <v>46</v>
      </c>
      <c r="J19" s="17" t="s">
        <v>44</v>
      </c>
      <c r="K19" s="16"/>
    </row>
    <row r="20" spans="2:11" x14ac:dyDescent="0.35">
      <c r="B20" s="25" t="s">
        <v>34</v>
      </c>
      <c r="C20" s="44">
        <v>0.31817364731260117</v>
      </c>
      <c r="D20" s="42">
        <f t="shared" ref="D20:D33" si="0">C20*$G$9</f>
        <v>3375051.46323926</v>
      </c>
      <c r="E20" s="44">
        <f>IF(OUTLINE!$C$45="Typical Use", 9%, IF(OUTLINE!$C$45="Perfect Use", 0.3%,0))</f>
        <v>0.09</v>
      </c>
      <c r="F20" s="42">
        <f t="shared" ref="F20:F33" si="1">D20*($G$10-E20)</f>
        <v>2565039.1120618377</v>
      </c>
      <c r="G20" s="56"/>
      <c r="I20" s="16" t="s">
        <v>602</v>
      </c>
      <c r="K20" s="16"/>
    </row>
    <row r="21" spans="2:11" x14ac:dyDescent="0.35">
      <c r="B21" s="25" t="s">
        <v>35</v>
      </c>
      <c r="C21" s="44">
        <v>0.22541793996045301</v>
      </c>
      <c r="D21" s="42">
        <f t="shared" si="0"/>
        <v>2391138.155311882</v>
      </c>
      <c r="E21" s="44">
        <f>IF(OUTLINE!$C$45="Typical Use", 18%, IF(OUTLINE!$C$45="Perfect Use", 2%,0))</f>
        <v>0.18</v>
      </c>
      <c r="F21" s="42">
        <f t="shared" si="1"/>
        <v>1602062.5640589609</v>
      </c>
      <c r="G21" s="56"/>
      <c r="K21" s="16"/>
    </row>
    <row r="22" spans="2:11" x14ac:dyDescent="0.35">
      <c r="B22" s="25" t="s">
        <v>36</v>
      </c>
      <c r="C22" s="44">
        <v>1.6897357540895198E-2</v>
      </c>
      <c r="D22" s="42">
        <f t="shared" si="0"/>
        <v>179240.02121157647</v>
      </c>
      <c r="E22" s="44">
        <f>IF(OUTLINE!$C$45="Typical Use", 22%, IF(OUTLINE!$C$45="Perfect Use", 4%,0))</f>
        <v>0.22</v>
      </c>
      <c r="F22" s="42">
        <f t="shared" si="1"/>
        <v>112921.21336329318</v>
      </c>
      <c r="G22" s="56"/>
      <c r="K22" s="16"/>
    </row>
    <row r="23" spans="2:11" x14ac:dyDescent="0.35">
      <c r="B23" s="25" t="s">
        <v>641</v>
      </c>
      <c r="C23" s="44">
        <v>6.0758583498112528E-2</v>
      </c>
      <c r="D23" s="42">
        <f t="shared" si="0"/>
        <v>644501.35286715801</v>
      </c>
      <c r="E23" s="44">
        <f>IF(OUTLINE!$C$45="Typical Use", 0.5%, IF(OUTLINE!$C$45="Perfect Use", 0.4%,0))</f>
        <v>5.0000000000000001E-3</v>
      </c>
      <c r="F23" s="42">
        <f t="shared" si="1"/>
        <v>544603.6431727485</v>
      </c>
      <c r="G23" s="56"/>
      <c r="I23" s="16" t="s">
        <v>595</v>
      </c>
      <c r="K23" s="16"/>
    </row>
    <row r="24" spans="2:11" x14ac:dyDescent="0.35">
      <c r="B24" s="25" t="s">
        <v>38</v>
      </c>
      <c r="C24" s="44">
        <v>3.828869315117743E-2</v>
      </c>
      <c r="D24" s="42">
        <f t="shared" si="0"/>
        <v>406150.26083048724</v>
      </c>
      <c r="E24" s="44">
        <f>IF(OUTLINE!$C$45="Typical Use", 6%, IF(OUTLINE!$C$45="Perfect Use", 0.2%,0))</f>
        <v>0.06</v>
      </c>
      <c r="F24" s="42">
        <f t="shared" si="1"/>
        <v>320858.70605608495</v>
      </c>
      <c r="G24" s="56"/>
      <c r="I24" s="16"/>
      <c r="J24" s="17"/>
    </row>
    <row r="25" spans="2:11" x14ac:dyDescent="0.35">
      <c r="B25" s="25" t="s">
        <v>39</v>
      </c>
      <c r="C25" s="44">
        <v>6.3454970339744746E-2</v>
      </c>
      <c r="D25" s="42">
        <f t="shared" si="0"/>
        <v>673103.48391155852</v>
      </c>
      <c r="E25" s="44">
        <f>IF(OUTLINE!$C$45="Typical Use", 0.05%, IF(OUTLINE!$C$45="Perfect Use", 0.05%,0))</f>
        <v>5.0000000000000001E-4</v>
      </c>
      <c r="F25" s="42">
        <f t="shared" si="1"/>
        <v>571801.40958286903</v>
      </c>
      <c r="G25" s="56"/>
      <c r="I25" s="16"/>
    </row>
    <row r="26" spans="2:11" x14ac:dyDescent="0.35">
      <c r="B26" s="25" t="s">
        <v>40</v>
      </c>
      <c r="C26" s="44">
        <v>7.1903649110192339E-4</v>
      </c>
      <c r="D26" s="42">
        <f t="shared" si="0"/>
        <v>7627.2349451734672</v>
      </c>
      <c r="E26" s="44">
        <f>IF(OUTLINE!$C$45="Typical Use", 9%, IF(OUTLINE!$C$45="Perfect Use", 0.3%,0))</f>
        <v>0.09</v>
      </c>
      <c r="F26" s="42">
        <f t="shared" si="1"/>
        <v>5796.6985583318356</v>
      </c>
      <c r="G26" s="56"/>
    </row>
    <row r="27" spans="2:11" x14ac:dyDescent="0.35">
      <c r="B27" s="25" t="s">
        <v>41</v>
      </c>
      <c r="C27" s="44">
        <v>6.8308466654682732E-3</v>
      </c>
      <c r="D27" s="42">
        <f t="shared" si="0"/>
        <v>72458.731979147953</v>
      </c>
      <c r="E27" s="44">
        <f>IF(OUTLINE!$C$45="Typical Use", 24%, IF(OUTLINE!$C$45="Perfect Use", 5%,0))</f>
        <v>0.24</v>
      </c>
      <c r="F27" s="42">
        <f t="shared" si="1"/>
        <v>44199.826507280253</v>
      </c>
      <c r="G27" s="56"/>
      <c r="I27" s="16"/>
    </row>
    <row r="28" spans="2:11" x14ac:dyDescent="0.35">
      <c r="B28" s="25" t="s">
        <v>67</v>
      </c>
      <c r="C28" s="44">
        <v>1.7975912277548086E-3</v>
      </c>
      <c r="D28" s="42">
        <f t="shared" si="0"/>
        <v>19068.087362933667</v>
      </c>
      <c r="E28" s="44">
        <f>IF(OUTLINE!$C$45="Typical Use", 12%, IF(OUTLINE!$C$45="Perfect Use", 6%,0))</f>
        <v>0.12</v>
      </c>
      <c r="F28" s="42">
        <f t="shared" si="1"/>
        <v>13919.703774941578</v>
      </c>
      <c r="G28" s="56"/>
      <c r="K28" s="16"/>
    </row>
    <row r="29" spans="2:11" x14ac:dyDescent="0.35">
      <c r="B29" s="25" t="s">
        <v>42</v>
      </c>
      <c r="C29" s="44">
        <v>7.1903649110192339E-4</v>
      </c>
      <c r="D29" s="42">
        <f t="shared" si="0"/>
        <v>7627.2349451734672</v>
      </c>
      <c r="E29" s="44">
        <f>IF(OUTLINE!$C$45="Typical Use", 28%, IF(OUTLINE!$C$45="Perfect Use", 18%,0))</f>
        <v>0.28000000000000003</v>
      </c>
      <c r="F29" s="42">
        <f t="shared" si="1"/>
        <v>4347.523918748876</v>
      </c>
      <c r="G29" s="56"/>
      <c r="H29" s="422"/>
      <c r="K29" s="16"/>
    </row>
    <row r="30" spans="2:11" x14ac:dyDescent="0.35">
      <c r="B30" s="25" t="s">
        <v>47</v>
      </c>
      <c r="C30" s="44">
        <v>3.5951824555096169E-4</v>
      </c>
      <c r="D30" s="42">
        <f t="shared" si="0"/>
        <v>3813.6174725867336</v>
      </c>
      <c r="E30" s="44">
        <f>IF(OUTLINE!$C$45="Typical Use", 9%, IF(OUTLINE!$C$45="Perfect Use", 0.3%,0))</f>
        <v>0.09</v>
      </c>
      <c r="F30" s="42">
        <f t="shared" si="1"/>
        <v>2898.3492791659178</v>
      </c>
      <c r="G30" s="56"/>
      <c r="H30" s="422"/>
    </row>
    <row r="31" spans="2:11" x14ac:dyDescent="0.35">
      <c r="B31" s="25" t="s">
        <v>69</v>
      </c>
      <c r="C31" s="44">
        <v>1.9593744382527416E-2</v>
      </c>
      <c r="D31" s="42">
        <f t="shared" si="0"/>
        <v>207842.15225597701</v>
      </c>
      <c r="E31" s="44">
        <f>IF(OUTLINE!$C$45="Typical Use", 0.5%, IF(OUTLINE!$C$45="Perfect Use", 0.5%,0))</f>
        <v>5.0000000000000001E-3</v>
      </c>
      <c r="F31" s="42">
        <f t="shared" si="1"/>
        <v>175626.61865630056</v>
      </c>
      <c r="G31" s="56"/>
    </row>
    <row r="32" spans="2:11" x14ac:dyDescent="0.35">
      <c r="B32" s="27" t="s">
        <v>68</v>
      </c>
      <c r="C32" s="190">
        <v>2.9480496135178863E-2</v>
      </c>
      <c r="D32" s="43">
        <f t="shared" si="0"/>
        <v>312716.63275211217</v>
      </c>
      <c r="E32" s="44">
        <f>IF(OUTLINE!$C$45="Typical Use", 0.15%, IF(OUTLINE!$C$45="Perfect Use", 0.1%,0))</f>
        <v>1.5E-3</v>
      </c>
      <c r="F32" s="42">
        <f t="shared" si="1"/>
        <v>265340.06289016717</v>
      </c>
      <c r="G32" s="56"/>
      <c r="J32" s="33"/>
    </row>
    <row r="33" spans="2:12" ht="15" thickBot="1" x14ac:dyDescent="0.4">
      <c r="B33" s="26" t="s">
        <v>48</v>
      </c>
      <c r="C33" s="191">
        <v>0.21750853855833185</v>
      </c>
      <c r="D33" s="192">
        <f t="shared" si="0"/>
        <v>2307238.570914974</v>
      </c>
      <c r="E33" s="191">
        <f>IF(OUTLINE!$C$45="Typical Use", 85%, IF(OUTLINE!$C$45="Perfect Use", 85%,0))</f>
        <v>0.85</v>
      </c>
      <c r="F33" s="192">
        <f t="shared" si="1"/>
        <v>0</v>
      </c>
      <c r="G33" s="56"/>
    </row>
    <row r="34" spans="2:12" x14ac:dyDescent="0.35">
      <c r="B34" s="365" t="s">
        <v>19</v>
      </c>
      <c r="C34" s="364">
        <f>SUM(C20:C33)</f>
        <v>1</v>
      </c>
      <c r="D34" s="51"/>
      <c r="E34" s="52" t="s">
        <v>43</v>
      </c>
      <c r="F34" s="53">
        <f>SUM(F20:F32)</f>
        <v>6229415.4318807311</v>
      </c>
      <c r="G34" s="38"/>
    </row>
    <row r="35" spans="2:12" x14ac:dyDescent="0.35">
      <c r="B35" s="365"/>
      <c r="C35" s="364"/>
      <c r="D35" s="54"/>
      <c r="E35" s="55"/>
      <c r="F35" s="107"/>
      <c r="G35" s="38"/>
      <c r="I35" s="16"/>
    </row>
    <row r="36" spans="2:12" ht="18.5" x14ac:dyDescent="0.45">
      <c r="B36" s="24"/>
    </row>
    <row r="37" spans="2:12" s="38" customFormat="1" ht="18.5" x14ac:dyDescent="0.45">
      <c r="B37" s="24"/>
    </row>
    <row r="38" spans="2:12" s="38" customFormat="1" x14ac:dyDescent="0.35">
      <c r="B38" s="72" t="str">
        <f>OUTLINE!C23</f>
        <v>Scenario 1</v>
      </c>
      <c r="C38" s="72" t="s">
        <v>683</v>
      </c>
      <c r="D38" s="72"/>
      <c r="E38" s="72"/>
      <c r="F38" s="72"/>
    </row>
    <row r="39" spans="2:12" x14ac:dyDescent="0.35">
      <c r="B39" s="72"/>
      <c r="C39" s="72"/>
      <c r="D39" s="72"/>
      <c r="E39" s="72"/>
      <c r="F39" s="72"/>
      <c r="G39" s="38"/>
      <c r="H39" s="38"/>
      <c r="I39" s="16" t="s">
        <v>471</v>
      </c>
    </row>
    <row r="40" spans="2:12" ht="31.5" customHeight="1" thickBot="1" x14ac:dyDescent="0.4">
      <c r="B40" s="47" t="s">
        <v>29</v>
      </c>
      <c r="C40" s="47" t="s">
        <v>684</v>
      </c>
      <c r="D40" s="47" t="s">
        <v>30</v>
      </c>
      <c r="E40" s="47" t="s">
        <v>685</v>
      </c>
      <c r="F40" s="48" t="s">
        <v>33</v>
      </c>
      <c r="G40" s="38"/>
      <c r="H40" s="38"/>
      <c r="I40" s="38"/>
      <c r="K40" s="38"/>
      <c r="L40" s="17"/>
    </row>
    <row r="41" spans="2:12" x14ac:dyDescent="0.35">
      <c r="B41" s="25" t="s">
        <v>34</v>
      </c>
      <c r="C41" s="44">
        <f>I70</f>
        <v>0.39942477080711852</v>
      </c>
      <c r="D41" s="42">
        <f t="shared" ref="D41:D54" si="2">C41*$G$9</f>
        <v>4236929.0120438617</v>
      </c>
      <c r="E41" s="41">
        <f>IF(OUTLINE!$C$45="Typical Use", 9%, IF(OUTLINE!$C$45="Perfect Use", 0.3%,0))</f>
        <v>0.09</v>
      </c>
      <c r="F41" s="42">
        <f t="shared" ref="F41:F54" si="3">D41*($G$10-E41)</f>
        <v>3220066.0491533349</v>
      </c>
      <c r="G41" s="38"/>
      <c r="H41" s="38"/>
      <c r="I41" s="38"/>
      <c r="J41" s="38"/>
      <c r="K41" s="38"/>
      <c r="L41" s="38"/>
    </row>
    <row r="42" spans="2:12" x14ac:dyDescent="0.35">
      <c r="B42" s="25" t="s">
        <v>35</v>
      </c>
      <c r="C42" s="44">
        <f t="shared" ref="C42:C54" si="4">I71</f>
        <v>0.30666906345497036</v>
      </c>
      <c r="D42" s="42">
        <f t="shared" si="2"/>
        <v>3253015.7041164842</v>
      </c>
      <c r="E42" s="41">
        <f>IF(OUTLINE!$C$45="Typical Use", 18%, IF(OUTLINE!$C$45="Perfect Use", 2%,0))</f>
        <v>0.18</v>
      </c>
      <c r="F42" s="42">
        <f t="shared" si="3"/>
        <v>2179520.5217580441</v>
      </c>
      <c r="H42" s="38"/>
      <c r="I42" s="38"/>
      <c r="J42" s="38"/>
      <c r="K42" s="38"/>
      <c r="L42" s="38"/>
    </row>
    <row r="43" spans="2:12" x14ac:dyDescent="0.35">
      <c r="B43" s="25" t="s">
        <v>36</v>
      </c>
      <c r="C43" s="44">
        <f t="shared" si="4"/>
        <v>1.6897357540895198E-2</v>
      </c>
      <c r="D43" s="42">
        <f t="shared" si="2"/>
        <v>179240.02121157647</v>
      </c>
      <c r="E43" s="41">
        <f>IF(OUTLINE!$C$45="Typical Use", 22%, IF(OUTLINE!$C$45="Perfect Use", 4%,0))</f>
        <v>0.22</v>
      </c>
      <c r="F43" s="42">
        <f t="shared" si="3"/>
        <v>112921.21336329318</v>
      </c>
      <c r="H43" s="38"/>
      <c r="I43" s="38"/>
      <c r="J43" s="38"/>
      <c r="K43" s="38"/>
      <c r="L43" s="38"/>
    </row>
    <row r="44" spans="2:12" s="193" customFormat="1" x14ac:dyDescent="0.35">
      <c r="B44" s="160" t="s">
        <v>641</v>
      </c>
      <c r="C44" s="44">
        <f t="shared" si="4"/>
        <v>0</v>
      </c>
      <c r="D44" s="285">
        <f t="shared" si="2"/>
        <v>0</v>
      </c>
      <c r="E44" s="284">
        <f>IF(OUTLINE!$C$45="Typical Use", 0.5%, IF(OUTLINE!$C$45="Perfect Use", 0.4%,0))</f>
        <v>5.0000000000000001E-3</v>
      </c>
      <c r="F44" s="285">
        <f t="shared" si="3"/>
        <v>0</v>
      </c>
      <c r="H44" s="38"/>
      <c r="I44" s="38"/>
      <c r="J44" s="38"/>
      <c r="K44" s="38"/>
      <c r="L44" s="38"/>
    </row>
    <row r="45" spans="2:12" s="193" customFormat="1" ht="15" customHeight="1" x14ac:dyDescent="0.35">
      <c r="B45" s="160" t="s">
        <v>38</v>
      </c>
      <c r="C45" s="44">
        <f t="shared" si="4"/>
        <v>0</v>
      </c>
      <c r="D45" s="285">
        <f t="shared" si="2"/>
        <v>0</v>
      </c>
      <c r="E45" s="286">
        <f>IF(OUTLINE!$C$45="Typical Use", 6%, IF(OUTLINE!$C$45="Perfect Use", 0.2%,0))</f>
        <v>0.06</v>
      </c>
      <c r="F45" s="285">
        <f t="shared" si="3"/>
        <v>0</v>
      </c>
      <c r="H45" s="38"/>
      <c r="I45" s="38"/>
      <c r="J45" s="38"/>
      <c r="K45" s="38"/>
      <c r="L45" s="38"/>
    </row>
    <row r="46" spans="2:12" s="193" customFormat="1" x14ac:dyDescent="0.35">
      <c r="B46" s="160" t="s">
        <v>39</v>
      </c>
      <c r="C46" s="44">
        <f t="shared" si="4"/>
        <v>0</v>
      </c>
      <c r="D46" s="285">
        <f t="shared" si="2"/>
        <v>0</v>
      </c>
      <c r="E46" s="291">
        <f>IF(OUTLINE!$C$45="Typical Use", 0.05%, IF(OUTLINE!$C$45="Perfect Use", 0.05%,0))</f>
        <v>5.0000000000000001E-4</v>
      </c>
      <c r="F46" s="285">
        <f t="shared" si="3"/>
        <v>0</v>
      </c>
      <c r="H46" s="38"/>
      <c r="I46" s="38"/>
      <c r="J46" s="38"/>
      <c r="K46" s="38"/>
      <c r="L46" s="38"/>
    </row>
    <row r="47" spans="2:12" x14ac:dyDescent="0.35">
      <c r="B47" s="25" t="s">
        <v>40</v>
      </c>
      <c r="C47" s="44">
        <f t="shared" si="4"/>
        <v>7.1903649110192339E-4</v>
      </c>
      <c r="D47" s="42">
        <f t="shared" si="2"/>
        <v>7627.2349451734672</v>
      </c>
      <c r="E47" s="41">
        <f>IF(OUTLINE!$C$45="Typical Use", 9%, IF(OUTLINE!$C$45="Perfect Use", 0.3%,0))</f>
        <v>0.09</v>
      </c>
      <c r="F47" s="42">
        <f t="shared" si="3"/>
        <v>5796.6985583318356</v>
      </c>
      <c r="H47" s="38"/>
      <c r="I47" s="38"/>
      <c r="J47" s="38"/>
      <c r="K47" s="38"/>
      <c r="L47" s="38"/>
    </row>
    <row r="48" spans="2:12" x14ac:dyDescent="0.35">
      <c r="B48" s="25" t="s">
        <v>41</v>
      </c>
      <c r="C48" s="44">
        <f t="shared" si="4"/>
        <v>6.8308466654682732E-3</v>
      </c>
      <c r="D48" s="42">
        <f t="shared" si="2"/>
        <v>72458.731979147953</v>
      </c>
      <c r="E48" s="41">
        <f>IF(OUTLINE!$C$45="Typical Use", 24%, IF(OUTLINE!$C$45="Perfect Use", 5%,0))</f>
        <v>0.24</v>
      </c>
      <c r="F48" s="42">
        <f t="shared" si="3"/>
        <v>44199.826507280253</v>
      </c>
      <c r="H48" s="38"/>
      <c r="I48" s="366"/>
      <c r="J48" s="38"/>
      <c r="K48" s="38"/>
      <c r="L48" s="38"/>
    </row>
    <row r="49" spans="2:12" ht="15" customHeight="1" x14ac:dyDescent="0.35">
      <c r="B49" s="25" t="s">
        <v>67</v>
      </c>
      <c r="C49" s="44">
        <f t="shared" si="4"/>
        <v>1.7975912277548086E-3</v>
      </c>
      <c r="D49" s="42">
        <f t="shared" si="2"/>
        <v>19068.087362933667</v>
      </c>
      <c r="E49" s="41">
        <f>IF(OUTLINE!$C$45="Typical Use", 12%, IF(OUTLINE!$C$45="Perfect Use", 6%,0))</f>
        <v>0.12</v>
      </c>
      <c r="F49" s="42">
        <f t="shared" si="3"/>
        <v>13919.703774941578</v>
      </c>
      <c r="H49" s="383"/>
      <c r="I49" s="38"/>
      <c r="J49" s="38"/>
      <c r="K49" s="38"/>
      <c r="L49" s="38"/>
    </row>
    <row r="50" spans="2:12" x14ac:dyDescent="0.35">
      <c r="B50" s="25" t="s">
        <v>42</v>
      </c>
      <c r="C50" s="44">
        <f t="shared" si="4"/>
        <v>7.1903649110192339E-4</v>
      </c>
      <c r="D50" s="42">
        <f t="shared" si="2"/>
        <v>7627.2349451734672</v>
      </c>
      <c r="E50" s="41">
        <f>IF(OUTLINE!$C$45="Typical Use", 28%, IF(OUTLINE!$C$45="Perfect Use", 18%,0))</f>
        <v>0.28000000000000003</v>
      </c>
      <c r="F50" s="42">
        <f t="shared" si="3"/>
        <v>4347.523918748876</v>
      </c>
      <c r="H50" s="33"/>
      <c r="I50" s="38"/>
      <c r="J50" s="38"/>
      <c r="K50" s="38"/>
      <c r="L50" s="38"/>
    </row>
    <row r="51" spans="2:12" ht="15.75" customHeight="1" x14ac:dyDescent="0.35">
      <c r="B51" s="160" t="s">
        <v>47</v>
      </c>
      <c r="C51" s="44">
        <f t="shared" si="4"/>
        <v>3.5951824555096169E-4</v>
      </c>
      <c r="D51" s="285">
        <f t="shared" si="2"/>
        <v>3813.6174725867336</v>
      </c>
      <c r="E51" s="286">
        <f>IF(OUTLINE!$C$45="Typical Use", 9%, IF(OUTLINE!$C$45="Perfect Use", 0.3%,0))</f>
        <v>0.09</v>
      </c>
      <c r="F51" s="285">
        <f t="shared" si="3"/>
        <v>2898.3492791659178</v>
      </c>
      <c r="H51" s="78"/>
      <c r="I51" s="78"/>
      <c r="J51" s="78"/>
      <c r="K51" s="78"/>
    </row>
    <row r="52" spans="2:12" s="193" customFormat="1" x14ac:dyDescent="0.35">
      <c r="B52" s="160" t="s">
        <v>69</v>
      </c>
      <c r="C52" s="44">
        <f t="shared" si="4"/>
        <v>1.9593744382527416E-2</v>
      </c>
      <c r="D52" s="285">
        <f t="shared" si="2"/>
        <v>207842.15225597701</v>
      </c>
      <c r="E52" s="284">
        <f>IF(OUTLINE!$C$45="Typical Use", 0.5%, IF(OUTLINE!$C$45="Perfect Use", 0.5%,0))</f>
        <v>5.0000000000000001E-3</v>
      </c>
      <c r="F52" s="285">
        <f t="shared" si="3"/>
        <v>175626.61865630056</v>
      </c>
      <c r="H52" s="194"/>
      <c r="I52" s="194"/>
      <c r="J52" s="194"/>
      <c r="K52" s="194"/>
    </row>
    <row r="53" spans="2:12" s="193" customFormat="1" x14ac:dyDescent="0.35">
      <c r="B53" s="381" t="s">
        <v>68</v>
      </c>
      <c r="C53" s="44">
        <f t="shared" si="4"/>
        <v>2.9480496135178863E-2</v>
      </c>
      <c r="D53" s="287">
        <f t="shared" si="2"/>
        <v>312716.63275211217</v>
      </c>
      <c r="E53" s="284">
        <f>IF(OUTLINE!$C$45="Typical Use", 0.15%, IF(OUTLINE!$C$45="Perfect Use", 0.1%,0))</f>
        <v>1.5E-3</v>
      </c>
      <c r="F53" s="285">
        <f t="shared" si="3"/>
        <v>265340.06289016717</v>
      </c>
      <c r="H53" s="194"/>
      <c r="I53" s="194"/>
      <c r="J53" s="194"/>
      <c r="K53" s="194"/>
    </row>
    <row r="54" spans="2:12" ht="15" thickBot="1" x14ac:dyDescent="0.4">
      <c r="B54" s="288" t="s">
        <v>48</v>
      </c>
      <c r="C54" s="191">
        <f t="shared" si="4"/>
        <v>0.21750853855833185</v>
      </c>
      <c r="D54" s="289">
        <f t="shared" si="2"/>
        <v>2307238.570914974</v>
      </c>
      <c r="E54" s="290">
        <f>IF(OUTLINE!$C$45="Typical Use", 85%, IF(OUTLINE!$C$45="Perfect Use", 85%,0))</f>
        <v>0.85</v>
      </c>
      <c r="F54" s="289">
        <f t="shared" si="3"/>
        <v>0</v>
      </c>
      <c r="H54" s="54"/>
      <c r="I54" s="54"/>
      <c r="J54" s="54"/>
      <c r="K54" s="54"/>
    </row>
    <row r="55" spans="2:12" x14ac:dyDescent="0.35">
      <c r="B55" s="38"/>
      <c r="C55" s="364"/>
      <c r="D55" s="51"/>
      <c r="E55" s="52" t="s">
        <v>43</v>
      </c>
      <c r="F55" s="53">
        <f>SUM(F41:F53)</f>
        <v>6024636.5678596096</v>
      </c>
    </row>
    <row r="56" spans="2:12" x14ac:dyDescent="0.35">
      <c r="B56" s="38"/>
      <c r="C56" s="38"/>
      <c r="D56" s="54"/>
      <c r="E56" s="55"/>
      <c r="F56" s="107"/>
    </row>
    <row r="58" spans="2:12" x14ac:dyDescent="0.35">
      <c r="B58" s="72" t="s">
        <v>91</v>
      </c>
      <c r="C58" s="72"/>
      <c r="D58" s="72"/>
      <c r="E58" s="72"/>
      <c r="F58" s="73">
        <f>F34-F55</f>
        <v>204778.86402112152</v>
      </c>
    </row>
    <row r="59" spans="2:12" x14ac:dyDescent="0.35">
      <c r="B59" s="72"/>
      <c r="C59" s="108" t="s">
        <v>136</v>
      </c>
      <c r="D59" s="72"/>
      <c r="E59" s="72"/>
      <c r="F59" s="73">
        <f>F58*(1-'2.1'!I20-'2.1'!I28)</f>
        <v>73720.391047603742</v>
      </c>
      <c r="I59" s="16" t="s">
        <v>448</v>
      </c>
    </row>
    <row r="61" spans="2:12" s="38" customFormat="1" x14ac:dyDescent="0.35"/>
    <row r="62" spans="2:12" s="38" customFormat="1" x14ac:dyDescent="0.35">
      <c r="B62" s="195"/>
      <c r="C62" s="54"/>
      <c r="D62" s="195"/>
      <c r="E62" s="196"/>
      <c r="F62" s="196"/>
      <c r="G62" s="196"/>
      <c r="H62" s="196"/>
    </row>
    <row r="63" spans="2:12" s="38" customFormat="1" x14ac:dyDescent="0.35">
      <c r="B63" s="391"/>
      <c r="C63" s="391"/>
      <c r="D63" s="423"/>
    </row>
    <row r="64" spans="2:12" s="38" customFormat="1" x14ac:dyDescent="0.35">
      <c r="B64" s="195"/>
      <c r="C64" s="54"/>
      <c r="D64" s="424"/>
      <c r="E64" s="196"/>
      <c r="F64" s="196"/>
      <c r="G64" s="196"/>
      <c r="H64" s="196"/>
    </row>
    <row r="66" spans="2:11" ht="15" thickBot="1" x14ac:dyDescent="0.4">
      <c r="B66" s="195"/>
      <c r="C66" s="54"/>
      <c r="D66" s="195"/>
      <c r="E66" s="196"/>
      <c r="F66" s="196"/>
      <c r="G66" s="196"/>
      <c r="H66" s="196"/>
    </row>
    <row r="67" spans="2:11" ht="15" thickBot="1" x14ac:dyDescent="0.4">
      <c r="I67" s="412" t="s">
        <v>642</v>
      </c>
    </row>
    <row r="68" spans="2:11" x14ac:dyDescent="0.35">
      <c r="B68" s="1"/>
      <c r="C68" s="403"/>
      <c r="D68" s="404"/>
      <c r="E68" s="404"/>
      <c r="F68" s="404"/>
      <c r="G68" s="404"/>
      <c r="H68" s="413"/>
      <c r="I68" s="421" t="s">
        <v>640</v>
      </c>
    </row>
    <row r="69" spans="2:11" ht="15" thickBot="1" x14ac:dyDescent="0.4">
      <c r="B69" s="1"/>
      <c r="C69" s="458" t="s">
        <v>125</v>
      </c>
      <c r="D69" s="1" t="s">
        <v>126</v>
      </c>
      <c r="E69" s="1" t="s">
        <v>196</v>
      </c>
      <c r="F69" s="1" t="s">
        <v>638</v>
      </c>
      <c r="G69" s="133" t="s">
        <v>655</v>
      </c>
      <c r="H69" s="459" t="s">
        <v>643</v>
      </c>
      <c r="I69" s="454" t="str">
        <f>OUTLINE!C23</f>
        <v>Scenario 1</v>
      </c>
    </row>
    <row r="70" spans="2:11" x14ac:dyDescent="0.35">
      <c r="B70" s="414" t="s">
        <v>34</v>
      </c>
      <c r="C70" s="405">
        <f>C20+((C23+C24+C25)/2)</f>
        <v>0.39942477080711852</v>
      </c>
      <c r="D70" s="406">
        <f>C20+((C23+C24+C25)/3)</f>
        <v>0.37234106297561276</v>
      </c>
      <c r="E70" s="406">
        <f>C20</f>
        <v>0.31817364731260117</v>
      </c>
      <c r="F70" s="406">
        <v>0</v>
      </c>
      <c r="G70" s="406">
        <f>C20+((C23+C24+C25+C31+C32)/2)</f>
        <v>0.42396189106597165</v>
      </c>
      <c r="H70" s="455">
        <v>0</v>
      </c>
      <c r="I70" s="455">
        <f>INDEX(C70:H70, MATCH(OUTLINE!$C$23, '1. AVERTED PREGNANCIES'!$C$69:$H$69, 0))</f>
        <v>0.39942477080711852</v>
      </c>
      <c r="K70" s="461"/>
    </row>
    <row r="71" spans="2:11" x14ac:dyDescent="0.35">
      <c r="B71" s="415" t="s">
        <v>35</v>
      </c>
      <c r="C71" s="407">
        <f>C21+((C23+C24+C25)/2)</f>
        <v>0.30666906345497036</v>
      </c>
      <c r="D71" s="408">
        <f>C21+((C23+C24+C25)/3)</f>
        <v>0.27958535562346459</v>
      </c>
      <c r="E71" s="408">
        <f t="shared" ref="E71:E72" si="5">C21</f>
        <v>0.22541793996045301</v>
      </c>
      <c r="F71" s="408">
        <f>C21+C20+C23+C24+C25+C26+C28+C29+C30+C31+C32</f>
        <v>0.7587632572353048</v>
      </c>
      <c r="G71" s="408">
        <f>C21+((C23+C24+C25+C31+C32)/2)</f>
        <v>0.33120618371382349</v>
      </c>
      <c r="H71" s="456">
        <v>0</v>
      </c>
      <c r="I71" s="456">
        <f>INDEX(C71:H71, MATCH(OUTLINE!$C$23, '1. AVERTED PREGNANCIES'!$C$69:$H$69, 0))</f>
        <v>0.30666906345497036</v>
      </c>
      <c r="K71" s="461"/>
    </row>
    <row r="72" spans="2:11" x14ac:dyDescent="0.35">
      <c r="B72" s="415" t="s">
        <v>36</v>
      </c>
      <c r="C72" s="407">
        <f>C22</f>
        <v>1.6897357540895198E-2</v>
      </c>
      <c r="D72" s="408">
        <f>C22</f>
        <v>1.6897357540895198E-2</v>
      </c>
      <c r="E72" s="408">
        <f t="shared" si="5"/>
        <v>1.6897357540895198E-2</v>
      </c>
      <c r="F72" s="408">
        <f>C22</f>
        <v>1.6897357540895198E-2</v>
      </c>
      <c r="G72" s="408">
        <f>C22</f>
        <v>1.6897357540895198E-2</v>
      </c>
      <c r="H72" s="456">
        <v>0</v>
      </c>
      <c r="I72" s="456">
        <f>INDEX(C72:H72, MATCH(OUTLINE!$C$23, '1. AVERTED PREGNANCIES'!$C$69:$H$69, 0))</f>
        <v>1.6897357540895198E-2</v>
      </c>
      <c r="K72" s="461"/>
    </row>
    <row r="73" spans="2:11" x14ac:dyDescent="0.35">
      <c r="B73" s="416" t="s">
        <v>37</v>
      </c>
      <c r="C73" s="410">
        <v>0</v>
      </c>
      <c r="D73" s="411">
        <v>0</v>
      </c>
      <c r="E73" s="408">
        <v>0</v>
      </c>
      <c r="F73" s="408">
        <v>0</v>
      </c>
      <c r="G73" s="411">
        <v>0</v>
      </c>
      <c r="H73" s="456">
        <v>0</v>
      </c>
      <c r="I73" s="456">
        <f>INDEX(C73:H73, MATCH(OUTLINE!$C$23, '1. AVERTED PREGNANCIES'!$C$69:$H$69, 0))</f>
        <v>0</v>
      </c>
      <c r="K73" s="461"/>
    </row>
    <row r="74" spans="2:11" x14ac:dyDescent="0.35">
      <c r="B74" s="416" t="s">
        <v>38</v>
      </c>
      <c r="C74" s="410">
        <v>0</v>
      </c>
      <c r="D74" s="411">
        <v>0</v>
      </c>
      <c r="E74" s="408">
        <v>0</v>
      </c>
      <c r="F74" s="408">
        <v>0</v>
      </c>
      <c r="G74" s="411">
        <v>0</v>
      </c>
      <c r="H74" s="456">
        <v>0</v>
      </c>
      <c r="I74" s="456">
        <f>INDEX(C74:H74, MATCH(OUTLINE!$C$23, '1. AVERTED PREGNANCIES'!$C$69:$H$69, 0))</f>
        <v>0</v>
      </c>
      <c r="K74" s="461"/>
    </row>
    <row r="75" spans="2:11" x14ac:dyDescent="0.35">
      <c r="B75" s="416" t="s">
        <v>39</v>
      </c>
      <c r="C75" s="410">
        <v>0</v>
      </c>
      <c r="D75" s="411">
        <v>0</v>
      </c>
      <c r="E75" s="408">
        <v>0</v>
      </c>
      <c r="F75" s="408">
        <v>0</v>
      </c>
      <c r="G75" s="411">
        <v>0</v>
      </c>
      <c r="H75" s="456">
        <v>0</v>
      </c>
      <c r="I75" s="456">
        <f>INDEX(C75:H75, MATCH(OUTLINE!$C$23, '1. AVERTED PREGNANCIES'!$C$69:$H$69, 0))</f>
        <v>0</v>
      </c>
      <c r="K75" s="461"/>
    </row>
    <row r="76" spans="2:11" x14ac:dyDescent="0.35">
      <c r="B76" s="415" t="s">
        <v>40</v>
      </c>
      <c r="C76" s="407">
        <f>C26</f>
        <v>7.1903649110192339E-4</v>
      </c>
      <c r="D76" s="408">
        <f>C26</f>
        <v>7.1903649110192339E-4</v>
      </c>
      <c r="E76" s="408">
        <f>C26</f>
        <v>7.1903649110192339E-4</v>
      </c>
      <c r="F76" s="408">
        <v>0</v>
      </c>
      <c r="G76" s="408">
        <f>C26</f>
        <v>7.1903649110192339E-4</v>
      </c>
      <c r="H76" s="456">
        <v>0</v>
      </c>
      <c r="I76" s="456">
        <f>INDEX(C76:H76, MATCH(OUTLINE!$C$23, '1. AVERTED PREGNANCIES'!$C$69:$H$69, 0))</f>
        <v>7.1903649110192339E-4</v>
      </c>
      <c r="K76" s="461"/>
    </row>
    <row r="77" spans="2:11" x14ac:dyDescent="0.35">
      <c r="B77" s="415" t="s">
        <v>41</v>
      </c>
      <c r="C77" s="407">
        <f t="shared" ref="C77:C83" si="6">C27</f>
        <v>6.8308466654682732E-3</v>
      </c>
      <c r="D77" s="408">
        <f t="shared" ref="D77:D78" si="7">C27</f>
        <v>6.8308466654682732E-3</v>
      </c>
      <c r="E77" s="408">
        <f>C27</f>
        <v>6.8308466654682732E-3</v>
      </c>
      <c r="F77" s="408">
        <f>C27</f>
        <v>6.8308466654682732E-3</v>
      </c>
      <c r="G77" s="408">
        <f>C27</f>
        <v>6.8308466654682732E-3</v>
      </c>
      <c r="H77" s="456">
        <v>0</v>
      </c>
      <c r="I77" s="456">
        <f>INDEX(C77:H77, MATCH(OUTLINE!$C$23, '1. AVERTED PREGNANCIES'!$C$69:$H$69, 0))</f>
        <v>6.8308466654682732E-3</v>
      </c>
      <c r="K77" s="461"/>
    </row>
    <row r="78" spans="2:11" x14ac:dyDescent="0.35">
      <c r="B78" s="415" t="s">
        <v>67</v>
      </c>
      <c r="C78" s="407">
        <f t="shared" si="6"/>
        <v>1.7975912277548086E-3</v>
      </c>
      <c r="D78" s="408">
        <f t="shared" si="7"/>
        <v>1.7975912277548086E-3</v>
      </c>
      <c r="E78" s="408">
        <f>C28</f>
        <v>1.7975912277548086E-3</v>
      </c>
      <c r="F78" s="408">
        <v>0</v>
      </c>
      <c r="G78" s="408">
        <f>C28</f>
        <v>1.7975912277548086E-3</v>
      </c>
      <c r="H78" s="456">
        <v>0</v>
      </c>
      <c r="I78" s="456">
        <f>INDEX(C78:H78, MATCH(OUTLINE!$C$23, '1. AVERTED PREGNANCIES'!$C$69:$H$69, 0))</f>
        <v>1.7975912277548086E-3</v>
      </c>
      <c r="K78" s="461"/>
    </row>
    <row r="79" spans="2:11" x14ac:dyDescent="0.35">
      <c r="B79" s="415" t="s">
        <v>42</v>
      </c>
      <c r="C79" s="407">
        <f t="shared" si="6"/>
        <v>7.1903649110192339E-4</v>
      </c>
      <c r="D79" s="408">
        <f t="shared" ref="D79:D82" si="8">C29</f>
        <v>7.1903649110192339E-4</v>
      </c>
      <c r="E79" s="408">
        <f>C29</f>
        <v>7.1903649110192339E-4</v>
      </c>
      <c r="F79" s="408">
        <v>0</v>
      </c>
      <c r="G79" s="408">
        <f t="shared" ref="G79:G80" si="9">C29</f>
        <v>7.1903649110192339E-4</v>
      </c>
      <c r="H79" s="456">
        <v>0</v>
      </c>
      <c r="I79" s="456">
        <f>INDEX(C79:H79, MATCH(OUTLINE!$C$23, '1. AVERTED PREGNANCIES'!$C$69:$H$69, 0))</f>
        <v>7.1903649110192339E-4</v>
      </c>
      <c r="K79" s="461"/>
    </row>
    <row r="80" spans="2:11" x14ac:dyDescent="0.35">
      <c r="B80" s="416" t="s">
        <v>47</v>
      </c>
      <c r="C80" s="407">
        <f t="shared" si="6"/>
        <v>3.5951824555096169E-4</v>
      </c>
      <c r="D80" s="408">
        <f t="shared" si="8"/>
        <v>3.5951824555096169E-4</v>
      </c>
      <c r="E80" s="408">
        <f t="shared" ref="E80:E82" si="10">C30</f>
        <v>3.5951824555096169E-4</v>
      </c>
      <c r="F80" s="408">
        <v>0</v>
      </c>
      <c r="G80" s="408">
        <f t="shared" si="9"/>
        <v>3.5951824555096169E-4</v>
      </c>
      <c r="H80" s="456">
        <v>0</v>
      </c>
      <c r="I80" s="456">
        <f>INDEX(C80:H80, MATCH(OUTLINE!$C$23, '1. AVERTED PREGNANCIES'!$C$69:$H$69, 0))</f>
        <v>3.5951824555096169E-4</v>
      </c>
      <c r="K80" s="461"/>
    </row>
    <row r="81" spans="2:11" x14ac:dyDescent="0.35">
      <c r="B81" s="416" t="s">
        <v>69</v>
      </c>
      <c r="C81" s="407">
        <f t="shared" si="6"/>
        <v>1.9593744382527416E-2</v>
      </c>
      <c r="D81" s="408">
        <f t="shared" si="8"/>
        <v>1.9593744382527416E-2</v>
      </c>
      <c r="E81" s="408">
        <f t="shared" si="10"/>
        <v>1.9593744382527416E-2</v>
      </c>
      <c r="F81" s="408">
        <v>0</v>
      </c>
      <c r="G81" s="408">
        <v>0</v>
      </c>
      <c r="H81" s="456">
        <v>0</v>
      </c>
      <c r="I81" s="456">
        <f>INDEX(C81:H81, MATCH(OUTLINE!$C$23, '1. AVERTED PREGNANCIES'!$C$69:$H$69, 0))</f>
        <v>1.9593744382527416E-2</v>
      </c>
      <c r="K81" s="461"/>
    </row>
    <row r="82" spans="2:11" x14ac:dyDescent="0.35">
      <c r="B82" s="416" t="s">
        <v>68</v>
      </c>
      <c r="C82" s="407">
        <f t="shared" si="6"/>
        <v>2.9480496135178863E-2</v>
      </c>
      <c r="D82" s="408">
        <f t="shared" si="8"/>
        <v>2.9480496135178863E-2</v>
      </c>
      <c r="E82" s="408">
        <f t="shared" si="10"/>
        <v>2.9480496135178863E-2</v>
      </c>
      <c r="F82" s="408">
        <v>0</v>
      </c>
      <c r="G82" s="408">
        <v>0</v>
      </c>
      <c r="H82" s="456">
        <v>0</v>
      </c>
      <c r="I82" s="456">
        <f>INDEX(C82:H82, MATCH(OUTLINE!$C$23, '1. AVERTED PREGNANCIES'!$C$69:$H$69, 0))</f>
        <v>2.9480496135178863E-2</v>
      </c>
      <c r="K82" s="408"/>
    </row>
    <row r="83" spans="2:11" ht="15" thickBot="1" x14ac:dyDescent="0.4">
      <c r="B83" s="417" t="s">
        <v>48</v>
      </c>
      <c r="C83" s="460">
        <f t="shared" si="6"/>
        <v>0.21750853855833185</v>
      </c>
      <c r="D83" s="409">
        <f>C33+((C23+C24+C25)/3)</f>
        <v>0.27167595422134344</v>
      </c>
      <c r="E83" s="409">
        <f>C33+C23+C24+C25</f>
        <v>0.38001078554736656</v>
      </c>
      <c r="F83" s="409">
        <f>C33</f>
        <v>0.21750853855833185</v>
      </c>
      <c r="G83" s="409">
        <f>C33</f>
        <v>0.21750853855833185</v>
      </c>
      <c r="H83" s="457">
        <v>0</v>
      </c>
      <c r="I83" s="457">
        <f>INDEX(C83:H83, MATCH(OUTLINE!$C$23, '1. AVERTED PREGNANCIES'!$C$69:$H$69, 0))</f>
        <v>0.21750853855833185</v>
      </c>
      <c r="K83" s="408"/>
    </row>
    <row r="84" spans="2:11" x14ac:dyDescent="0.35">
      <c r="C84" s="33">
        <f>SUM(C70:C83)</f>
        <v>1</v>
      </c>
      <c r="D84" s="33">
        <f t="shared" ref="D84:F84" si="11">SUM(D70:D83)</f>
        <v>1.0000000000000002</v>
      </c>
      <c r="E84" s="33">
        <f t="shared" si="11"/>
        <v>1</v>
      </c>
      <c r="F84" s="33">
        <f t="shared" si="11"/>
        <v>1</v>
      </c>
      <c r="G84" s="33">
        <f>SUM(G70:G83)</f>
        <v>1</v>
      </c>
      <c r="H84" s="33">
        <f>SUM(H70:H83)</f>
        <v>0</v>
      </c>
      <c r="I84" s="16" t="s">
        <v>708</v>
      </c>
    </row>
    <row r="85" spans="2:11" x14ac:dyDescent="0.35">
      <c r="F85" s="33"/>
    </row>
  </sheetData>
  <mergeCells count="1">
    <mergeCell ref="B5:G7"/>
  </mergeCells>
  <hyperlinks>
    <hyperlink ref="J19" r:id="rId1" xr:uid="{00000000-0004-0000-0100-000000000000}"/>
    <hyperlink ref="J10" r:id="rId2" xr:uid="{00000000-0004-0000-0100-000001000000}"/>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A1:J126"/>
  <sheetViews>
    <sheetView workbookViewId="0">
      <selection activeCell="J17" sqref="J17"/>
    </sheetView>
  </sheetViews>
  <sheetFormatPr defaultRowHeight="14.5" x14ac:dyDescent="0.35"/>
  <cols>
    <col min="3" max="3" width="13.453125" customWidth="1"/>
    <col min="4" max="4" width="10.7265625" customWidth="1"/>
    <col min="5" max="5" width="10.54296875" customWidth="1"/>
  </cols>
  <sheetData>
    <row r="1" spans="1:10" s="172" customFormat="1" ht="31.5" customHeight="1" x14ac:dyDescent="0.5">
      <c r="A1" s="173" t="s">
        <v>395</v>
      </c>
    </row>
    <row r="3" spans="1:10" s="38" customFormat="1" x14ac:dyDescent="0.35">
      <c r="B3" s="5" t="s">
        <v>489</v>
      </c>
    </row>
    <row r="4" spans="1:10" x14ac:dyDescent="0.35">
      <c r="G4" t="s">
        <v>447</v>
      </c>
      <c r="I4" s="17" t="s">
        <v>271</v>
      </c>
    </row>
    <row r="5" spans="1:10" ht="15" thickBot="1" x14ac:dyDescent="0.4">
      <c r="B5" s="213" t="s">
        <v>233</v>
      </c>
      <c r="C5" s="213"/>
      <c r="D5" s="213" t="s">
        <v>232</v>
      </c>
      <c r="E5" s="213" t="s">
        <v>211</v>
      </c>
      <c r="G5" t="s">
        <v>272</v>
      </c>
      <c r="H5" s="17" t="s">
        <v>228</v>
      </c>
    </row>
    <row r="6" spans="1:10" x14ac:dyDescent="0.35">
      <c r="B6" s="204" t="s">
        <v>214</v>
      </c>
      <c r="C6" s="205" t="s">
        <v>215</v>
      </c>
      <c r="D6" s="206">
        <v>9022</v>
      </c>
      <c r="E6" s="209">
        <v>1192.7629416980712</v>
      </c>
      <c r="G6" t="s">
        <v>229</v>
      </c>
      <c r="H6" s="17" t="s">
        <v>230</v>
      </c>
    </row>
    <row r="7" spans="1:10" x14ac:dyDescent="0.35">
      <c r="B7" s="204" t="s">
        <v>216</v>
      </c>
      <c r="C7" s="205" t="s">
        <v>217</v>
      </c>
      <c r="D7" s="206">
        <v>937</v>
      </c>
      <c r="E7" s="209">
        <v>2008.9851334044822</v>
      </c>
      <c r="H7" t="s">
        <v>276</v>
      </c>
    </row>
    <row r="8" spans="1:10" x14ac:dyDescent="0.35">
      <c r="B8" s="204" t="s">
        <v>218</v>
      </c>
      <c r="C8" s="205" t="s">
        <v>219</v>
      </c>
      <c r="D8" s="206">
        <v>46836</v>
      </c>
      <c r="E8" s="209">
        <v>462.10891216158524</v>
      </c>
    </row>
    <row r="9" spans="1:10" x14ac:dyDescent="0.35">
      <c r="B9" s="204" t="s">
        <v>220</v>
      </c>
      <c r="C9" s="205" t="s">
        <v>221</v>
      </c>
      <c r="D9" s="206">
        <v>3134</v>
      </c>
      <c r="E9" s="209">
        <v>1110.0350223356736</v>
      </c>
      <c r="G9" t="s">
        <v>273</v>
      </c>
      <c r="J9" s="45">
        <v>648107</v>
      </c>
    </row>
    <row r="10" spans="1:10" x14ac:dyDescent="0.35">
      <c r="B10" s="204" t="s">
        <v>222</v>
      </c>
      <c r="C10" s="205" t="s">
        <v>223</v>
      </c>
      <c r="D10" s="206">
        <v>39232</v>
      </c>
      <c r="E10" s="209">
        <v>1036.1646874999999</v>
      </c>
      <c r="G10" s="17" t="s">
        <v>274</v>
      </c>
    </row>
    <row r="11" spans="1:10" x14ac:dyDescent="0.35">
      <c r="B11" s="204" t="s">
        <v>224</v>
      </c>
      <c r="C11" s="205" t="s">
        <v>225</v>
      </c>
      <c r="D11" s="206">
        <v>1504</v>
      </c>
      <c r="E11" s="209">
        <v>1560.9704188829792</v>
      </c>
    </row>
    <row r="12" spans="1:10" ht="15" thickBot="1" x14ac:dyDescent="0.4">
      <c r="B12" s="214" t="s">
        <v>226</v>
      </c>
      <c r="C12" s="215" t="s">
        <v>227</v>
      </c>
      <c r="D12" s="216">
        <v>1802</v>
      </c>
      <c r="E12" s="217">
        <v>2139.3843451720309</v>
      </c>
    </row>
    <row r="13" spans="1:10" x14ac:dyDescent="0.35">
      <c r="B13" s="205" t="s">
        <v>231</v>
      </c>
      <c r="C13" s="210"/>
      <c r="D13" s="211">
        <f>SUM(D6:D12)</f>
        <v>102467</v>
      </c>
      <c r="E13" s="212">
        <f>(D6*E6+D7*E7+D8*E8+D9*E9+D10*E10+D11*E11+D12*E12)/D13</f>
        <v>825.82092010110591</v>
      </c>
    </row>
    <row r="16" spans="1:10" ht="15" thickBot="1" x14ac:dyDescent="0.4">
      <c r="B16" s="213" t="s">
        <v>238</v>
      </c>
      <c r="C16" s="213"/>
      <c r="D16" s="213" t="s">
        <v>232</v>
      </c>
      <c r="E16" s="213" t="s">
        <v>211</v>
      </c>
    </row>
    <row r="17" spans="2:5" x14ac:dyDescent="0.35">
      <c r="B17" s="204" t="s">
        <v>234</v>
      </c>
      <c r="C17" s="204" t="s">
        <v>235</v>
      </c>
      <c r="D17" s="204">
        <v>853</v>
      </c>
      <c r="E17" s="218">
        <v>2155.5769519343494</v>
      </c>
    </row>
    <row r="18" spans="2:5" ht="15" thickBot="1" x14ac:dyDescent="0.4">
      <c r="B18" s="214" t="s">
        <v>236</v>
      </c>
      <c r="C18" s="214" t="s">
        <v>237</v>
      </c>
      <c r="D18" s="214">
        <v>46627</v>
      </c>
      <c r="E18" s="221">
        <v>579.65927831513932</v>
      </c>
    </row>
    <row r="19" spans="2:5" x14ac:dyDescent="0.35">
      <c r="B19" s="205" t="s">
        <v>231</v>
      </c>
      <c r="C19" s="210"/>
      <c r="D19" s="219">
        <f>SUM(D17:D18)</f>
        <v>47480</v>
      </c>
      <c r="E19" s="220">
        <f>(E17*D17+E18*D18)/D19</f>
        <v>607.97136288963782</v>
      </c>
    </row>
    <row r="22" spans="2:5" ht="15" thickBot="1" x14ac:dyDescent="0.4">
      <c r="B22" s="213" t="s">
        <v>270</v>
      </c>
      <c r="C22" s="213"/>
      <c r="D22" s="213" t="s">
        <v>232</v>
      </c>
      <c r="E22" s="213" t="s">
        <v>211</v>
      </c>
    </row>
    <row r="23" spans="2:5" x14ac:dyDescent="0.35">
      <c r="B23" s="204" t="s">
        <v>244</v>
      </c>
      <c r="C23" s="204" t="s">
        <v>245</v>
      </c>
      <c r="D23" s="204">
        <v>135003</v>
      </c>
      <c r="E23" s="208">
        <v>464.07678984911411</v>
      </c>
    </row>
    <row r="24" spans="2:5" x14ac:dyDescent="0.35">
      <c r="B24" s="204" t="s">
        <v>246</v>
      </c>
      <c r="C24" s="204" t="s">
        <v>247</v>
      </c>
      <c r="D24" s="204">
        <v>7764</v>
      </c>
      <c r="E24" s="208">
        <v>894.526066460587</v>
      </c>
    </row>
    <row r="25" spans="2:5" x14ac:dyDescent="0.35">
      <c r="B25" s="204" t="s">
        <v>248</v>
      </c>
      <c r="C25" s="204" t="s">
        <v>249</v>
      </c>
      <c r="D25" s="204">
        <v>85233</v>
      </c>
      <c r="E25" s="208">
        <v>616.95468187204483</v>
      </c>
    </row>
    <row r="26" spans="2:5" x14ac:dyDescent="0.35">
      <c r="B26" s="204" t="s">
        <v>250</v>
      </c>
      <c r="C26" s="204" t="s">
        <v>251</v>
      </c>
      <c r="D26" s="204">
        <v>3610</v>
      </c>
      <c r="E26" s="208">
        <v>1693.6296398891957</v>
      </c>
    </row>
    <row r="27" spans="2:5" x14ac:dyDescent="0.35">
      <c r="B27" s="204" t="s">
        <v>252</v>
      </c>
      <c r="C27" s="204" t="s">
        <v>253</v>
      </c>
      <c r="D27" s="204">
        <v>23546</v>
      </c>
      <c r="E27" s="208">
        <v>1107.129450862142</v>
      </c>
    </row>
    <row r="28" spans="2:5" x14ac:dyDescent="0.35">
      <c r="B28" s="204" t="s">
        <v>254</v>
      </c>
      <c r="C28" s="204" t="s">
        <v>255</v>
      </c>
      <c r="D28" s="204">
        <v>27759</v>
      </c>
      <c r="E28" s="208">
        <v>862.41129183327951</v>
      </c>
    </row>
    <row r="29" spans="2:5" x14ac:dyDescent="0.35">
      <c r="B29" s="204" t="s">
        <v>256</v>
      </c>
      <c r="C29" s="204" t="s">
        <v>257</v>
      </c>
      <c r="D29" s="204">
        <v>243833</v>
      </c>
      <c r="E29" s="208">
        <v>642.11456295907419</v>
      </c>
    </row>
    <row r="30" spans="2:5" x14ac:dyDescent="0.35">
      <c r="B30" s="204" t="s">
        <v>258</v>
      </c>
      <c r="C30" s="204" t="s">
        <v>259</v>
      </c>
      <c r="D30" s="204">
        <v>3340</v>
      </c>
      <c r="E30" s="208">
        <v>650.86878443113756</v>
      </c>
    </row>
    <row r="31" spans="2:5" x14ac:dyDescent="0.35">
      <c r="B31" s="204" t="s">
        <v>260</v>
      </c>
      <c r="C31" s="204" t="s">
        <v>261</v>
      </c>
      <c r="D31" s="204">
        <v>38864</v>
      </c>
      <c r="E31" s="208">
        <v>558.7971732194319</v>
      </c>
    </row>
    <row r="32" spans="2:5" x14ac:dyDescent="0.35">
      <c r="B32" s="204" t="s">
        <v>262</v>
      </c>
      <c r="C32" s="204" t="s">
        <v>263</v>
      </c>
      <c r="D32" s="204">
        <v>637680</v>
      </c>
      <c r="E32" s="208">
        <v>103.83939855413377</v>
      </c>
    </row>
    <row r="33" spans="2:5" x14ac:dyDescent="0.35">
      <c r="B33" s="204" t="s">
        <v>264</v>
      </c>
      <c r="C33" s="204" t="s">
        <v>265</v>
      </c>
      <c r="D33" s="204">
        <v>49060</v>
      </c>
      <c r="E33" s="208">
        <v>135.08355238483486</v>
      </c>
    </row>
    <row r="34" spans="2:5" x14ac:dyDescent="0.35">
      <c r="B34" s="204" t="s">
        <v>266</v>
      </c>
      <c r="C34" s="204" t="s">
        <v>267</v>
      </c>
      <c r="D34" s="204">
        <v>1298</v>
      </c>
      <c r="E34" s="208">
        <v>1495.8805546995379</v>
      </c>
    </row>
    <row r="35" spans="2:5" x14ac:dyDescent="0.35">
      <c r="B35" s="223" t="s">
        <v>268</v>
      </c>
      <c r="C35" s="223" t="s">
        <v>269</v>
      </c>
      <c r="D35" s="223">
        <v>17309</v>
      </c>
      <c r="E35" s="224">
        <v>847.14587555606943</v>
      </c>
    </row>
    <row r="36" spans="2:5" s="38" customFormat="1" x14ac:dyDescent="0.35">
      <c r="B36" s="204" t="s">
        <v>411</v>
      </c>
      <c r="C36" s="204" t="s">
        <v>412</v>
      </c>
      <c r="D36" s="204">
        <v>2777899</v>
      </c>
      <c r="E36" s="208">
        <v>53.001807139136439</v>
      </c>
    </row>
    <row r="37" spans="2:5" s="38" customFormat="1" ht="15" thickBot="1" x14ac:dyDescent="0.4">
      <c r="B37" s="214" t="s">
        <v>415</v>
      </c>
      <c r="C37" s="214" t="s">
        <v>416</v>
      </c>
      <c r="D37" s="214">
        <v>202170</v>
      </c>
      <c r="E37" s="225">
        <v>78.630505465697198</v>
      </c>
    </row>
    <row r="38" spans="2:5" x14ac:dyDescent="0.35">
      <c r="B38" s="210" t="s">
        <v>231</v>
      </c>
      <c r="C38" s="210"/>
      <c r="D38" s="219"/>
      <c r="E38" s="222">
        <f>(E23*D23+E24*D24+E25*D25+E26*D26+E27*D27+E28*D28+E29*D29+E30*D30+E31*D31+E32*D32+E33*D33+E34*D34+E35*D35)/J9</f>
        <v>691.57103490627298</v>
      </c>
    </row>
    <row r="41" spans="2:5" ht="15" thickBot="1" x14ac:dyDescent="0.4">
      <c r="B41" s="213" t="s">
        <v>275</v>
      </c>
      <c r="C41" s="213"/>
      <c r="D41" s="213" t="s">
        <v>232</v>
      </c>
      <c r="E41" s="213" t="s">
        <v>211</v>
      </c>
    </row>
    <row r="42" spans="2:5" x14ac:dyDescent="0.35">
      <c r="B42" s="204" t="s">
        <v>277</v>
      </c>
      <c r="C42" s="205" t="s">
        <v>278</v>
      </c>
      <c r="D42" s="206">
        <v>16619</v>
      </c>
      <c r="E42" s="207">
        <v>2023.3352770924848</v>
      </c>
    </row>
    <row r="43" spans="2:5" x14ac:dyDescent="0.35">
      <c r="B43" s="204" t="s">
        <v>279</v>
      </c>
      <c r="C43" s="205" t="s">
        <v>280</v>
      </c>
      <c r="D43" s="206">
        <v>28383</v>
      </c>
      <c r="E43" s="207">
        <v>1861.7161350103936</v>
      </c>
    </row>
    <row r="44" spans="2:5" x14ac:dyDescent="0.35">
      <c r="B44" s="204" t="s">
        <v>281</v>
      </c>
      <c r="C44" s="205" t="s">
        <v>282</v>
      </c>
      <c r="D44" s="206">
        <v>158743</v>
      </c>
      <c r="E44" s="207">
        <v>1643.0088737771121</v>
      </c>
    </row>
    <row r="45" spans="2:5" x14ac:dyDescent="0.35">
      <c r="B45" s="204" t="s">
        <v>283</v>
      </c>
      <c r="C45" s="205" t="s">
        <v>284</v>
      </c>
      <c r="D45" s="206">
        <v>24798</v>
      </c>
      <c r="E45" s="207">
        <v>2856.4585970642797</v>
      </c>
    </row>
    <row r="46" spans="2:5" x14ac:dyDescent="0.35">
      <c r="B46" s="204" t="s">
        <v>285</v>
      </c>
      <c r="C46" s="205" t="s">
        <v>286</v>
      </c>
      <c r="D46" s="206">
        <v>24088</v>
      </c>
      <c r="E46" s="207">
        <v>2461.2659432082355</v>
      </c>
    </row>
    <row r="47" spans="2:5" x14ac:dyDescent="0.35">
      <c r="B47" s="204" t="s">
        <v>287</v>
      </c>
      <c r="C47" s="205" t="s">
        <v>288</v>
      </c>
      <c r="D47" s="206">
        <v>78020</v>
      </c>
      <c r="E47" s="207">
        <v>2149.3567264803896</v>
      </c>
    </row>
    <row r="48" spans="2:5" x14ac:dyDescent="0.35">
      <c r="B48" s="204" t="s">
        <v>289</v>
      </c>
      <c r="C48" s="205" t="s">
        <v>290</v>
      </c>
      <c r="D48" s="206">
        <v>9425</v>
      </c>
      <c r="E48" s="207">
        <v>3560.9334408488071</v>
      </c>
    </row>
    <row r="49" spans="2:5" x14ac:dyDescent="0.35">
      <c r="B49" s="204" t="s">
        <v>291</v>
      </c>
      <c r="C49" s="205" t="s">
        <v>292</v>
      </c>
      <c r="D49" s="206">
        <v>9583</v>
      </c>
      <c r="E49" s="207">
        <v>3059.5591599707827</v>
      </c>
    </row>
    <row r="50" spans="2:5" x14ac:dyDescent="0.35">
      <c r="B50" s="204" t="s">
        <v>293</v>
      </c>
      <c r="C50" s="205" t="s">
        <v>294</v>
      </c>
      <c r="D50" s="206">
        <v>22288</v>
      </c>
      <c r="E50" s="207">
        <v>2683.9686970567127</v>
      </c>
    </row>
    <row r="51" spans="2:5" x14ac:dyDescent="0.35">
      <c r="B51" s="204" t="s">
        <v>295</v>
      </c>
      <c r="C51" s="205" t="s">
        <v>296</v>
      </c>
      <c r="D51" s="206">
        <v>1560</v>
      </c>
      <c r="E51" s="207">
        <v>3469.5660961538465</v>
      </c>
    </row>
    <row r="52" spans="2:5" x14ac:dyDescent="0.35">
      <c r="B52" s="204" t="s">
        <v>297</v>
      </c>
      <c r="C52" s="205" t="s">
        <v>298</v>
      </c>
      <c r="D52" s="206">
        <v>3755</v>
      </c>
      <c r="E52" s="207">
        <v>2804.3860239680425</v>
      </c>
    </row>
    <row r="53" spans="2:5" x14ac:dyDescent="0.35">
      <c r="B53" s="204" t="s">
        <v>299</v>
      </c>
      <c r="C53" s="205" t="s">
        <v>300</v>
      </c>
      <c r="D53" s="206">
        <v>4593</v>
      </c>
      <c r="E53" s="207">
        <v>2649.2932680165468</v>
      </c>
    </row>
    <row r="54" spans="2:5" x14ac:dyDescent="0.35">
      <c r="B54" s="204" t="s">
        <v>301</v>
      </c>
      <c r="C54" s="205" t="s">
        <v>302</v>
      </c>
      <c r="D54" s="206">
        <v>1295</v>
      </c>
      <c r="E54" s="207">
        <v>4094.1723166023153</v>
      </c>
    </row>
    <row r="55" spans="2:5" x14ac:dyDescent="0.35">
      <c r="B55" s="204" t="s">
        <v>303</v>
      </c>
      <c r="C55" s="205" t="s">
        <v>304</v>
      </c>
      <c r="D55" s="206">
        <v>1824</v>
      </c>
      <c r="E55" s="207">
        <v>3514.6491282894735</v>
      </c>
    </row>
    <row r="56" spans="2:5" x14ac:dyDescent="0.35">
      <c r="B56" s="204" t="s">
        <v>305</v>
      </c>
      <c r="C56" s="205" t="s">
        <v>306</v>
      </c>
      <c r="D56" s="206">
        <v>1825</v>
      </c>
      <c r="E56" s="207">
        <v>3281.2772054794514</v>
      </c>
    </row>
    <row r="57" spans="2:5" x14ac:dyDescent="0.35">
      <c r="B57" s="204" t="s">
        <v>307</v>
      </c>
      <c r="C57" s="205" t="s">
        <v>308</v>
      </c>
      <c r="D57" s="206">
        <v>1740</v>
      </c>
      <c r="E57" s="207">
        <v>2888.6075459770113</v>
      </c>
    </row>
    <row r="58" spans="2:5" x14ac:dyDescent="0.35">
      <c r="B58" s="204" t="s">
        <v>309</v>
      </c>
      <c r="C58" s="205" t="s">
        <v>310</v>
      </c>
      <c r="D58" s="206">
        <v>3207</v>
      </c>
      <c r="E58" s="207">
        <v>2489.3537761147486</v>
      </c>
    </row>
    <row r="59" spans="2:5" x14ac:dyDescent="0.35">
      <c r="B59" s="204" t="s">
        <v>311</v>
      </c>
      <c r="C59" s="205" t="s">
        <v>312</v>
      </c>
      <c r="D59" s="206">
        <v>9315</v>
      </c>
      <c r="E59" s="207">
        <v>2142.6663499731621</v>
      </c>
    </row>
    <row r="60" spans="2:5" x14ac:dyDescent="0.35">
      <c r="B60" s="204" t="s">
        <v>313</v>
      </c>
      <c r="C60" s="205" t="s">
        <v>314</v>
      </c>
      <c r="D60" s="206">
        <v>4767</v>
      </c>
      <c r="E60" s="207">
        <v>3513.4971155863223</v>
      </c>
    </row>
    <row r="61" spans="2:5" x14ac:dyDescent="0.35">
      <c r="B61" s="204" t="s">
        <v>315</v>
      </c>
      <c r="C61" s="205" t="s">
        <v>316</v>
      </c>
      <c r="D61" s="206">
        <v>7470</v>
      </c>
      <c r="E61" s="207">
        <v>3059.3806050870153</v>
      </c>
    </row>
    <row r="62" spans="2:5" x14ac:dyDescent="0.35">
      <c r="B62" s="204" t="s">
        <v>317</v>
      </c>
      <c r="C62" s="205" t="s">
        <v>318</v>
      </c>
      <c r="D62" s="206">
        <v>15114</v>
      </c>
      <c r="E62" s="207">
        <v>2648.4991246526401</v>
      </c>
    </row>
    <row r="63" spans="2:5" x14ac:dyDescent="0.35">
      <c r="B63" s="204" t="s">
        <v>319</v>
      </c>
      <c r="C63" s="205" t="s">
        <v>320</v>
      </c>
      <c r="D63" s="206">
        <v>8189</v>
      </c>
      <c r="E63" s="207">
        <v>4281.69757723776</v>
      </c>
    </row>
    <row r="64" spans="2:5" x14ac:dyDescent="0.35">
      <c r="B64" s="204" t="s">
        <v>321</v>
      </c>
      <c r="C64" s="205" t="s">
        <v>322</v>
      </c>
      <c r="D64" s="206">
        <v>10646</v>
      </c>
      <c r="E64" s="207">
        <v>3629.614151794101</v>
      </c>
    </row>
    <row r="65" spans="2:5" x14ac:dyDescent="0.35">
      <c r="B65" s="204" t="s">
        <v>323</v>
      </c>
      <c r="C65" s="205" t="s">
        <v>324</v>
      </c>
      <c r="D65" s="206">
        <v>15389</v>
      </c>
      <c r="E65" s="207">
        <v>3266.9566683995058</v>
      </c>
    </row>
    <row r="66" spans="2:5" x14ac:dyDescent="0.35">
      <c r="B66" s="204" t="s">
        <v>325</v>
      </c>
      <c r="C66" s="205" t="s">
        <v>326</v>
      </c>
      <c r="D66" s="206">
        <v>563</v>
      </c>
      <c r="E66" s="207">
        <v>4078.0564831261099</v>
      </c>
    </row>
    <row r="67" spans="2:5" x14ac:dyDescent="0.35">
      <c r="B67" s="204" t="s">
        <v>327</v>
      </c>
      <c r="C67" s="205" t="s">
        <v>328</v>
      </c>
      <c r="D67" s="206">
        <v>1243</v>
      </c>
      <c r="E67" s="207">
        <v>3691.8966210780363</v>
      </c>
    </row>
    <row r="68" spans="2:5" x14ac:dyDescent="0.35">
      <c r="B68" s="204" t="s">
        <v>329</v>
      </c>
      <c r="C68" s="205" t="s">
        <v>330</v>
      </c>
      <c r="D68" s="206">
        <v>1225</v>
      </c>
      <c r="E68" s="207">
        <v>3429.0898775510218</v>
      </c>
    </row>
    <row r="69" spans="2:5" x14ac:dyDescent="0.35">
      <c r="B69" s="204" t="s">
        <v>331</v>
      </c>
      <c r="C69" s="205" t="s">
        <v>332</v>
      </c>
      <c r="D69" s="206">
        <v>1257</v>
      </c>
      <c r="E69" s="207">
        <v>4958.7927684964188</v>
      </c>
    </row>
    <row r="70" spans="2:5" x14ac:dyDescent="0.35">
      <c r="B70" s="204" t="s">
        <v>333</v>
      </c>
      <c r="C70" s="205" t="s">
        <v>334</v>
      </c>
      <c r="D70" s="206">
        <v>2307</v>
      </c>
      <c r="E70" s="207">
        <v>3493.8766666666647</v>
      </c>
    </row>
    <row r="71" spans="2:5" x14ac:dyDescent="0.35">
      <c r="B71" s="204" t="s">
        <v>335</v>
      </c>
      <c r="C71" s="205" t="s">
        <v>336</v>
      </c>
      <c r="D71" s="206">
        <v>1457</v>
      </c>
      <c r="E71" s="207">
        <v>3932.3192862045294</v>
      </c>
    </row>
    <row r="72" spans="2:5" x14ac:dyDescent="0.35">
      <c r="B72" s="204" t="s">
        <v>337</v>
      </c>
      <c r="C72" s="205" t="s">
        <v>338</v>
      </c>
      <c r="D72" s="206">
        <v>6454</v>
      </c>
      <c r="E72" s="207">
        <v>4630.9340982336516</v>
      </c>
    </row>
    <row r="73" spans="2:5" x14ac:dyDescent="0.35">
      <c r="B73" s="204" t="s">
        <v>339</v>
      </c>
      <c r="C73" s="205" t="s">
        <v>340</v>
      </c>
      <c r="D73" s="206">
        <v>22986</v>
      </c>
      <c r="E73" s="207">
        <v>3685.3444666318628</v>
      </c>
    </row>
    <row r="74" spans="2:5" x14ac:dyDescent="0.35">
      <c r="B74" s="204" t="s">
        <v>341</v>
      </c>
      <c r="C74" s="205" t="s">
        <v>342</v>
      </c>
      <c r="D74" s="206">
        <v>42213</v>
      </c>
      <c r="E74" s="207">
        <v>3121.1410117736255</v>
      </c>
    </row>
    <row r="75" spans="2:5" x14ac:dyDescent="0.35">
      <c r="B75" s="204" t="s">
        <v>343</v>
      </c>
      <c r="C75" s="205" t="s">
        <v>344</v>
      </c>
      <c r="D75" s="206">
        <v>7653</v>
      </c>
      <c r="E75" s="207">
        <v>6255.7775094734052</v>
      </c>
    </row>
    <row r="76" spans="2:5" x14ac:dyDescent="0.35">
      <c r="B76" s="204" t="s">
        <v>345</v>
      </c>
      <c r="C76" s="205" t="s">
        <v>346</v>
      </c>
      <c r="D76" s="206">
        <v>26398</v>
      </c>
      <c r="E76" s="207">
        <v>5061.2335767861214</v>
      </c>
    </row>
    <row r="77" spans="2:5" ht="15" thickBot="1" x14ac:dyDescent="0.4">
      <c r="B77" s="214" t="s">
        <v>347</v>
      </c>
      <c r="C77" s="215" t="s">
        <v>348</v>
      </c>
      <c r="D77" s="216">
        <v>65209</v>
      </c>
      <c r="E77" s="227">
        <v>4148.0385873115692</v>
      </c>
    </row>
    <row r="78" spans="2:5" x14ac:dyDescent="0.35">
      <c r="B78" s="210" t="s">
        <v>231</v>
      </c>
      <c r="C78" s="210"/>
      <c r="D78" s="210"/>
      <c r="E78" s="226">
        <f>(E42*D42+E43*D43+E44*D44+E45*D45+E46*D46+E47*D47+E48*D48+E49*D49+E50*D50+E51*D51+E52*D52+E53*D53+E54*D54+E55*D55+E56*D56+E57*D57+E58*D58+E59*D59+E60*D60+E61*D61+E62*D62+E63*D63+E64*D64+E65*D65+E66*D66+E67*D67+E68*D68+E69*D69+E70*D70+E71*D71+E72*D72+E73*D73+E74*D74+E75*D75+E76*D76+E77*D77)/J9</f>
        <v>2745.8777244343919</v>
      </c>
    </row>
    <row r="81" spans="2:5" ht="15" thickBot="1" x14ac:dyDescent="0.4">
      <c r="B81" s="213" t="s">
        <v>394</v>
      </c>
      <c r="C81" s="213"/>
      <c r="D81" s="213" t="s">
        <v>232</v>
      </c>
      <c r="E81" s="213" t="s">
        <v>211</v>
      </c>
    </row>
    <row r="82" spans="2:5" x14ac:dyDescent="0.35">
      <c r="B82" s="204" t="s">
        <v>349</v>
      </c>
      <c r="C82" s="205" t="s">
        <v>350</v>
      </c>
      <c r="D82" s="206">
        <v>2107</v>
      </c>
      <c r="E82" s="207">
        <v>1829.0116611295671</v>
      </c>
    </row>
    <row r="83" spans="2:5" x14ac:dyDescent="0.35">
      <c r="B83" s="204" t="s">
        <v>351</v>
      </c>
      <c r="C83" s="205" t="s">
        <v>352</v>
      </c>
      <c r="D83" s="206">
        <v>33132</v>
      </c>
      <c r="E83" s="207">
        <v>1016.0802912592054</v>
      </c>
    </row>
    <row r="84" spans="2:5" x14ac:dyDescent="0.35">
      <c r="B84" s="223" t="s">
        <v>353</v>
      </c>
      <c r="C84" s="223" t="s">
        <v>354</v>
      </c>
      <c r="D84" s="223">
        <v>5877</v>
      </c>
      <c r="E84" s="231">
        <v>1703.3915313935681</v>
      </c>
    </row>
    <row r="85" spans="2:5" s="38" customFormat="1" ht="15" thickBot="1" x14ac:dyDescent="0.4">
      <c r="B85" s="214" t="s">
        <v>413</v>
      </c>
      <c r="C85" s="214" t="s">
        <v>414</v>
      </c>
      <c r="D85" s="214">
        <v>1884816</v>
      </c>
      <c r="E85" s="227">
        <v>68.552468002181641</v>
      </c>
    </row>
    <row r="86" spans="2:5" x14ac:dyDescent="0.35">
      <c r="B86" s="210" t="s">
        <v>231</v>
      </c>
      <c r="C86" s="229"/>
      <c r="D86" s="230"/>
      <c r="E86" s="236">
        <f>(E82*D82+E83*D83+E84*D84+E85*D85)/J9</f>
        <v>272.69898387149033</v>
      </c>
    </row>
    <row r="89" spans="2:5" ht="15" thickBot="1" x14ac:dyDescent="0.4">
      <c r="B89" s="213" t="s">
        <v>393</v>
      </c>
      <c r="C89" s="213"/>
      <c r="D89" s="213" t="s">
        <v>232</v>
      </c>
      <c r="E89" s="213" t="s">
        <v>211</v>
      </c>
    </row>
    <row r="90" spans="2:5" x14ac:dyDescent="0.35">
      <c r="B90" s="204" t="s">
        <v>355</v>
      </c>
      <c r="C90" s="205" t="s">
        <v>356</v>
      </c>
      <c r="D90" s="206">
        <v>3901</v>
      </c>
      <c r="E90" s="207">
        <v>2654.553760574212</v>
      </c>
    </row>
    <row r="91" spans="2:5" x14ac:dyDescent="0.35">
      <c r="B91" s="204" t="s">
        <v>357</v>
      </c>
      <c r="C91" s="205" t="s">
        <v>358</v>
      </c>
      <c r="D91" s="206">
        <v>7252</v>
      </c>
      <c r="E91" s="207">
        <v>1481.5334873138443</v>
      </c>
    </row>
    <row r="92" spans="2:5" x14ac:dyDescent="0.35">
      <c r="B92" s="204" t="s">
        <v>359</v>
      </c>
      <c r="C92" s="205" t="s">
        <v>360</v>
      </c>
      <c r="D92" s="206">
        <v>48140</v>
      </c>
      <c r="E92" s="207">
        <v>1139.0096493560445</v>
      </c>
    </row>
    <row r="93" spans="2:5" x14ac:dyDescent="0.35">
      <c r="B93" s="204" t="s">
        <v>361</v>
      </c>
      <c r="C93" s="205" t="s">
        <v>362</v>
      </c>
      <c r="D93" s="206">
        <v>41247</v>
      </c>
      <c r="E93" s="207">
        <v>895.68084587970077</v>
      </c>
    </row>
    <row r="94" spans="2:5" x14ac:dyDescent="0.35">
      <c r="B94" s="204" t="s">
        <v>363</v>
      </c>
      <c r="C94" s="205" t="s">
        <v>364</v>
      </c>
      <c r="D94" s="206">
        <v>1462</v>
      </c>
      <c r="E94" s="207">
        <v>4122.5478317373463</v>
      </c>
    </row>
    <row r="95" spans="2:5" x14ac:dyDescent="0.35">
      <c r="B95" s="204" t="s">
        <v>365</v>
      </c>
      <c r="C95" s="205" t="s">
        <v>366</v>
      </c>
      <c r="D95" s="206">
        <v>3665</v>
      </c>
      <c r="E95" s="207">
        <v>2061.7964447476138</v>
      </c>
    </row>
    <row r="96" spans="2:5" x14ac:dyDescent="0.35">
      <c r="B96" s="204" t="s">
        <v>367</v>
      </c>
      <c r="C96" s="205" t="s">
        <v>368</v>
      </c>
      <c r="D96" s="206">
        <v>1371</v>
      </c>
      <c r="E96" s="207">
        <v>1136.1030780452222</v>
      </c>
    </row>
    <row r="97" spans="2:5" x14ac:dyDescent="0.35">
      <c r="B97" s="204" t="s">
        <v>369</v>
      </c>
      <c r="C97" s="205" t="s">
        <v>370</v>
      </c>
      <c r="D97" s="206">
        <v>276</v>
      </c>
      <c r="E97" s="207">
        <v>6163.9152173913044</v>
      </c>
    </row>
    <row r="98" spans="2:5" x14ac:dyDescent="0.35">
      <c r="B98" s="204" t="s">
        <v>371</v>
      </c>
      <c r="C98" s="205" t="s">
        <v>372</v>
      </c>
      <c r="D98" s="206">
        <v>439</v>
      </c>
      <c r="E98" s="207">
        <v>3172.0664236902053</v>
      </c>
    </row>
    <row r="99" spans="2:5" x14ac:dyDescent="0.35">
      <c r="B99" s="204" t="s">
        <v>373</v>
      </c>
      <c r="C99" s="205" t="s">
        <v>374</v>
      </c>
      <c r="D99" s="206">
        <v>487</v>
      </c>
      <c r="E99" s="207">
        <v>2253.1998562628332</v>
      </c>
    </row>
    <row r="100" spans="2:5" x14ac:dyDescent="0.35">
      <c r="B100" s="204" t="s">
        <v>375</v>
      </c>
      <c r="C100" s="205" t="s">
        <v>376</v>
      </c>
      <c r="D100" s="206">
        <v>1087</v>
      </c>
      <c r="E100" s="207">
        <v>2309.3101747930091</v>
      </c>
    </row>
    <row r="101" spans="2:5" x14ac:dyDescent="0.35">
      <c r="B101" s="204" t="s">
        <v>377</v>
      </c>
      <c r="C101" s="205" t="s">
        <v>378</v>
      </c>
      <c r="D101" s="206">
        <v>2053</v>
      </c>
      <c r="E101" s="207">
        <v>1904.7892791037507</v>
      </c>
    </row>
    <row r="102" spans="2:5" x14ac:dyDescent="0.35">
      <c r="B102" s="204" t="s">
        <v>379</v>
      </c>
      <c r="C102" s="205" t="s">
        <v>380</v>
      </c>
      <c r="D102" s="206">
        <v>4791</v>
      </c>
      <c r="E102" s="207">
        <v>1188.6853391776244</v>
      </c>
    </row>
    <row r="103" spans="2:5" x14ac:dyDescent="0.35">
      <c r="B103" s="204" t="s">
        <v>381</v>
      </c>
      <c r="C103" s="205" t="s">
        <v>382</v>
      </c>
      <c r="D103" s="206">
        <v>338</v>
      </c>
      <c r="E103" s="207">
        <v>2867.9530769230769</v>
      </c>
    </row>
    <row r="104" spans="2:5" x14ac:dyDescent="0.35">
      <c r="B104" s="204" t="s">
        <v>383</v>
      </c>
      <c r="C104" s="205" t="s">
        <v>384</v>
      </c>
      <c r="D104" s="206">
        <v>912</v>
      </c>
      <c r="E104" s="207">
        <v>1703.7216995614035</v>
      </c>
    </row>
    <row r="105" spans="2:5" x14ac:dyDescent="0.35">
      <c r="B105" s="204" t="s">
        <v>385</v>
      </c>
      <c r="C105" s="205" t="s">
        <v>386</v>
      </c>
      <c r="D105" s="206">
        <v>1619</v>
      </c>
      <c r="E105" s="207">
        <v>1292.4067881408278</v>
      </c>
    </row>
    <row r="106" spans="2:5" x14ac:dyDescent="0.35">
      <c r="B106" s="204" t="s">
        <v>387</v>
      </c>
      <c r="C106" s="205" t="s">
        <v>388</v>
      </c>
      <c r="D106" s="206">
        <v>4210</v>
      </c>
      <c r="E106" s="207">
        <v>976.55079809976246</v>
      </c>
    </row>
    <row r="107" spans="2:5" x14ac:dyDescent="0.35">
      <c r="B107" s="204" t="s">
        <v>389</v>
      </c>
      <c r="C107" s="205" t="s">
        <v>390</v>
      </c>
      <c r="D107" s="206">
        <v>11736</v>
      </c>
      <c r="E107" s="207">
        <v>816.07770449897782</v>
      </c>
    </row>
    <row r="108" spans="2:5" x14ac:dyDescent="0.35">
      <c r="B108" s="204" t="s">
        <v>391</v>
      </c>
      <c r="C108" s="205" t="s">
        <v>392</v>
      </c>
      <c r="D108" s="206">
        <v>23972</v>
      </c>
      <c r="E108" s="207">
        <v>578.97746495911906</v>
      </c>
    </row>
    <row r="109" spans="2:5" s="38" customFormat="1" x14ac:dyDescent="0.35">
      <c r="B109" s="204" t="s">
        <v>396</v>
      </c>
      <c r="C109" s="229" t="s">
        <v>397</v>
      </c>
      <c r="D109" s="206">
        <v>172392</v>
      </c>
      <c r="E109" s="207">
        <v>1217.6299430948075</v>
      </c>
    </row>
    <row r="110" spans="2:5" s="38" customFormat="1" x14ac:dyDescent="0.35">
      <c r="B110" s="204" t="s">
        <v>398</v>
      </c>
      <c r="C110" s="229" t="s">
        <v>399</v>
      </c>
      <c r="D110" s="206">
        <v>177491</v>
      </c>
      <c r="E110" s="207">
        <v>872.28320281028346</v>
      </c>
    </row>
    <row r="111" spans="2:5" s="38" customFormat="1" x14ac:dyDescent="0.35">
      <c r="B111" s="204" t="s">
        <v>400</v>
      </c>
      <c r="C111" s="229" t="s">
        <v>401</v>
      </c>
      <c r="D111" s="206">
        <v>548099</v>
      </c>
      <c r="E111" s="207">
        <v>559.97355853595775</v>
      </c>
    </row>
    <row r="112" spans="2:5" s="38" customFormat="1" x14ac:dyDescent="0.35">
      <c r="B112" s="204" t="s">
        <v>402</v>
      </c>
      <c r="C112" s="229" t="s">
        <v>403</v>
      </c>
      <c r="D112" s="206">
        <v>162394</v>
      </c>
      <c r="E112" s="207">
        <v>383.63705918937899</v>
      </c>
    </row>
    <row r="113" spans="2:5" s="38" customFormat="1" x14ac:dyDescent="0.35">
      <c r="B113" s="204" t="s">
        <v>404</v>
      </c>
      <c r="C113" s="229" t="s">
        <v>405</v>
      </c>
      <c r="D113" s="206">
        <v>44891</v>
      </c>
      <c r="E113" s="207">
        <v>436.52978570314747</v>
      </c>
    </row>
    <row r="114" spans="2:5" s="38" customFormat="1" x14ac:dyDescent="0.35">
      <c r="B114" s="223" t="s">
        <v>406</v>
      </c>
      <c r="C114" s="233" t="s">
        <v>407</v>
      </c>
      <c r="D114" s="234">
        <v>11575</v>
      </c>
      <c r="E114" s="231">
        <v>990.18673174946002</v>
      </c>
    </row>
    <row r="115" spans="2:5" s="38" customFormat="1" x14ac:dyDescent="0.35">
      <c r="B115" s="232">
        <v>422</v>
      </c>
      <c r="C115" s="229" t="s">
        <v>408</v>
      </c>
      <c r="D115" s="206">
        <v>51763</v>
      </c>
      <c r="E115" s="207">
        <v>163.04200587292084</v>
      </c>
    </row>
    <row r="116" spans="2:5" s="38" customFormat="1" x14ac:dyDescent="0.35">
      <c r="B116" s="204" t="s">
        <v>409</v>
      </c>
      <c r="C116" s="229" t="s">
        <v>410</v>
      </c>
      <c r="D116" s="206">
        <v>546094</v>
      </c>
      <c r="E116" s="207">
        <v>37.20359361208876</v>
      </c>
    </row>
    <row r="117" spans="2:5" s="38" customFormat="1" x14ac:dyDescent="0.35">
      <c r="B117" s="204" t="s">
        <v>417</v>
      </c>
      <c r="C117" s="229" t="s">
        <v>418</v>
      </c>
      <c r="D117" s="206">
        <v>654334</v>
      </c>
      <c r="E117" s="207">
        <v>105.30317363915064</v>
      </c>
    </row>
    <row r="118" spans="2:5" s="38" customFormat="1" ht="15" thickBot="1" x14ac:dyDescent="0.4">
      <c r="B118" s="214" t="s">
        <v>419</v>
      </c>
      <c r="C118" s="235" t="s">
        <v>420</v>
      </c>
      <c r="D118" s="216">
        <v>433153</v>
      </c>
      <c r="E118" s="227">
        <v>77.397283407941345</v>
      </c>
    </row>
    <row r="119" spans="2:5" x14ac:dyDescent="0.35">
      <c r="B119" s="210" t="s">
        <v>231</v>
      </c>
      <c r="C119" s="210"/>
      <c r="D119" s="210"/>
      <c r="E119" s="226">
        <f>(E90*D90+E91*D91+E92*D92+E93*D93+E94*D94+E95*D95+E96*D96+E97*D97+E98*D98+E99*D99+E100*D100+E101*D101+E102*D102+E103*D103+E104*D104+E105*D105+E106*D106+E107*D107+E108*D108+E109*D109+E110*D110+E111*D111+E112*D112+E113*D113+E114*D114+D115*E115+E116*D116+E117*D117+E118*D118)/J9</f>
        <v>1655.1322472523825</v>
      </c>
    </row>
    <row r="122" spans="2:5" ht="15" thickBot="1" x14ac:dyDescent="0.4">
      <c r="B122" s="213" t="s">
        <v>421</v>
      </c>
      <c r="C122" s="213"/>
      <c r="D122" s="213" t="s">
        <v>232</v>
      </c>
      <c r="E122" s="213" t="s">
        <v>211</v>
      </c>
    </row>
    <row r="123" spans="2:5" x14ac:dyDescent="0.35">
      <c r="B123" s="204" t="s">
        <v>422</v>
      </c>
      <c r="C123" s="204" t="s">
        <v>423</v>
      </c>
      <c r="D123" s="204">
        <v>31837</v>
      </c>
      <c r="E123" s="207">
        <v>707.1319555862674</v>
      </c>
    </row>
    <row r="124" spans="2:5" x14ac:dyDescent="0.35">
      <c r="B124" s="204" t="s">
        <v>424</v>
      </c>
      <c r="C124" s="204" t="s">
        <v>425</v>
      </c>
      <c r="D124" s="204">
        <v>57806</v>
      </c>
      <c r="E124" s="207">
        <v>158.81554873196552</v>
      </c>
    </row>
    <row r="125" spans="2:5" ht="15" thickBot="1" x14ac:dyDescent="0.4">
      <c r="B125" s="214" t="s">
        <v>426</v>
      </c>
      <c r="C125" s="214" t="s">
        <v>427</v>
      </c>
      <c r="D125" s="214">
        <v>13061</v>
      </c>
      <c r="E125" s="227">
        <v>195.70392466120506</v>
      </c>
    </row>
    <row r="126" spans="2:5" x14ac:dyDescent="0.35">
      <c r="B126" s="210" t="s">
        <v>231</v>
      </c>
      <c r="C126" s="205"/>
      <c r="D126" s="314"/>
      <c r="E126" s="236">
        <f>(E123*D123+E124*D124+E125*D125)/J9</f>
        <v>52.845503350526982</v>
      </c>
    </row>
  </sheetData>
  <hyperlinks>
    <hyperlink ref="H6" r:id="rId1" xr:uid="{00000000-0004-0000-1300-000000000000}"/>
    <hyperlink ref="H5" r:id="rId2" xr:uid="{00000000-0004-0000-1300-000001000000}"/>
    <hyperlink ref="I4" r:id="rId3" xr:uid="{00000000-0004-0000-1300-000002000000}"/>
    <hyperlink ref="G10" r:id="rId4" xr:uid="{00000000-0004-0000-13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AP43"/>
  <sheetViews>
    <sheetView zoomScaleNormal="100" workbookViewId="0"/>
  </sheetViews>
  <sheetFormatPr defaultRowHeight="14.5" x14ac:dyDescent="0.35"/>
  <cols>
    <col min="1" max="7" width="10.26953125" customWidth="1"/>
    <col min="8" max="9" width="12.26953125" customWidth="1"/>
    <col min="10" max="10" width="15.1796875" customWidth="1"/>
    <col min="12" max="12" width="9.1796875" style="38"/>
    <col min="13" max="13" width="23.81640625" customWidth="1"/>
  </cols>
  <sheetData>
    <row r="1" spans="1:19" s="171" customFormat="1" ht="30" customHeight="1" x14ac:dyDescent="0.5">
      <c r="A1" s="21" t="s">
        <v>597</v>
      </c>
      <c r="B1" s="21"/>
      <c r="C1" s="21"/>
      <c r="D1" s="21"/>
      <c r="E1" s="21"/>
      <c r="F1" s="21"/>
      <c r="G1" s="21"/>
      <c r="H1" s="21"/>
      <c r="I1" s="21"/>
      <c r="J1" s="21"/>
      <c r="K1" s="21"/>
      <c r="L1" s="21"/>
      <c r="M1" s="21"/>
      <c r="N1" s="21"/>
      <c r="O1" s="21"/>
      <c r="P1" s="21"/>
    </row>
    <row r="3" spans="1:19" x14ac:dyDescent="0.35">
      <c r="L3" s="18" t="s">
        <v>12</v>
      </c>
      <c r="M3" s="18" t="s">
        <v>16</v>
      </c>
      <c r="N3" s="18" t="s">
        <v>509</v>
      </c>
    </row>
    <row r="4" spans="1:19" ht="15" customHeight="1" x14ac:dyDescent="0.35">
      <c r="B4" s="507" t="s">
        <v>57</v>
      </c>
      <c r="C4" s="505" t="s">
        <v>62</v>
      </c>
      <c r="D4" s="505"/>
      <c r="E4" s="505"/>
      <c r="F4" s="505"/>
      <c r="G4" s="505"/>
      <c r="H4" s="506" t="s">
        <v>64</v>
      </c>
      <c r="I4" s="506" t="s">
        <v>65</v>
      </c>
      <c r="J4" s="35"/>
    </row>
    <row r="5" spans="1:19" x14ac:dyDescent="0.35">
      <c r="B5" s="507"/>
      <c r="C5" s="239">
        <v>0</v>
      </c>
      <c r="D5" s="239">
        <v>1</v>
      </c>
      <c r="E5" s="239">
        <v>2</v>
      </c>
      <c r="F5" s="239">
        <v>3</v>
      </c>
      <c r="G5" s="239" t="s">
        <v>144</v>
      </c>
      <c r="H5" s="506"/>
      <c r="I5" s="506"/>
      <c r="J5" s="35"/>
      <c r="K5" s="23" t="s">
        <v>58</v>
      </c>
      <c r="L5" s="339" t="s">
        <v>508</v>
      </c>
      <c r="M5" s="16" t="s">
        <v>60</v>
      </c>
      <c r="N5" s="17" t="s">
        <v>56</v>
      </c>
    </row>
    <row r="6" spans="1:19" x14ac:dyDescent="0.35">
      <c r="B6" s="276">
        <v>15</v>
      </c>
      <c r="C6" s="277">
        <v>1</v>
      </c>
      <c r="D6" s="278">
        <v>0</v>
      </c>
      <c r="E6" s="278">
        <v>0</v>
      </c>
      <c r="F6" s="278">
        <v>0</v>
      </c>
      <c r="G6" s="279">
        <v>0</v>
      </c>
      <c r="H6" s="280">
        <v>298386</v>
      </c>
      <c r="I6" s="280">
        <v>293890</v>
      </c>
      <c r="J6" s="36"/>
      <c r="L6" s="16"/>
      <c r="M6" s="16" t="s">
        <v>598</v>
      </c>
    </row>
    <row r="7" spans="1:19" x14ac:dyDescent="0.35">
      <c r="B7" s="276">
        <v>16</v>
      </c>
      <c r="C7" s="277">
        <v>0.99</v>
      </c>
      <c r="D7" s="278">
        <v>0.01</v>
      </c>
      <c r="E7" s="278">
        <v>0</v>
      </c>
      <c r="F7" s="278">
        <v>0</v>
      </c>
      <c r="G7" s="279">
        <v>0</v>
      </c>
      <c r="H7" s="280">
        <v>307539</v>
      </c>
      <c r="I7" s="280">
        <v>300447</v>
      </c>
      <c r="J7" s="36"/>
      <c r="L7" s="16"/>
      <c r="M7" s="16" t="s">
        <v>599</v>
      </c>
    </row>
    <row r="8" spans="1:19" x14ac:dyDescent="0.35">
      <c r="B8" s="276">
        <v>17</v>
      </c>
      <c r="C8" s="277">
        <v>0.98</v>
      </c>
      <c r="D8" s="278">
        <v>0.01</v>
      </c>
      <c r="E8" s="278">
        <v>0</v>
      </c>
      <c r="F8" s="278">
        <v>0</v>
      </c>
      <c r="G8" s="279">
        <v>0</v>
      </c>
      <c r="H8" s="280">
        <v>312086</v>
      </c>
      <c r="I8" s="280">
        <v>310306</v>
      </c>
      <c r="J8" s="36"/>
      <c r="L8" s="16"/>
    </row>
    <row r="9" spans="1:19" x14ac:dyDescent="0.35">
      <c r="B9" s="276">
        <v>18</v>
      </c>
      <c r="C9" s="277">
        <v>0.97</v>
      </c>
      <c r="D9" s="278">
        <v>0.03</v>
      </c>
      <c r="E9" s="278">
        <v>0.01</v>
      </c>
      <c r="F9" s="278">
        <v>0</v>
      </c>
      <c r="G9" s="279">
        <v>0</v>
      </c>
      <c r="H9" s="280">
        <v>321759</v>
      </c>
      <c r="I9" s="280">
        <v>315632</v>
      </c>
      <c r="J9" s="36"/>
      <c r="K9" s="23" t="s">
        <v>59</v>
      </c>
      <c r="L9" s="339" t="s">
        <v>508</v>
      </c>
      <c r="M9" s="16" t="s">
        <v>539</v>
      </c>
      <c r="N9" s="17" t="s">
        <v>61</v>
      </c>
    </row>
    <row r="10" spans="1:19" x14ac:dyDescent="0.35">
      <c r="B10" s="276">
        <v>19</v>
      </c>
      <c r="C10" s="277">
        <v>0.94</v>
      </c>
      <c r="D10" s="278">
        <v>0.05</v>
      </c>
      <c r="E10" s="278">
        <v>0.01</v>
      </c>
      <c r="F10" s="278">
        <v>0</v>
      </c>
      <c r="G10" s="279">
        <v>0</v>
      </c>
      <c r="H10" s="280">
        <v>323005</v>
      </c>
      <c r="I10" s="280">
        <v>327336</v>
      </c>
      <c r="J10" s="36"/>
      <c r="M10" s="16" t="s">
        <v>538</v>
      </c>
    </row>
    <row r="11" spans="1:19" x14ac:dyDescent="0.35">
      <c r="B11" s="276">
        <v>20</v>
      </c>
      <c r="C11" s="277">
        <v>0.9</v>
      </c>
      <c r="D11" s="278">
        <v>7.0000000000000007E-2</v>
      </c>
      <c r="E11" s="278">
        <v>0.03</v>
      </c>
      <c r="F11" s="278">
        <v>0</v>
      </c>
      <c r="G11" s="279">
        <v>0</v>
      </c>
      <c r="H11" s="280">
        <v>328147</v>
      </c>
      <c r="I11" s="280">
        <v>329126</v>
      </c>
      <c r="J11" s="36"/>
    </row>
    <row r="12" spans="1:19" x14ac:dyDescent="0.35">
      <c r="B12" s="276">
        <v>21</v>
      </c>
      <c r="C12" s="277">
        <v>0.87</v>
      </c>
      <c r="D12" s="278">
        <v>0.09</v>
      </c>
      <c r="E12" s="278">
        <v>0.04</v>
      </c>
      <c r="F12" s="278">
        <v>0.01</v>
      </c>
      <c r="G12" s="279">
        <v>0</v>
      </c>
      <c r="H12" s="280">
        <v>341451</v>
      </c>
      <c r="I12" s="280">
        <v>332767</v>
      </c>
      <c r="J12" s="36"/>
      <c r="M12" s="508" t="s">
        <v>596</v>
      </c>
      <c r="N12" s="508"/>
      <c r="O12" s="508"/>
      <c r="P12" s="508"/>
      <c r="Q12" s="508"/>
      <c r="R12" s="508"/>
      <c r="S12" s="508"/>
    </row>
    <row r="13" spans="1:19" x14ac:dyDescent="0.35">
      <c r="B13" s="276">
        <v>22</v>
      </c>
      <c r="C13" s="277">
        <v>0.83</v>
      </c>
      <c r="D13" s="278">
        <v>0.11</v>
      </c>
      <c r="E13" s="278">
        <v>0.05</v>
      </c>
      <c r="F13" s="278">
        <v>0.01</v>
      </c>
      <c r="G13" s="279">
        <v>0</v>
      </c>
      <c r="H13" s="280">
        <v>348590</v>
      </c>
      <c r="I13" s="280">
        <v>347582</v>
      </c>
      <c r="J13" s="36"/>
      <c r="M13" s="508"/>
      <c r="N13" s="508"/>
      <c r="O13" s="508"/>
      <c r="P13" s="508"/>
      <c r="Q13" s="508"/>
      <c r="R13" s="508"/>
      <c r="S13" s="508"/>
    </row>
    <row r="14" spans="1:19" x14ac:dyDescent="0.35">
      <c r="B14" s="276">
        <v>23</v>
      </c>
      <c r="C14" s="277">
        <v>0.78</v>
      </c>
      <c r="D14" s="278">
        <v>0.12</v>
      </c>
      <c r="E14" s="278">
        <v>0.08</v>
      </c>
      <c r="F14" s="278">
        <v>0.02</v>
      </c>
      <c r="G14" s="279">
        <v>0</v>
      </c>
      <c r="H14" s="280">
        <v>366730</v>
      </c>
      <c r="I14" s="280">
        <v>354884</v>
      </c>
      <c r="J14" s="36"/>
      <c r="M14" s="508"/>
      <c r="N14" s="508"/>
      <c r="O14" s="508"/>
      <c r="P14" s="508"/>
      <c r="Q14" s="508"/>
      <c r="R14" s="508"/>
      <c r="S14" s="508"/>
    </row>
    <row r="15" spans="1:19" x14ac:dyDescent="0.35">
      <c r="B15" s="276">
        <v>24</v>
      </c>
      <c r="C15" s="277">
        <v>0.74</v>
      </c>
      <c r="D15" s="278">
        <v>0.13</v>
      </c>
      <c r="E15" s="278">
        <v>0.1</v>
      </c>
      <c r="F15" s="278">
        <v>0.03</v>
      </c>
      <c r="G15" s="279">
        <v>0.01</v>
      </c>
      <c r="H15" s="280">
        <v>374871</v>
      </c>
      <c r="I15" s="280">
        <v>371506</v>
      </c>
      <c r="J15" s="36"/>
      <c r="M15" s="508"/>
      <c r="N15" s="508"/>
      <c r="O15" s="508"/>
      <c r="P15" s="508"/>
      <c r="Q15" s="508"/>
      <c r="R15" s="508"/>
      <c r="S15" s="508"/>
    </row>
    <row r="16" spans="1:19" x14ac:dyDescent="0.35">
      <c r="B16" s="276">
        <v>25</v>
      </c>
      <c r="C16" s="277">
        <v>0.68</v>
      </c>
      <c r="D16" s="278">
        <v>0.15</v>
      </c>
      <c r="E16" s="278">
        <v>0.12</v>
      </c>
      <c r="F16" s="278">
        <v>0.04</v>
      </c>
      <c r="G16" s="279">
        <v>0.01</v>
      </c>
      <c r="H16" s="280">
        <v>369929</v>
      </c>
      <c r="I16" s="280">
        <v>378618</v>
      </c>
      <c r="J16" s="36"/>
      <c r="M16" s="508"/>
      <c r="N16" s="508"/>
      <c r="O16" s="508"/>
      <c r="P16" s="508"/>
      <c r="Q16" s="508"/>
      <c r="R16" s="508"/>
      <c r="S16" s="508"/>
    </row>
    <row r="17" spans="2:42" x14ac:dyDescent="0.35">
      <c r="B17" s="276">
        <v>26</v>
      </c>
      <c r="C17" s="277">
        <v>0.63</v>
      </c>
      <c r="D17" s="278">
        <v>0.16</v>
      </c>
      <c r="E17" s="278">
        <v>0.15</v>
      </c>
      <c r="F17" s="278">
        <v>0.05</v>
      </c>
      <c r="G17" s="279">
        <v>0.02</v>
      </c>
      <c r="H17" s="280">
        <v>371857</v>
      </c>
      <c r="I17" s="280">
        <v>373739</v>
      </c>
      <c r="J17" s="36"/>
      <c r="M17" s="508"/>
      <c r="N17" s="508"/>
      <c r="O17" s="508"/>
      <c r="P17" s="508"/>
      <c r="Q17" s="508"/>
      <c r="R17" s="508"/>
      <c r="S17" s="508"/>
    </row>
    <row r="18" spans="2:42" x14ac:dyDescent="0.35">
      <c r="B18" s="276">
        <v>27</v>
      </c>
      <c r="C18" s="277">
        <v>0.56999999999999995</v>
      </c>
      <c r="D18" s="278">
        <v>0.17</v>
      </c>
      <c r="E18" s="278">
        <v>0.17</v>
      </c>
      <c r="F18" s="278">
        <v>0.06</v>
      </c>
      <c r="G18" s="279">
        <v>0.02</v>
      </c>
      <c r="H18" s="280">
        <v>379320</v>
      </c>
      <c r="I18" s="280">
        <v>375109</v>
      </c>
      <c r="J18" s="36"/>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row>
    <row r="19" spans="2:42" x14ac:dyDescent="0.35">
      <c r="B19" s="276">
        <v>28</v>
      </c>
      <c r="C19" s="277">
        <v>0.52</v>
      </c>
      <c r="D19" s="278">
        <v>0.18</v>
      </c>
      <c r="E19" s="278">
        <v>0.2</v>
      </c>
      <c r="F19" s="278">
        <v>7.0000000000000007E-2</v>
      </c>
      <c r="G19" s="279">
        <v>0.03</v>
      </c>
      <c r="H19" s="280">
        <v>374487</v>
      </c>
      <c r="I19" s="280">
        <v>382558</v>
      </c>
      <c r="J19" s="36"/>
    </row>
    <row r="20" spans="2:42" x14ac:dyDescent="0.35">
      <c r="B20" s="276">
        <v>29</v>
      </c>
      <c r="C20" s="277">
        <v>0.48</v>
      </c>
      <c r="D20" s="278">
        <v>0.19</v>
      </c>
      <c r="E20" s="278">
        <v>0.22</v>
      </c>
      <c r="F20" s="278">
        <v>0.08</v>
      </c>
      <c r="G20" s="279">
        <v>0.03</v>
      </c>
      <c r="H20" s="280">
        <v>374995</v>
      </c>
      <c r="I20" s="280">
        <v>377347</v>
      </c>
      <c r="J20" s="36"/>
    </row>
    <row r="21" spans="2:42" x14ac:dyDescent="0.35">
      <c r="B21" s="276">
        <v>30</v>
      </c>
      <c r="C21" s="277">
        <v>0.43</v>
      </c>
      <c r="D21" s="278">
        <v>0.2</v>
      </c>
      <c r="E21" s="278">
        <v>0.23</v>
      </c>
      <c r="F21" s="278">
        <v>0.1</v>
      </c>
      <c r="G21" s="279">
        <v>0.04</v>
      </c>
      <c r="H21" s="280">
        <v>376358</v>
      </c>
      <c r="I21" s="280">
        <v>377153</v>
      </c>
      <c r="J21" s="36"/>
    </row>
    <row r="22" spans="2:42" x14ac:dyDescent="0.35">
      <c r="B22" s="276">
        <v>31</v>
      </c>
      <c r="C22" s="277">
        <v>0.38</v>
      </c>
      <c r="D22" s="278">
        <v>0.21</v>
      </c>
      <c r="E22" s="278">
        <v>0.25</v>
      </c>
      <c r="F22" s="278">
        <v>0.11</v>
      </c>
      <c r="G22" s="279">
        <v>0.05</v>
      </c>
      <c r="H22" s="280">
        <v>369406</v>
      </c>
      <c r="I22" s="280">
        <v>377388</v>
      </c>
      <c r="J22" s="36"/>
    </row>
    <row r="23" spans="2:42" x14ac:dyDescent="0.35">
      <c r="B23" s="276">
        <v>32</v>
      </c>
      <c r="C23" s="277">
        <v>0.34</v>
      </c>
      <c r="D23" s="278">
        <v>0.22</v>
      </c>
      <c r="E23" s="278">
        <v>0.28000000000000003</v>
      </c>
      <c r="F23" s="278">
        <v>0.12</v>
      </c>
      <c r="G23" s="279">
        <v>0.05</v>
      </c>
      <c r="H23" s="280">
        <v>373691</v>
      </c>
      <c r="I23" s="280">
        <v>370708</v>
      </c>
      <c r="J23" s="36"/>
    </row>
    <row r="24" spans="2:42" x14ac:dyDescent="0.35">
      <c r="B24" s="276">
        <v>33</v>
      </c>
      <c r="C24" s="277">
        <v>0.28999999999999998</v>
      </c>
      <c r="D24" s="278">
        <v>0.22</v>
      </c>
      <c r="E24" s="278">
        <v>0.3</v>
      </c>
      <c r="F24" s="278">
        <v>0.13</v>
      </c>
      <c r="G24" s="279">
        <v>0.06</v>
      </c>
      <c r="H24" s="280">
        <v>374267</v>
      </c>
      <c r="I24" s="280">
        <v>374621</v>
      </c>
      <c r="J24" s="36"/>
    </row>
    <row r="25" spans="2:42" x14ac:dyDescent="0.35">
      <c r="B25" s="276">
        <v>34</v>
      </c>
      <c r="C25" s="277">
        <v>0.26</v>
      </c>
      <c r="D25" s="278">
        <v>0.22</v>
      </c>
      <c r="E25" s="278">
        <v>0.31</v>
      </c>
      <c r="F25" s="278">
        <v>0.13</v>
      </c>
      <c r="G25" s="279">
        <v>7.0000000000000007E-2</v>
      </c>
      <c r="H25" s="280">
        <v>376423</v>
      </c>
      <c r="I25" s="280">
        <v>374856</v>
      </c>
      <c r="J25" s="36"/>
    </row>
    <row r="26" spans="2:42" x14ac:dyDescent="0.35">
      <c r="B26" s="276">
        <v>35</v>
      </c>
      <c r="C26" s="277">
        <v>0.24</v>
      </c>
      <c r="D26" s="278">
        <v>0.22</v>
      </c>
      <c r="E26" s="278">
        <v>0.33</v>
      </c>
      <c r="F26" s="278">
        <v>0.14000000000000001</v>
      </c>
      <c r="G26" s="279">
        <v>0.08</v>
      </c>
      <c r="H26" s="280">
        <v>376740</v>
      </c>
      <c r="I26" s="280">
        <v>376910</v>
      </c>
      <c r="J26" s="36"/>
    </row>
    <row r="27" spans="2:42" x14ac:dyDescent="0.35">
      <c r="B27" s="276">
        <v>36</v>
      </c>
      <c r="C27" s="277">
        <v>0.22</v>
      </c>
      <c r="D27" s="278">
        <v>0.21</v>
      </c>
      <c r="E27" s="278">
        <v>0.34</v>
      </c>
      <c r="F27" s="278">
        <v>0.15</v>
      </c>
      <c r="G27" s="279">
        <v>0.08</v>
      </c>
      <c r="H27" s="280">
        <v>360640</v>
      </c>
      <c r="I27" s="280">
        <v>377659</v>
      </c>
      <c r="J27" s="36"/>
    </row>
    <row r="28" spans="2:42" x14ac:dyDescent="0.35">
      <c r="B28" s="276">
        <v>37</v>
      </c>
      <c r="C28" s="277">
        <v>0.21</v>
      </c>
      <c r="D28" s="278">
        <v>0.19</v>
      </c>
      <c r="E28" s="278">
        <v>0.35</v>
      </c>
      <c r="F28" s="278">
        <v>0.15</v>
      </c>
      <c r="G28" s="279">
        <v>0.09</v>
      </c>
      <c r="H28" s="280">
        <v>335705</v>
      </c>
      <c r="I28" s="280">
        <v>361577</v>
      </c>
      <c r="J28" s="36"/>
    </row>
    <row r="29" spans="2:42" x14ac:dyDescent="0.35">
      <c r="B29" s="276">
        <v>38</v>
      </c>
      <c r="C29" s="277">
        <v>0.2</v>
      </c>
      <c r="D29" s="278">
        <v>0.19</v>
      </c>
      <c r="E29" s="278">
        <v>0.36</v>
      </c>
      <c r="F29" s="278">
        <v>0.16</v>
      </c>
      <c r="G29" s="279">
        <v>0.09</v>
      </c>
      <c r="H29" s="280">
        <v>330155</v>
      </c>
      <c r="I29" s="280">
        <v>336222</v>
      </c>
      <c r="J29" s="36"/>
    </row>
    <row r="30" spans="2:42" x14ac:dyDescent="0.35">
      <c r="B30" s="276">
        <v>39</v>
      </c>
      <c r="C30" s="277">
        <v>0.19</v>
      </c>
      <c r="D30" s="278">
        <v>0.18</v>
      </c>
      <c r="E30" s="278">
        <v>0.37</v>
      </c>
      <c r="F30" s="278">
        <v>0.16</v>
      </c>
      <c r="G30" s="279">
        <v>0.1</v>
      </c>
      <c r="H30" s="280">
        <v>337036</v>
      </c>
      <c r="I30" s="280">
        <v>330797</v>
      </c>
      <c r="J30" s="36"/>
    </row>
    <row r="31" spans="2:42" x14ac:dyDescent="0.35">
      <c r="B31" s="276">
        <v>40</v>
      </c>
      <c r="C31" s="277">
        <v>0.19</v>
      </c>
      <c r="D31" s="278">
        <v>0.18</v>
      </c>
      <c r="E31" s="278">
        <v>0.37</v>
      </c>
      <c r="F31" s="278">
        <v>0.16</v>
      </c>
      <c r="G31" s="279">
        <v>0.1</v>
      </c>
      <c r="H31" s="280">
        <v>343758</v>
      </c>
      <c r="I31" s="280">
        <v>338099</v>
      </c>
      <c r="J31" s="36"/>
    </row>
    <row r="32" spans="2:42" x14ac:dyDescent="0.35">
      <c r="B32" s="276">
        <v>41</v>
      </c>
      <c r="C32" s="277">
        <v>0.19</v>
      </c>
      <c r="D32" s="278">
        <v>0.18</v>
      </c>
      <c r="E32" s="278">
        <v>0.37</v>
      </c>
      <c r="F32" s="278">
        <v>0.16</v>
      </c>
      <c r="G32" s="279">
        <v>0.1</v>
      </c>
      <c r="H32" s="280">
        <v>349909</v>
      </c>
      <c r="I32" s="280">
        <v>344442</v>
      </c>
      <c r="J32" s="36"/>
    </row>
    <row r="33" spans="2:13" x14ac:dyDescent="0.35">
      <c r="B33" s="276">
        <v>42</v>
      </c>
      <c r="C33" s="277">
        <v>0.19</v>
      </c>
      <c r="D33" s="278">
        <v>0.18</v>
      </c>
      <c r="E33" s="278">
        <v>0.37</v>
      </c>
      <c r="F33" s="278">
        <v>0.16</v>
      </c>
      <c r="G33" s="279">
        <v>0.1</v>
      </c>
      <c r="H33" s="280">
        <v>364274</v>
      </c>
      <c r="I33" s="280">
        <v>351126</v>
      </c>
      <c r="J33" s="36"/>
    </row>
    <row r="34" spans="2:13" x14ac:dyDescent="0.35">
      <c r="B34" s="276">
        <v>43</v>
      </c>
      <c r="C34" s="277">
        <v>0.19</v>
      </c>
      <c r="D34" s="278">
        <v>0.18</v>
      </c>
      <c r="E34" s="278">
        <v>0.37</v>
      </c>
      <c r="F34" s="278">
        <v>0.17</v>
      </c>
      <c r="G34" s="279">
        <v>0.1</v>
      </c>
      <c r="H34" s="280">
        <v>379488</v>
      </c>
      <c r="I34" s="280">
        <v>365008</v>
      </c>
      <c r="J34" s="36"/>
    </row>
    <row r="35" spans="2:13" x14ac:dyDescent="0.35">
      <c r="B35" s="276">
        <v>44</v>
      </c>
      <c r="C35" s="277">
        <v>0.18</v>
      </c>
      <c r="D35" s="278">
        <v>0.18</v>
      </c>
      <c r="E35" s="278">
        <v>0.37</v>
      </c>
      <c r="F35" s="278">
        <v>0.17</v>
      </c>
      <c r="G35" s="279">
        <v>0.1</v>
      </c>
      <c r="H35" s="280">
        <v>393885</v>
      </c>
      <c r="I35" s="280">
        <v>380164</v>
      </c>
      <c r="J35" s="36"/>
    </row>
    <row r="36" spans="2:13" x14ac:dyDescent="0.35">
      <c r="B36" s="276" t="s">
        <v>63</v>
      </c>
      <c r="C36" s="277">
        <v>0.17</v>
      </c>
      <c r="D36" s="278">
        <v>0.18</v>
      </c>
      <c r="E36" s="278">
        <v>0.37</v>
      </c>
      <c r="F36" s="278">
        <v>0.17</v>
      </c>
      <c r="G36" s="279">
        <v>0.1</v>
      </c>
      <c r="H36" s="276"/>
      <c r="I36" s="280"/>
      <c r="J36" s="1"/>
    </row>
    <row r="37" spans="2:13" x14ac:dyDescent="0.35">
      <c r="B37" s="37" t="s">
        <v>55</v>
      </c>
      <c r="C37" s="368">
        <f>(C6*$H$6+C7*$H$7+C8*$H$8+C9*$H$9+C10*$H$10+C11*$H$11+C12*$H$12+C13*$H$13+C14*$H$14+C15*$H$15+C16*$H$16+C17*$H$17+C18*$H$18+C19*$H$19+C20*$H$20+C21*$H$21+C22*$H$22+C23*$H$23+C24*$H$24+C25*$H$25+C26*$H$26+C27*$H$27+C28*$H$28+C29*$H$29+C30*$H$30+C31*$H$31+C32*$H$32+C33*$H$33+C34*$H$34+C35*$H$35)/(SUM($H$6:$H$35))</f>
        <v>0.507421815577354</v>
      </c>
      <c r="D37" s="369">
        <f>(D6*$H$6+D7*$H$7+D8*$H$8+D9*$H$9+D10*$H$10+D11*$H$11+D12*$H$12+D13*$H$13+D14*$H$14+D15*$H$15+D16*$H$16+D17*$H$17+D18*$H$18+D19*$H$19+D20*$H$20+D21*$H$21+D22*$H$22+D23*$H$23+D24*$H$24+D25*$H$25+D26*$H$26+D27*$H$27+D28*$H$28+D29*$H$29+D30*$H$30+D31*$H$31+D32*$H$32+D33*$H$33+D34*$H$34+D35*$H$35)/(SUM($H$6:$H$35))</f>
        <v>0.15144098287081001</v>
      </c>
      <c r="E37" s="369">
        <f>(E6*$H$6+E7*$H$7+E8*$H$8+E9*$H$9+E10*$H$10+E11*$H$11+E12*$H$12+E13*$H$13+E14*$H$14+E15*$H$15+E16*$H$16+E17*$H$17+E18*$H$18+E19*$H$19+E20*$H$20+E21*$H$21+E22*$H$22+E23*$H$23+E24*$H$24+E25*$H$25+E26*$H$26+E27*$H$27+E28*$H$28+E29*$H$29+E30*$H$30+E31*$H$31+E32*$H$32+E33*$H$33+E34*$H$34+E35*$H$35)/(SUM($H$6:$H$35))</f>
        <v>0.2100970344113671</v>
      </c>
      <c r="F37" s="369">
        <f>(F6*$H$6+F7*$H$7+F8*$H$8+F9*$H$9+F10*$H$10+F11*$H$11+F12*$H$12+F13*$H$13+F14*$H$14+F15*$H$15+F16*$H$16+F17*$H$17+F18*$H$18+F19*$H$19+F20*$H$20+F21*$H$21+F22*$H$22+F23*$H$23+F24*$H$24+F25*$H$25+F26*$H$26+F27*$H$27+F28*$H$28+F29*$H$29+F30*$H$30+F31*$H$31+F32*$H$32+F33*$H$33+F34*$H$34+F35*$H$35)/(SUM($H$6:$H$35))</f>
        <v>8.6812111872932946E-2</v>
      </c>
      <c r="G37" s="370">
        <f>(G6*$H$6+G7*$H$7+G8*$H$8+G9*$H$9+G10*$H$10+G11*$H$11+G12*$H$12+G13*$H$13+G14*$H$14+G15*$H$15+G16*$H$16+G17*$H$17+G18*$H$18+G19*$H$19+G20*$H$20+G21*$H$21+G22*$H$22+G23*$H$23+G24*$H$24+G25*$H$25+G26*$H$26+G27*$H$27+G28*$H$28+G29*$H$29+G30*$H$30+G31*$H$31+G32*$H$32+G33*$H$33+G34*$H$34+G35*$H$35)/(SUM($H$6:$H$35))</f>
        <v>4.5296541467718464E-2</v>
      </c>
      <c r="H37" s="371">
        <f>SUM(H6:H35)</f>
        <v>10634887</v>
      </c>
      <c r="I37" s="371">
        <f>SUM(I6:I35)</f>
        <v>10607577</v>
      </c>
      <c r="J37" s="34"/>
    </row>
    <row r="40" spans="2:13" x14ac:dyDescent="0.35">
      <c r="D40" s="33"/>
    </row>
    <row r="42" spans="2:13" x14ac:dyDescent="0.35">
      <c r="M42" s="201"/>
    </row>
    <row r="43" spans="2:13" x14ac:dyDescent="0.35">
      <c r="M43" s="201"/>
    </row>
  </sheetData>
  <mergeCells count="5">
    <mergeCell ref="C4:G4"/>
    <mergeCell ref="H4:H5"/>
    <mergeCell ref="B4:B5"/>
    <mergeCell ref="I4:I5"/>
    <mergeCell ref="M12:S17"/>
  </mergeCells>
  <hyperlinks>
    <hyperlink ref="N5" r:id="rId1" xr:uid="{00000000-0004-0000-0200-000000000000}"/>
    <hyperlink ref="N9"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sheetPr>
  <dimension ref="A1:Q41"/>
  <sheetViews>
    <sheetView workbookViewId="0"/>
  </sheetViews>
  <sheetFormatPr defaultRowHeight="14.5" x14ac:dyDescent="0.35"/>
  <cols>
    <col min="1" max="1" width="9.1796875" style="38"/>
    <col min="2" max="2" width="10.453125" customWidth="1"/>
    <col min="3" max="3" width="12.26953125" customWidth="1"/>
    <col min="4" max="4" width="13" customWidth="1"/>
    <col min="5" max="5" width="12.26953125" customWidth="1"/>
    <col min="6" max="6" width="15.26953125" customWidth="1"/>
    <col min="7" max="8" width="15.26953125" style="38" customWidth="1"/>
    <col min="9" max="9" width="15.26953125" customWidth="1"/>
    <col min="10" max="10" width="4.54296875" customWidth="1"/>
    <col min="11" max="12" width="11.7265625" customWidth="1"/>
    <col min="13" max="13" width="4.54296875" customWidth="1"/>
    <col min="14" max="15" width="11.7265625" customWidth="1"/>
    <col min="16" max="16" width="17.26953125" customWidth="1"/>
  </cols>
  <sheetData>
    <row r="1" spans="1:17" s="164" customFormat="1" ht="30" customHeight="1" x14ac:dyDescent="0.5">
      <c r="A1" s="19" t="s">
        <v>121</v>
      </c>
      <c r="C1" s="19"/>
      <c r="D1" s="19"/>
      <c r="E1" s="19"/>
      <c r="F1" s="19"/>
      <c r="G1" s="19"/>
      <c r="H1" s="19"/>
      <c r="I1" s="19"/>
    </row>
    <row r="3" spans="1:17" s="38" customFormat="1" x14ac:dyDescent="0.35">
      <c r="B3" s="432" t="s">
        <v>431</v>
      </c>
      <c r="C3" s="433" t="str">
        <f>OUTLINE!C23</f>
        <v>Scenario 1</v>
      </c>
      <c r="D3" s="432" t="s">
        <v>669</v>
      </c>
      <c r="E3" s="433" t="str">
        <f>OUTLINE!C38</f>
        <v>10 years</v>
      </c>
      <c r="F3" s="509" t="s">
        <v>679</v>
      </c>
      <c r="G3" s="509"/>
      <c r="H3" s="509"/>
      <c r="I3" s="509"/>
      <c r="K3" s="509" t="s">
        <v>680</v>
      </c>
      <c r="L3" s="509"/>
      <c r="M3" s="401"/>
      <c r="N3" s="509" t="s">
        <v>681</v>
      </c>
      <c r="O3" s="509"/>
    </row>
    <row r="4" spans="1:17" x14ac:dyDescent="0.35">
      <c r="B4" s="274" t="s">
        <v>17</v>
      </c>
      <c r="C4" s="11" t="s">
        <v>18</v>
      </c>
      <c r="D4" s="11"/>
      <c r="E4" s="11"/>
      <c r="F4" s="274" t="s">
        <v>663</v>
      </c>
      <c r="G4" s="274" t="s">
        <v>670</v>
      </c>
      <c r="H4" s="274" t="s">
        <v>452</v>
      </c>
      <c r="I4" s="274" t="s">
        <v>451</v>
      </c>
      <c r="K4" s="274" t="s">
        <v>660</v>
      </c>
      <c r="L4" s="274" t="s">
        <v>661</v>
      </c>
      <c r="M4" s="38"/>
      <c r="N4" s="274" t="s">
        <v>678</v>
      </c>
      <c r="O4" s="274" t="s">
        <v>661</v>
      </c>
      <c r="P4" s="38"/>
    </row>
    <row r="5" spans="1:17" x14ac:dyDescent="0.35">
      <c r="B5" s="57"/>
      <c r="C5" s="57" t="s">
        <v>439</v>
      </c>
      <c r="D5" s="58"/>
      <c r="E5" s="58"/>
      <c r="F5" s="117"/>
      <c r="G5" s="117"/>
      <c r="H5" s="117"/>
      <c r="I5" s="117"/>
      <c r="K5" s="117"/>
      <c r="L5" s="117"/>
      <c r="M5" s="38"/>
      <c r="N5" s="117"/>
      <c r="O5" s="117"/>
      <c r="P5" s="54"/>
      <c r="Q5" s="54"/>
    </row>
    <row r="6" spans="1:17" x14ac:dyDescent="0.35">
      <c r="B6" s="273">
        <v>2.1</v>
      </c>
      <c r="C6" s="58" t="s">
        <v>583</v>
      </c>
      <c r="D6" s="58"/>
      <c r="E6" s="58"/>
      <c r="F6" s="262">
        <f>'2.1'!I14</f>
        <v>405798355.4538334</v>
      </c>
      <c r="G6" s="262">
        <f>F6*0.4</f>
        <v>162319342.18153337</v>
      </c>
      <c r="H6" s="262">
        <f xml:space="preserve"> 0.6*(F6-(F6/(1+$I$34)^$I$35))</f>
        <v>16188749.067954468</v>
      </c>
      <c r="I6" s="261">
        <f>G6+H6</f>
        <v>178508091.24948785</v>
      </c>
      <c r="K6" s="117">
        <f>F6/'1. AVERTED PREGNANCIES'!$F$58</f>
        <v>1981.6417939108117</v>
      </c>
      <c r="L6" s="117">
        <f>I6/'1. AVERTED PREGNANCIES'!$F$58</f>
        <v>871.71150256540136</v>
      </c>
      <c r="M6" s="38"/>
      <c r="N6" s="117">
        <f>F6/'1. AVERTED PREGNANCIES'!$F$59</f>
        <v>5504.5605386411435</v>
      </c>
      <c r="O6" s="117">
        <f>I6/'1. AVERTED PREGNANCIES'!$F$59</f>
        <v>2421.4208404594483</v>
      </c>
      <c r="Q6" s="54"/>
    </row>
    <row r="7" spans="1:17" x14ac:dyDescent="0.35">
      <c r="B7" s="273">
        <v>2.1</v>
      </c>
      <c r="C7" s="113" t="s">
        <v>20</v>
      </c>
      <c r="D7" s="58"/>
      <c r="E7" s="58"/>
      <c r="F7" s="262">
        <f>'2.1'!I22</f>
        <v>81637737.166403875</v>
      </c>
      <c r="G7" s="442" t="s">
        <v>674</v>
      </c>
      <c r="H7" s="443" t="s">
        <v>674</v>
      </c>
      <c r="I7" s="261">
        <f>F7</f>
        <v>81637737.166403875</v>
      </c>
      <c r="K7" s="117">
        <f>F7/'1. AVERTED PREGNANCIES'!$F$58</f>
        <v>398.66290672451191</v>
      </c>
      <c r="L7" s="117">
        <f>I7/'1. AVERTED PREGNANCIES'!$F$58</f>
        <v>398.66290672451191</v>
      </c>
      <c r="M7" s="425"/>
      <c r="N7" s="444" t="s">
        <v>674</v>
      </c>
      <c r="O7" s="444" t="s">
        <v>674</v>
      </c>
      <c r="Q7" s="54"/>
    </row>
    <row r="8" spans="1:17" x14ac:dyDescent="0.35">
      <c r="B8" s="273">
        <v>2.1</v>
      </c>
      <c r="C8" s="113" t="s">
        <v>21</v>
      </c>
      <c r="D8" s="58"/>
      <c r="E8" s="58"/>
      <c r="F8" s="262">
        <f>'2.1'!I30</f>
        <v>16041824.928340208</v>
      </c>
      <c r="G8" s="442" t="s">
        <v>674</v>
      </c>
      <c r="H8" s="442" t="s">
        <v>674</v>
      </c>
      <c r="I8" s="261">
        <f>F8</f>
        <v>16041824.928340208</v>
      </c>
      <c r="K8" s="117">
        <f>F8/'1. AVERTED PREGNANCIES'!$F$58</f>
        <v>78.3373079298145</v>
      </c>
      <c r="L8" s="117">
        <f>I8/'1. AVERTED PREGNANCIES'!$F$58</f>
        <v>78.3373079298145</v>
      </c>
      <c r="M8" s="425"/>
      <c r="N8" s="444" t="s">
        <v>674</v>
      </c>
      <c r="O8" s="444" t="s">
        <v>674</v>
      </c>
      <c r="Q8" s="54"/>
    </row>
    <row r="9" spans="1:17" x14ac:dyDescent="0.35">
      <c r="B9" s="273">
        <v>2.2000000000000002</v>
      </c>
      <c r="C9" s="58" t="s">
        <v>440</v>
      </c>
      <c r="D9" s="58"/>
      <c r="E9" s="58"/>
      <c r="F9" s="262">
        <f>IF(OUTLINE!C38="1 year", '2.2'!F14, IF(OUTLINE!C38="5 years", '2.2'!J14, IF(OUTLINE!C38="10 years", '2.2'!O14, 0)))</f>
        <v>1349711011.6142571</v>
      </c>
      <c r="G9" s="262">
        <f t="shared" ref="G9:G18" si="0">F9*0.4</f>
        <v>539884404.64570284</v>
      </c>
      <c r="H9" s="262">
        <f xml:space="preserve"> 0.6*(F9-(F9/(1+$I$34)^$I$35))</f>
        <v>53844803.921991348</v>
      </c>
      <c r="I9" s="261">
        <f t="shared" ref="I9:I18" si="1">G9+H9</f>
        <v>593729208.56769419</v>
      </c>
      <c r="K9" s="117">
        <f>F9/'1. AVERTED PREGNANCIES'!$F$58</f>
        <v>6591.0660168280046</v>
      </c>
      <c r="L9" s="117">
        <f>I9/'1. AVERTED PREGNANCIES'!$F$58</f>
        <v>2899.3676247098192</v>
      </c>
      <c r="M9" s="425"/>
      <c r="N9" s="117">
        <f>F9/'1. AVERTED PREGNANCIES'!$F$59</f>
        <v>18308.516713411125</v>
      </c>
      <c r="O9" s="117">
        <f>I9/'1. AVERTED PREGNANCIES'!$F$59</f>
        <v>8053.7989575272768</v>
      </c>
      <c r="Q9" s="54"/>
    </row>
    <row r="10" spans="1:17" s="38" customFormat="1" x14ac:dyDescent="0.35">
      <c r="B10" s="273">
        <v>2.2999999999999998</v>
      </c>
      <c r="C10" s="29" t="s">
        <v>702</v>
      </c>
      <c r="D10" s="29"/>
      <c r="E10" s="29"/>
      <c r="F10" s="260">
        <f>IF(OUTLINE!$C$38="1 year",'2.3'!F24,IF(OUTLINE!$C$38="5 years",'2.3'!J24,IF(OUTLINE!$C$38="10 years",'2.3'!O24,0)))</f>
        <v>81593336.144367501</v>
      </c>
      <c r="G10" s="260">
        <f>F10*0.4</f>
        <v>32637334.457747001</v>
      </c>
      <c r="H10" s="260">
        <f xml:space="preserve"> 0.6*(F17-(F17/(1+$I$34)^$I$35))</f>
        <v>4236482.9227295639</v>
      </c>
      <c r="I10" s="325">
        <f>G10+H10</f>
        <v>36873817.380476564</v>
      </c>
      <c r="K10" s="117">
        <f>F10/'1. AVERTED PREGNANCIES'!$F$58</f>
        <v>398.44608248218287</v>
      </c>
      <c r="L10" s="117">
        <f>I10/'1. AVERTED PREGNANCIES'!$F$58</f>
        <v>180.06651983709259</v>
      </c>
      <c r="M10" s="425"/>
      <c r="N10" s="117">
        <f>F10/'1. AVERTED PREGNANCIES'!$F$59</f>
        <v>1106.7946735616192</v>
      </c>
      <c r="O10" s="117">
        <f>I10/'1. AVERTED PREGNANCIES'!$F$59</f>
        <v>500.18477732525724</v>
      </c>
      <c r="Q10" s="54"/>
    </row>
    <row r="11" spans="1:17" s="38" customFormat="1" x14ac:dyDescent="0.35">
      <c r="B11" s="57"/>
      <c r="C11" s="57" t="s">
        <v>668</v>
      </c>
      <c r="D11" s="58"/>
      <c r="E11" s="58"/>
      <c r="F11" s="262"/>
      <c r="G11" s="262"/>
      <c r="H11" s="262"/>
      <c r="I11" s="261"/>
      <c r="K11" s="117"/>
      <c r="L11" s="117"/>
      <c r="M11" s="425"/>
      <c r="N11" s="117"/>
      <c r="O11" s="117"/>
      <c r="Q11" s="54"/>
    </row>
    <row r="12" spans="1:17" x14ac:dyDescent="0.35">
      <c r="B12" s="273">
        <v>2.4</v>
      </c>
      <c r="C12" s="58" t="s">
        <v>27</v>
      </c>
      <c r="D12" s="58"/>
      <c r="E12" s="58"/>
      <c r="F12" s="262">
        <f>IF(OUTLINE!$C$38="1 year", '2.4'!E16, IF(OUTLINE!$C$38="5 years", '2.4'!I16, IF(OUTLINE!$C$38="10 years", '2.4'!N16, 0)))</f>
        <v>1579757474.7736323</v>
      </c>
      <c r="G12" s="262">
        <f t="shared" si="0"/>
        <v>631902989.90945292</v>
      </c>
      <c r="H12" s="262">
        <f t="shared" ref="H12:H19" si="2" xml:space="preserve"> 0.6*(F12-(F12/(1+$I$34)^$I$35))</f>
        <v>63022180.85318312</v>
      </c>
      <c r="I12" s="261">
        <f t="shared" si="1"/>
        <v>694925170.76263607</v>
      </c>
      <c r="K12" s="117">
        <f>F12/'1. AVERTED PREGNANCIES'!$F$58</f>
        <v>7714.4556999334227</v>
      </c>
      <c r="L12" s="117">
        <f>I12/'1. AVERTED PREGNANCIES'!$F$58</f>
        <v>3393.5395338991593</v>
      </c>
      <c r="M12" s="425"/>
      <c r="N12" s="117">
        <f>F12/'1. AVERTED PREGNANCIES'!$F$59</f>
        <v>21429.043610926175</v>
      </c>
      <c r="O12" s="117">
        <f>I12/'1. AVERTED PREGNANCIES'!$F$59</f>
        <v>9426.4987052754441</v>
      </c>
      <c r="Q12" s="54"/>
    </row>
    <row r="13" spans="1:17" x14ac:dyDescent="0.35">
      <c r="B13" s="273">
        <v>2.5</v>
      </c>
      <c r="C13" s="58" t="s">
        <v>24</v>
      </c>
      <c r="D13" s="58"/>
      <c r="E13" s="58"/>
      <c r="F13" s="262">
        <f>IF(OUTLINE!$C$38="1 year", '2.5'!D28, IF(OUTLINE!$C$38="5 years", '2.5'!H28, IF(OUTLINE!$C$38="10 years",'2.5'!M28, 0)))</f>
        <v>372620047.18139923</v>
      </c>
      <c r="G13" s="262">
        <f t="shared" si="0"/>
        <v>149048018.8725597</v>
      </c>
      <c r="H13" s="262">
        <f t="shared" si="2"/>
        <v>14865147.579917442</v>
      </c>
      <c r="I13" s="261">
        <f t="shared" si="1"/>
        <v>163913166.45247713</v>
      </c>
      <c r="K13" s="117">
        <f>F13/'1. AVERTED PREGNANCIES'!$F$58</f>
        <v>1819.6216145772057</v>
      </c>
      <c r="L13" s="117">
        <f>I13/'1. AVERTED PREGNANCIES'!$F$58</f>
        <v>800.43986588171822</v>
      </c>
      <c r="M13" s="425"/>
      <c r="N13" s="117">
        <f>F13/'1. AVERTED PREGNANCIES'!$F$59</f>
        <v>5054.5044849366832</v>
      </c>
      <c r="O13" s="117">
        <f>I13/'1. AVERTED PREGNANCIES'!$F$59</f>
        <v>2223.4440718936621</v>
      </c>
      <c r="Q13" s="54"/>
    </row>
    <row r="14" spans="1:17" x14ac:dyDescent="0.35">
      <c r="B14" s="273">
        <v>2.6</v>
      </c>
      <c r="C14" s="58" t="s">
        <v>22</v>
      </c>
      <c r="D14" s="58"/>
      <c r="E14" s="58"/>
      <c r="F14" s="262">
        <f>IF(OUTLINE!$C$38="1 year", '2.6'!E33, IF(OUTLINE!$C$38="5 years", '2.6'!I33, IF(OUTLINE!$C$38="10 years", '2.6'!N33, 0)))</f>
        <v>585188514.14670837</v>
      </c>
      <c r="G14" s="262">
        <f t="shared" si="0"/>
        <v>234075405.65868336</v>
      </c>
      <c r="H14" s="262">
        <f t="shared" si="2"/>
        <v>23345264.675543904</v>
      </c>
      <c r="I14" s="261">
        <f t="shared" si="1"/>
        <v>257420670.33422726</v>
      </c>
      <c r="K14" s="117">
        <f>F14/'1. AVERTED PREGNANCIES'!$F$58</f>
        <v>2857.6607109528168</v>
      </c>
      <c r="L14" s="117">
        <f>I14/'1. AVERTED PREGNANCIES'!$F$58</f>
        <v>1257.0665999381465</v>
      </c>
      <c r="M14" s="425"/>
      <c r="N14" s="117">
        <f>F14/'1. AVERTED PREGNANCIES'!$F$59</f>
        <v>7937.9464193133808</v>
      </c>
      <c r="O14" s="117">
        <f>I14/'1. AVERTED PREGNANCIES'!$F$59</f>
        <v>3491.8516664948515</v>
      </c>
      <c r="Q14" s="54"/>
    </row>
    <row r="15" spans="1:17" x14ac:dyDescent="0.35">
      <c r="B15" s="273">
        <v>2.7</v>
      </c>
      <c r="C15" s="58" t="s">
        <v>23</v>
      </c>
      <c r="D15" s="58"/>
      <c r="E15" s="58"/>
      <c r="F15" s="262">
        <f>IF(OUTLINE!$C$38="1 year", '2.7'!D17, IF(OUTLINE!$C$38="5 years", '2.7'!H17, IF(OUTLINE!$C$38="10 years", '2.7'!M17, 0)))</f>
        <v>47965228.686556511</v>
      </c>
      <c r="G15" s="262">
        <f t="shared" si="0"/>
        <v>19186091.474622604</v>
      </c>
      <c r="H15" s="262">
        <f t="shared" si="2"/>
        <v>1913504.6772806747</v>
      </c>
      <c r="I15" s="261">
        <f t="shared" si="1"/>
        <v>21099596.151903279</v>
      </c>
      <c r="K15" s="117">
        <f>F15/'1. AVERTED PREGNANCIES'!$F$58</f>
        <v>234.22939137707704</v>
      </c>
      <c r="L15" s="117">
        <f>I15/'1. AVERTED PREGNANCIES'!$F$58</f>
        <v>103.03600546259013</v>
      </c>
      <c r="M15" s="425"/>
      <c r="N15" s="117">
        <f>F15/'1. AVERTED PREGNANCIES'!$F$59</f>
        <v>650.63719826965848</v>
      </c>
      <c r="O15" s="117">
        <f>I15/'1. AVERTED PREGNANCIES'!$F$59</f>
        <v>286.21112628497264</v>
      </c>
      <c r="Q15" s="54"/>
    </row>
    <row r="16" spans="1:17" s="38" customFormat="1" x14ac:dyDescent="0.35">
      <c r="B16" s="273">
        <v>2.8</v>
      </c>
      <c r="C16" s="58" t="s">
        <v>629</v>
      </c>
      <c r="D16" s="58"/>
      <c r="E16" s="58"/>
      <c r="F16" s="262">
        <f>IF(OUTLINE!$C$38="1 year",'2.8'!E20,IF(OUTLINE!$C$38="5 years",'2.8'!I20,IF(OUTLINE!$C$38="10 years",'2.8'!N20,0)))</f>
        <v>36795899.679485314</v>
      </c>
      <c r="G16" s="262">
        <f t="shared" si="0"/>
        <v>14718359.871794127</v>
      </c>
      <c r="H16" s="262">
        <f t="shared" si="2"/>
        <v>1467920.1594462453</v>
      </c>
      <c r="I16" s="261">
        <f t="shared" si="1"/>
        <v>16186280.031240372</v>
      </c>
      <c r="K16" s="117">
        <f>F16/'1. AVERTED PREGNANCIES'!$F$58</f>
        <v>179.68602304430243</v>
      </c>
      <c r="L16" s="117">
        <f>I16/'1. AVERTED PREGNANCIES'!$F$58</f>
        <v>79.042727913418204</v>
      </c>
      <c r="N16" s="117">
        <f>F16/'1. AVERTED PREGNANCIES'!$F$59</f>
        <v>499.12784178972896</v>
      </c>
      <c r="O16" s="117">
        <f>I16/'1. AVERTED PREGNANCIES'!$F$59</f>
        <v>219.56313309282834</v>
      </c>
      <c r="Q16" s="54"/>
    </row>
    <row r="17" spans="2:17" x14ac:dyDescent="0.35">
      <c r="B17" s="324">
        <v>2.9</v>
      </c>
      <c r="C17" s="29" t="s">
        <v>25</v>
      </c>
      <c r="D17" s="29"/>
      <c r="E17" s="29"/>
      <c r="F17" s="262">
        <f>IF(OUTLINE!$C$38="1 year",'2.9'!E19,IF(OUTLINE!$C$38="5 years",'2.9'!I19,IF(OUTLINE!$C$38="10 years",'2.9'!N19,0)))</f>
        <v>106194604.39688735</v>
      </c>
      <c r="G17" s="260">
        <f>F17*0.4</f>
        <v>42477841.758754939</v>
      </c>
      <c r="H17" s="260">
        <f t="shared" si="2"/>
        <v>4236482.9227295639</v>
      </c>
      <c r="I17" s="325">
        <f>G17+H17</f>
        <v>46714324.681484506</v>
      </c>
      <c r="K17" s="117">
        <f>F17/'1. AVERTED PREGNANCIES'!$F$58</f>
        <v>518.58186099681711</v>
      </c>
      <c r="L17" s="117">
        <f>I17/'1. AVERTED PREGNANCIES'!$F$58</f>
        <v>228.12083124294628</v>
      </c>
      <c r="N17" s="117">
        <f>F17/'1. AVERTED PREGNANCIES'!$F$59</f>
        <v>1440.5051694356032</v>
      </c>
      <c r="O17" s="117">
        <f>I17/'1. AVERTED PREGNANCIES'!$F$59</f>
        <v>633.6689756748508</v>
      </c>
      <c r="Q17" s="54"/>
    </row>
    <row r="18" spans="2:17" x14ac:dyDescent="0.35">
      <c r="B18" s="453">
        <v>2.1</v>
      </c>
      <c r="C18" s="29" t="s">
        <v>630</v>
      </c>
      <c r="D18" s="29"/>
      <c r="E18" s="29"/>
      <c r="F18" s="260">
        <f>'2.10'!K27</f>
        <v>34482666.71756056</v>
      </c>
      <c r="G18" s="260">
        <f t="shared" si="0"/>
        <v>13793066.687024225</v>
      </c>
      <c r="H18" s="260">
        <f t="shared" si="2"/>
        <v>1375637.0157296062</v>
      </c>
      <c r="I18" s="325">
        <f t="shared" si="1"/>
        <v>15168703.702753831</v>
      </c>
      <c r="K18" s="117">
        <f>F18/'1. AVERTED PREGNANCIES'!$F$58</f>
        <v>168.38977441540993</v>
      </c>
      <c r="L18" s="117">
        <f>I18/'1. AVERTED PREGNANCIES'!$F$58</f>
        <v>74.073580665967967</v>
      </c>
      <c r="N18" s="117">
        <f>F18/'1. AVERTED PREGNANCIES'!$F$59</f>
        <v>467.74937337613875</v>
      </c>
      <c r="O18" s="117">
        <f>I18/'1. AVERTED PREGNANCIES'!$F$59</f>
        <v>205.75994629435547</v>
      </c>
      <c r="Q18" s="54"/>
    </row>
    <row r="19" spans="2:17" s="38" customFormat="1" ht="15" thickBot="1" x14ac:dyDescent="0.4">
      <c r="B19" s="380">
        <v>2.11</v>
      </c>
      <c r="C19" s="68" t="s">
        <v>631</v>
      </c>
      <c r="D19" s="68"/>
      <c r="E19" s="68"/>
      <c r="F19" s="267">
        <f>IF(OUTLINE!$C$38="1 year",'2.11'!E19,IF(OUTLINE!$C$38="5 years",'2.11'!I19,IF(OUTLINE!$C$38="10 years",'2.11'!N19,0)))</f>
        <v>212040165.97360954</v>
      </c>
      <c r="G19" s="267">
        <f>F19*0.4</f>
        <v>84816066.389443815</v>
      </c>
      <c r="H19" s="267">
        <f t="shared" si="2"/>
        <v>8459041.2778661717</v>
      </c>
      <c r="I19" s="292">
        <f>G19+H19</f>
        <v>93275107.667309985</v>
      </c>
      <c r="K19" s="426">
        <f>F19/'1. AVERTED PREGNANCIES'!$F$58</f>
        <v>1035.4592354401334</v>
      </c>
      <c r="L19" s="426">
        <f>I19/'1. AVERTED PREGNANCIES'!$F$58</f>
        <v>455.4918697941859</v>
      </c>
      <c r="N19" s="426">
        <f>F19/'1. AVERTED PREGNANCIES'!$F$59</f>
        <v>2876.2756540003707</v>
      </c>
      <c r="O19" s="426">
        <f>I19/'1. AVERTED PREGNANCIES'!$F$59</f>
        <v>1265.2551938727388</v>
      </c>
      <c r="Q19" s="54"/>
    </row>
    <row r="20" spans="2:17" x14ac:dyDescent="0.35">
      <c r="B20" s="29"/>
      <c r="C20" s="63" t="s">
        <v>242</v>
      </c>
      <c r="D20" s="63"/>
      <c r="E20" s="29"/>
      <c r="F20" s="260">
        <f>SUM(F6:F10)</f>
        <v>1934782265.3072021</v>
      </c>
      <c r="G20" s="260">
        <f>SUM(G6:G10)</f>
        <v>734841081.28498316</v>
      </c>
      <c r="H20" s="260">
        <f>SUM(H6:H10)</f>
        <v>74270035.912675381</v>
      </c>
      <c r="I20" s="325">
        <f>SUM(I6:I10)</f>
        <v>906790679.29240263</v>
      </c>
      <c r="J20" s="1"/>
      <c r="K20" s="436">
        <f>F20/'1. AVERTED PREGNANCIES'!$F$58</f>
        <v>9448.1541078753253</v>
      </c>
      <c r="L20" s="436">
        <f>I20/'1. AVERTED PREGNANCIES'!$F$58</f>
        <v>4428.1458617666394</v>
      </c>
      <c r="N20" s="117">
        <f>F20/'1. AVERTED PREGNANCIES'!$F$59</f>
        <v>26244.872521875906</v>
      </c>
      <c r="O20" s="117">
        <f>I20/'1. AVERTED PREGNANCIES'!$F$59</f>
        <v>12300.405171573999</v>
      </c>
      <c r="Q20" s="54"/>
    </row>
    <row r="21" spans="2:17" s="38" customFormat="1" x14ac:dyDescent="0.35">
      <c r="B21" s="437"/>
      <c r="C21" s="438" t="s">
        <v>672</v>
      </c>
      <c r="D21" s="438"/>
      <c r="E21" s="437"/>
      <c r="F21" s="439">
        <f>SUM(F12:F19)</f>
        <v>2975044601.5558391</v>
      </c>
      <c r="G21" s="439">
        <f>SUM(G12:G19)</f>
        <v>1190017840.6223357</v>
      </c>
      <c r="H21" s="439">
        <f>SUM(H12:H19)</f>
        <v>118685179.16169673</v>
      </c>
      <c r="I21" s="440">
        <f>SUM(I12:I19)</f>
        <v>1308703019.7840326</v>
      </c>
      <c r="J21" s="1"/>
      <c r="K21" s="441">
        <f>F21/'1. AVERTED PREGNANCIES'!$F$58</f>
        <v>14528.084310737186</v>
      </c>
      <c r="L21" s="441">
        <f>I21/'1. AVERTED PREGNANCIES'!$F$58</f>
        <v>6390.8110147981333</v>
      </c>
      <c r="N21" s="317">
        <f>F21/'1. AVERTED PREGNANCIES'!$F$59</f>
        <v>40355.789752047742</v>
      </c>
      <c r="O21" s="317">
        <f>I21/'1. AVERTED PREGNANCIES'!$F$59</f>
        <v>17752.252818883706</v>
      </c>
      <c r="Q21" s="54"/>
    </row>
    <row r="22" spans="2:17" x14ac:dyDescent="0.35">
      <c r="B22" s="58"/>
      <c r="C22" s="57" t="s">
        <v>659</v>
      </c>
      <c r="D22" s="57"/>
      <c r="E22" s="58"/>
      <c r="F22" s="262">
        <f>SUM(F6:F19)</f>
        <v>4909826866.8630428</v>
      </c>
      <c r="G22" s="262">
        <f>SUM(G6:G19)</f>
        <v>1924858921.9073188</v>
      </c>
      <c r="H22" s="262">
        <f>SUM(H6:H19)</f>
        <v>192955215.07437208</v>
      </c>
      <c r="I22" s="261">
        <f>SUM(I6:I19)</f>
        <v>2215493699.0764351</v>
      </c>
      <c r="K22" s="117">
        <f>F22/'1. AVERTED PREGNANCIES'!$F$58</f>
        <v>23976.23841861252</v>
      </c>
      <c r="L22" s="117">
        <f>I22/'1. AVERTED PREGNANCIES'!$F$58</f>
        <v>10818.956876564773</v>
      </c>
      <c r="N22" s="117">
        <f>SUM(N6:N19)</f>
        <v>65275.661677661621</v>
      </c>
      <c r="O22" s="117">
        <f>SUM(O6:O19)</f>
        <v>28727.657394195685</v>
      </c>
      <c r="Q22" s="54"/>
    </row>
    <row r="23" spans="2:17" s="38" customFormat="1" x14ac:dyDescent="0.35">
      <c r="F23" s="434"/>
      <c r="G23" s="434"/>
      <c r="H23" s="434"/>
      <c r="I23" s="434"/>
      <c r="J23" s="391"/>
      <c r="K23" s="435"/>
      <c r="L23" s="435"/>
      <c r="N23" s="54"/>
      <c r="O23" s="54"/>
      <c r="P23" s="54"/>
      <c r="Q23" s="54"/>
    </row>
    <row r="24" spans="2:17" x14ac:dyDescent="0.35">
      <c r="I24" s="391"/>
      <c r="N24" s="54"/>
    </row>
    <row r="25" spans="2:17" x14ac:dyDescent="0.35">
      <c r="B25" s="300" t="s">
        <v>690</v>
      </c>
      <c r="C25" s="300"/>
      <c r="D25" s="300"/>
      <c r="E25" s="301"/>
      <c r="F25" s="301"/>
      <c r="G25" s="301"/>
      <c r="H25" s="301"/>
      <c r="I25" s="302"/>
      <c r="K25" s="54"/>
      <c r="L25" s="54"/>
      <c r="M25" s="54"/>
      <c r="N25" s="54"/>
      <c r="O25" s="38"/>
      <c r="P25" s="38"/>
    </row>
    <row r="26" spans="2:17" s="38" customFormat="1" x14ac:dyDescent="0.35">
      <c r="B26" s="303"/>
      <c r="C26" s="294"/>
      <c r="D26" s="294"/>
      <c r="E26" s="294"/>
      <c r="F26" s="294"/>
      <c r="G26" s="294"/>
      <c r="H26" s="294"/>
      <c r="I26" s="304"/>
      <c r="K26" s="54"/>
      <c r="L26" s="54"/>
      <c r="M26" s="54"/>
      <c r="N26"/>
      <c r="O26" s="17" t="s">
        <v>54</v>
      </c>
    </row>
    <row r="27" spans="2:17" s="38" customFormat="1" x14ac:dyDescent="0.35">
      <c r="B27" s="299"/>
      <c r="C27" s="305"/>
      <c r="D27" s="294"/>
      <c r="E27" s="294" t="s">
        <v>686</v>
      </c>
      <c r="F27" s="294"/>
      <c r="G27" s="294"/>
      <c r="H27" s="294"/>
      <c r="I27" s="295"/>
      <c r="K27" s="16" t="s">
        <v>537</v>
      </c>
      <c r="N27"/>
      <c r="O27" s="17" t="s">
        <v>53</v>
      </c>
    </row>
    <row r="28" spans="2:17" s="38" customFormat="1" x14ac:dyDescent="0.35">
      <c r="B28" s="293"/>
      <c r="C28" s="294"/>
      <c r="E28" s="294" t="s">
        <v>453</v>
      </c>
      <c r="F28" s="294"/>
      <c r="G28" s="294"/>
      <c r="H28" s="294"/>
      <c r="I28" s="295"/>
      <c r="K28" s="50" t="s">
        <v>682</v>
      </c>
      <c r="O28"/>
      <c r="P28"/>
    </row>
    <row r="29" spans="2:17" ht="17.25" customHeight="1" x14ac:dyDescent="0.35">
      <c r="B29" s="299"/>
      <c r="C29" s="294"/>
      <c r="D29" s="294"/>
      <c r="E29" s="294"/>
      <c r="F29" s="294"/>
      <c r="G29" s="294"/>
      <c r="H29" s="294"/>
      <c r="I29" s="295"/>
      <c r="K29" s="38"/>
      <c r="L29" s="38"/>
      <c r="M29" s="38"/>
      <c r="N29" s="38"/>
    </row>
    <row r="30" spans="2:17" ht="16.5" x14ac:dyDescent="0.35">
      <c r="B30" s="293"/>
      <c r="C30" s="294"/>
      <c r="D30" s="294"/>
      <c r="E30" s="294"/>
      <c r="F30" s="275" t="s">
        <v>687</v>
      </c>
      <c r="G30" s="294"/>
      <c r="H30" s="294"/>
      <c r="I30" s="295"/>
      <c r="K30" s="38"/>
      <c r="L30" s="38"/>
      <c r="M30" s="38"/>
      <c r="N30" s="38"/>
    </row>
    <row r="31" spans="2:17" x14ac:dyDescent="0.35">
      <c r="B31" s="296"/>
      <c r="C31" s="297"/>
      <c r="D31" s="297"/>
      <c r="E31" s="297"/>
      <c r="F31" s="297"/>
      <c r="G31" s="297"/>
      <c r="H31" s="297"/>
      <c r="I31" s="298"/>
      <c r="K31" s="38"/>
      <c r="L31" s="38"/>
      <c r="N31" s="38"/>
    </row>
    <row r="32" spans="2:17" x14ac:dyDescent="0.35">
      <c r="B32" s="62" t="s">
        <v>49</v>
      </c>
      <c r="C32" s="63" t="s">
        <v>50</v>
      </c>
      <c r="D32" s="63"/>
      <c r="E32" s="63"/>
      <c r="F32" s="63"/>
      <c r="G32" s="63"/>
      <c r="H32" s="63"/>
      <c r="I32" s="445" t="s">
        <v>157</v>
      </c>
      <c r="K32" s="38"/>
      <c r="L32" s="38"/>
      <c r="N32" s="38"/>
    </row>
    <row r="33" spans="2:14" x14ac:dyDescent="0.35">
      <c r="B33" s="28" t="s">
        <v>87</v>
      </c>
      <c r="C33" s="29" t="s">
        <v>688</v>
      </c>
      <c r="D33" s="29"/>
      <c r="E33" s="29"/>
      <c r="F33" s="29"/>
      <c r="G33" s="29"/>
      <c r="H33" s="29"/>
      <c r="I33" s="67" t="s">
        <v>90</v>
      </c>
      <c r="K33" s="38"/>
      <c r="L33" s="38"/>
      <c r="M33" s="38"/>
      <c r="N33" s="38"/>
    </row>
    <row r="34" spans="2:14" x14ac:dyDescent="0.35">
      <c r="B34" s="28" t="s">
        <v>88</v>
      </c>
      <c r="C34" s="29" t="s">
        <v>86</v>
      </c>
      <c r="D34" s="29"/>
      <c r="E34" s="29"/>
      <c r="F34" s="29"/>
      <c r="G34" s="29"/>
      <c r="H34" s="29"/>
      <c r="I34" s="64">
        <v>3.5000000000000003E-2</v>
      </c>
      <c r="K34" s="16" t="s">
        <v>537</v>
      </c>
      <c r="L34" s="38"/>
      <c r="M34" s="38"/>
      <c r="N34" s="38"/>
    </row>
    <row r="35" spans="2:14" x14ac:dyDescent="0.35">
      <c r="B35" s="30" t="s">
        <v>89</v>
      </c>
      <c r="C35" s="31" t="s">
        <v>677</v>
      </c>
      <c r="D35" s="31"/>
      <c r="E35" s="31"/>
      <c r="F35" s="31"/>
      <c r="G35" s="31"/>
      <c r="H35" s="31"/>
      <c r="I35" s="32">
        <v>2</v>
      </c>
      <c r="K35" s="16" t="s">
        <v>537</v>
      </c>
      <c r="L35" s="38"/>
      <c r="M35" s="38"/>
      <c r="N35" s="38"/>
    </row>
    <row r="36" spans="2:14" x14ac:dyDescent="0.35">
      <c r="K36" s="38"/>
      <c r="L36" s="38"/>
      <c r="M36" s="38"/>
      <c r="N36" s="38"/>
    </row>
    <row r="37" spans="2:14" x14ac:dyDescent="0.35">
      <c r="K37" s="38"/>
      <c r="L37" s="38"/>
      <c r="M37" s="38"/>
      <c r="N37" s="38"/>
    </row>
    <row r="38" spans="2:14" x14ac:dyDescent="0.35">
      <c r="C38" s="38"/>
      <c r="D38" s="38"/>
      <c r="E38" s="38"/>
      <c r="F38" s="38"/>
      <c r="I38" s="38"/>
      <c r="J38" s="38"/>
      <c r="K38" s="38"/>
      <c r="L38" s="38"/>
      <c r="M38" s="38"/>
      <c r="N38" s="38"/>
    </row>
    <row r="39" spans="2:14" x14ac:dyDescent="0.35">
      <c r="C39" s="38"/>
      <c r="D39" s="38"/>
      <c r="E39" s="38"/>
      <c r="F39" s="38"/>
      <c r="I39" s="38"/>
      <c r="J39" s="38"/>
      <c r="K39" s="38"/>
      <c r="L39" s="38"/>
      <c r="M39" s="38"/>
      <c r="N39" s="38"/>
    </row>
    <row r="40" spans="2:14" x14ac:dyDescent="0.35">
      <c r="C40" s="38"/>
      <c r="D40" s="38"/>
      <c r="E40" s="38"/>
      <c r="F40" s="38"/>
      <c r="I40" s="38"/>
      <c r="J40" s="38"/>
      <c r="K40" s="38"/>
      <c r="L40" s="38"/>
      <c r="M40" s="38"/>
      <c r="N40" s="38"/>
    </row>
    <row r="41" spans="2:14" x14ac:dyDescent="0.35">
      <c r="C41" s="38"/>
      <c r="D41" s="38"/>
      <c r="E41" s="38"/>
      <c r="F41" s="38"/>
      <c r="I41" s="38"/>
      <c r="J41" s="38"/>
      <c r="K41" s="38"/>
      <c r="L41" s="38"/>
      <c r="M41" s="38"/>
    </row>
  </sheetData>
  <mergeCells count="3">
    <mergeCell ref="F3:I3"/>
    <mergeCell ref="K3:L3"/>
    <mergeCell ref="N3:O3"/>
  </mergeCells>
  <hyperlinks>
    <hyperlink ref="O27" r:id="rId1" display="https://www.ncbi.nlm.nih.gov/pubmed/16532609" xr:uid="{00000000-0004-0000-0300-000000000000}"/>
    <hyperlink ref="O26" r:id="rId2" location="R16" display="https://www.ncbi.nlm.nih.gov/pmc/articles/PMC3496824/ - R16" xr:uid="{00000000-0004-0000-0300-000001000000}"/>
  </hyperlinks>
  <pageMargins left="0.7" right="0.7" top="0.75" bottom="0.75" header="0.3" footer="0.3"/>
  <pageSetup paperSize="9" orientation="portrait"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499984740745262"/>
  </sheetPr>
  <dimension ref="A1:O55"/>
  <sheetViews>
    <sheetView workbookViewId="0"/>
  </sheetViews>
  <sheetFormatPr defaultRowHeight="14.5" x14ac:dyDescent="0.35"/>
  <cols>
    <col min="8" max="8" width="9.81640625" customWidth="1"/>
    <col min="9" max="9" width="9.81640625" style="38" customWidth="1"/>
    <col min="10" max="10" width="9.81640625" customWidth="1"/>
    <col min="11" max="11" width="23.453125" customWidth="1"/>
    <col min="12" max="12" width="10.26953125" customWidth="1"/>
  </cols>
  <sheetData>
    <row r="1" spans="1:15" s="164" customFormat="1" ht="30" customHeight="1" x14ac:dyDescent="0.5">
      <c r="A1" s="19" t="s">
        <v>584</v>
      </c>
      <c r="B1" s="19"/>
      <c r="C1" s="19"/>
      <c r="D1" s="19"/>
      <c r="E1" s="19"/>
      <c r="F1" s="19"/>
      <c r="G1" s="19"/>
      <c r="H1" s="19"/>
      <c r="I1" s="19"/>
      <c r="J1" s="19"/>
      <c r="K1" s="19"/>
    </row>
    <row r="4" spans="1:15" x14ac:dyDescent="0.35">
      <c r="B4" s="11" t="s">
        <v>486</v>
      </c>
      <c r="C4" s="11"/>
      <c r="D4" s="11"/>
      <c r="E4" s="11"/>
      <c r="F4" s="11"/>
      <c r="G4" s="11"/>
      <c r="H4" s="11" t="s">
        <v>480</v>
      </c>
      <c r="I4" s="11" t="s">
        <v>481</v>
      </c>
      <c r="K4" s="18" t="s">
        <v>12</v>
      </c>
      <c r="L4" s="18" t="s">
        <v>509</v>
      </c>
    </row>
    <row r="5" spans="1:15" x14ac:dyDescent="0.35">
      <c r="B5" s="58" t="s">
        <v>476</v>
      </c>
      <c r="C5" s="58"/>
      <c r="D5" s="58"/>
      <c r="E5" s="58"/>
      <c r="F5" s="58"/>
      <c r="G5" s="58"/>
      <c r="H5" s="155">
        <v>1685</v>
      </c>
      <c r="I5" s="155">
        <f>H5*('Inflation Index'!$C$19/'Inflation Index'!$C$14)</f>
        <v>1809.2733188720174</v>
      </c>
      <c r="K5" s="16" t="s">
        <v>535</v>
      </c>
      <c r="L5" s="313" t="s">
        <v>603</v>
      </c>
      <c r="M5" s="17" t="s">
        <v>487</v>
      </c>
    </row>
    <row r="6" spans="1:15" s="38" customFormat="1" x14ac:dyDescent="0.35">
      <c r="B6" s="58" t="s">
        <v>478</v>
      </c>
      <c r="C6" s="58"/>
      <c r="D6" s="58"/>
      <c r="E6" s="58"/>
      <c r="F6" s="58"/>
      <c r="G6" s="58"/>
      <c r="H6" s="155">
        <v>2080</v>
      </c>
      <c r="I6" s="155">
        <f>H6*('Inflation Index'!$C$19/'Inflation Index'!$C$14)</f>
        <v>2233.4056399132323</v>
      </c>
      <c r="K6" s="16" t="s">
        <v>535</v>
      </c>
      <c r="L6" s="313" t="s">
        <v>604</v>
      </c>
      <c r="M6" s="17" t="s">
        <v>488</v>
      </c>
    </row>
    <row r="7" spans="1:15" x14ac:dyDescent="0.35">
      <c r="B7" s="58" t="s">
        <v>482</v>
      </c>
      <c r="C7" s="58"/>
      <c r="D7" s="58"/>
      <c r="E7" s="58"/>
      <c r="F7" s="58"/>
      <c r="G7" s="58"/>
      <c r="H7" s="155">
        <v>399</v>
      </c>
      <c r="I7" s="155">
        <f>H7*('Inflation Index'!$C$19/'Inflation Index'!$C$14)</f>
        <v>428.42733188720172</v>
      </c>
      <c r="K7" s="16" t="s">
        <v>535</v>
      </c>
      <c r="L7" s="38"/>
    </row>
    <row r="8" spans="1:15" s="38" customFormat="1" x14ac:dyDescent="0.35">
      <c r="B8" s="31" t="s">
        <v>479</v>
      </c>
      <c r="C8" s="31"/>
      <c r="D8" s="31"/>
      <c r="E8" s="31"/>
      <c r="F8" s="31"/>
      <c r="G8" s="31"/>
      <c r="H8" s="237">
        <v>1178</v>
      </c>
      <c r="I8" s="155">
        <f>H8*('Inflation Index'!$C$19/'Inflation Index'!$C$14)</f>
        <v>1264.8806941431671</v>
      </c>
      <c r="K8" s="16" t="s">
        <v>535</v>
      </c>
      <c r="L8"/>
    </row>
    <row r="9" spans="1:15" s="38" customFormat="1" x14ac:dyDescent="0.35">
      <c r="B9" s="328" t="s">
        <v>428</v>
      </c>
      <c r="C9" s="328"/>
      <c r="D9" s="328"/>
      <c r="E9" s="328"/>
      <c r="F9" s="328"/>
      <c r="G9" s="328"/>
      <c r="H9" s="340"/>
      <c r="I9" s="340">
        <f>SUM(I5:I8)</f>
        <v>5735.9869848156195</v>
      </c>
      <c r="K9" s="16"/>
    </row>
    <row r="10" spans="1:15" s="38" customFormat="1" x14ac:dyDescent="0.35">
      <c r="B10" s="29" t="s">
        <v>664</v>
      </c>
      <c r="C10" s="29"/>
      <c r="D10" s="29"/>
      <c r="E10" s="29"/>
      <c r="F10" s="29"/>
      <c r="G10" s="29"/>
      <c r="H10" s="254"/>
      <c r="I10" s="105">
        <v>636401</v>
      </c>
      <c r="K10" s="16" t="s">
        <v>541</v>
      </c>
      <c r="L10" s="50" t="s">
        <v>540</v>
      </c>
      <c r="M10" s="17" t="s">
        <v>542</v>
      </c>
    </row>
    <row r="11" spans="1:15" s="38" customFormat="1" x14ac:dyDescent="0.35">
      <c r="B11" s="29" t="s">
        <v>543</v>
      </c>
      <c r="C11" s="29"/>
      <c r="D11" s="29"/>
      <c r="E11" s="29"/>
      <c r="F11" s="29"/>
      <c r="G11" s="29"/>
      <c r="H11" s="254"/>
      <c r="I11" s="105">
        <v>663157</v>
      </c>
      <c r="K11" s="16" t="s">
        <v>508</v>
      </c>
      <c r="L11" s="50" t="s">
        <v>118</v>
      </c>
      <c r="M11" s="17" t="s">
        <v>119</v>
      </c>
    </row>
    <row r="12" spans="1:15" s="38" customFormat="1" x14ac:dyDescent="0.35">
      <c r="B12" s="31" t="s">
        <v>588</v>
      </c>
      <c r="C12" s="31"/>
      <c r="D12" s="31"/>
      <c r="E12" s="31"/>
      <c r="F12" s="31"/>
      <c r="G12" s="31"/>
      <c r="H12" s="237"/>
      <c r="I12" s="118">
        <f>I10/I11</f>
        <v>0.95965359635802683</v>
      </c>
    </row>
    <row r="13" spans="1:15" x14ac:dyDescent="0.35">
      <c r="B13" s="31" t="s">
        <v>135</v>
      </c>
      <c r="C13" s="31"/>
      <c r="D13" s="31"/>
      <c r="E13" s="31"/>
      <c r="F13" s="31"/>
      <c r="G13" s="31"/>
      <c r="H13" s="31"/>
      <c r="I13" s="106">
        <f>'1. AVERTED PREGNANCIES'!$F$59</f>
        <v>73720.391047603742</v>
      </c>
      <c r="K13" s="29" t="s">
        <v>689</v>
      </c>
      <c r="L13" s="419">
        <f>I14/'1. AVERTED PREGNANCIES'!F58</f>
        <v>1981.6417939108117</v>
      </c>
    </row>
    <row r="14" spans="1:15" x14ac:dyDescent="0.35">
      <c r="B14" s="57" t="s">
        <v>134</v>
      </c>
      <c r="C14" s="58"/>
      <c r="D14" s="58"/>
      <c r="E14" s="58"/>
      <c r="F14" s="58"/>
      <c r="G14" s="58"/>
      <c r="H14" s="316"/>
      <c r="I14" s="261">
        <f>I13*I9*I12</f>
        <v>405798355.4538334</v>
      </c>
      <c r="J14" s="391"/>
      <c r="K14" s="29" t="s">
        <v>676</v>
      </c>
      <c r="L14" s="419">
        <f>I14/I13</f>
        <v>5504.5605386411435</v>
      </c>
    </row>
    <row r="15" spans="1:15" x14ac:dyDescent="0.35">
      <c r="J15" s="391"/>
    </row>
    <row r="16" spans="1:15" x14ac:dyDescent="0.35">
      <c r="B16" s="38"/>
      <c r="C16" s="38"/>
      <c r="D16" s="38"/>
      <c r="E16" s="38"/>
      <c r="F16" s="38"/>
      <c r="G16" s="38"/>
      <c r="H16" s="38"/>
      <c r="J16" s="38"/>
      <c r="K16" s="156"/>
      <c r="L16" s="156"/>
      <c r="M16" s="38"/>
      <c r="N16" s="38"/>
      <c r="O16" s="38"/>
    </row>
    <row r="17" spans="1:12" x14ac:dyDescent="0.35">
      <c r="B17" s="11" t="s">
        <v>127</v>
      </c>
      <c r="C17" s="11"/>
      <c r="D17" s="11"/>
      <c r="E17" s="11"/>
      <c r="F17" s="11"/>
      <c r="G17" s="11"/>
      <c r="H17" s="11"/>
      <c r="I17" s="11"/>
    </row>
    <row r="18" spans="1:12" x14ac:dyDescent="0.35">
      <c r="B18" s="58" t="s">
        <v>483</v>
      </c>
      <c r="C18" s="58"/>
      <c r="D18" s="58"/>
      <c r="E18" s="58"/>
      <c r="F18" s="58"/>
      <c r="G18" s="58"/>
      <c r="H18" s="58"/>
      <c r="I18" s="104">
        <v>714</v>
      </c>
      <c r="J18" s="315"/>
      <c r="K18" s="16" t="s">
        <v>535</v>
      </c>
      <c r="L18" s="17" t="s">
        <v>488</v>
      </c>
    </row>
    <row r="19" spans="1:12" s="38" customFormat="1" x14ac:dyDescent="0.35">
      <c r="B19" s="58"/>
      <c r="C19" s="199" t="s">
        <v>484</v>
      </c>
      <c r="D19" s="58"/>
      <c r="E19" s="58"/>
      <c r="F19" s="58"/>
      <c r="G19" s="58"/>
      <c r="H19" s="58"/>
      <c r="I19" s="104">
        <f>I18*'Inflation Index'!$C$19/'Inflation Index'!$C$14</f>
        <v>766.65943600867672</v>
      </c>
      <c r="J19" s="315"/>
      <c r="K19" s="16"/>
      <c r="L19" s="17"/>
    </row>
    <row r="20" spans="1:12" x14ac:dyDescent="0.35">
      <c r="B20" s="58" t="s">
        <v>128</v>
      </c>
      <c r="C20" s="58"/>
      <c r="D20" s="58"/>
      <c r="E20" s="58"/>
      <c r="F20" s="58"/>
      <c r="G20" s="58"/>
      <c r="H20" s="58"/>
      <c r="I20" s="59">
        <v>0.52</v>
      </c>
      <c r="J20" s="394"/>
      <c r="K20" s="16" t="s">
        <v>536</v>
      </c>
      <c r="L20" s="17" t="s">
        <v>133</v>
      </c>
    </row>
    <row r="21" spans="1:12" x14ac:dyDescent="0.35">
      <c r="B21" s="31" t="s">
        <v>130</v>
      </c>
      <c r="C21" s="31"/>
      <c r="D21" s="31"/>
      <c r="E21" s="31"/>
      <c r="F21" s="31"/>
      <c r="G21" s="31"/>
      <c r="H21" s="31"/>
      <c r="I21" s="106">
        <f>'1. AVERTED PREGNANCIES'!F58</f>
        <v>204778.86402112152</v>
      </c>
      <c r="K21" s="16"/>
    </row>
    <row r="22" spans="1:12" x14ac:dyDescent="0.35">
      <c r="B22" s="57" t="s">
        <v>129</v>
      </c>
      <c r="C22" s="57"/>
      <c r="D22" s="57"/>
      <c r="E22" s="57"/>
      <c r="F22" s="58"/>
      <c r="G22" s="58"/>
      <c r="H22" s="58"/>
      <c r="I22" s="261">
        <f>I20*I21*I19</f>
        <v>81637737.166403875</v>
      </c>
      <c r="J22" s="391"/>
      <c r="K22" s="29" t="s">
        <v>689</v>
      </c>
      <c r="L22" s="419">
        <f>I22/'1. AVERTED PREGNANCIES'!F58</f>
        <v>398.66290672451191</v>
      </c>
    </row>
    <row r="25" spans="1:12" x14ac:dyDescent="0.35">
      <c r="B25" s="11" t="s">
        <v>131</v>
      </c>
      <c r="C25" s="11"/>
      <c r="D25" s="11"/>
      <c r="E25" s="11"/>
      <c r="F25" s="11"/>
      <c r="G25" s="11"/>
      <c r="H25" s="11"/>
      <c r="I25" s="11"/>
      <c r="K25" s="16"/>
    </row>
    <row r="26" spans="1:12" x14ac:dyDescent="0.35">
      <c r="B26" s="58" t="s">
        <v>485</v>
      </c>
      <c r="C26" s="58"/>
      <c r="D26" s="58"/>
      <c r="E26" s="58"/>
      <c r="F26" s="58"/>
      <c r="G26" s="58"/>
      <c r="H26" s="58"/>
      <c r="I26" s="117">
        <f>'Appendix 2'!E19</f>
        <v>607.97136288963782</v>
      </c>
      <c r="J26" s="315"/>
      <c r="K26" s="16" t="s">
        <v>535</v>
      </c>
      <c r="L26" s="17" t="s">
        <v>488</v>
      </c>
    </row>
    <row r="27" spans="1:12" s="38" customFormat="1" x14ac:dyDescent="0.35">
      <c r="B27" s="58"/>
      <c r="C27" s="199" t="s">
        <v>484</v>
      </c>
      <c r="D27" s="58"/>
      <c r="E27" s="58"/>
      <c r="F27" s="58"/>
      <c r="G27" s="58"/>
      <c r="H27" s="117"/>
      <c r="I27" s="104">
        <f>I26*'Inflation Index'!$C$19/'Inflation Index'!$C$14</f>
        <v>652.81089941512084</v>
      </c>
      <c r="J27" s="315"/>
      <c r="K27" s="16"/>
      <c r="L27" s="17"/>
    </row>
    <row r="28" spans="1:12" x14ac:dyDescent="0.35">
      <c r="B28" s="58" t="s">
        <v>128</v>
      </c>
      <c r="C28" s="58"/>
      <c r="D28" s="58"/>
      <c r="E28" s="58"/>
      <c r="F28" s="58"/>
      <c r="G28" s="58"/>
      <c r="H28" s="117"/>
      <c r="I28" s="59">
        <v>0.12</v>
      </c>
      <c r="J28" s="394"/>
      <c r="K28" s="16" t="s">
        <v>536</v>
      </c>
      <c r="L28" s="17" t="s">
        <v>133</v>
      </c>
    </row>
    <row r="29" spans="1:12" x14ac:dyDescent="0.35">
      <c r="B29" s="31" t="s">
        <v>130</v>
      </c>
      <c r="C29" s="31"/>
      <c r="D29" s="31"/>
      <c r="E29" s="31"/>
      <c r="F29" s="31"/>
      <c r="G29" s="31"/>
      <c r="H29" s="317"/>
      <c r="I29" s="106">
        <f>'1. AVERTED PREGNANCIES'!F58</f>
        <v>204778.86402112152</v>
      </c>
      <c r="K29" s="16"/>
    </row>
    <row r="30" spans="1:12" x14ac:dyDescent="0.35">
      <c r="B30" s="57" t="s">
        <v>132</v>
      </c>
      <c r="C30" s="57"/>
      <c r="D30" s="57"/>
      <c r="E30" s="57"/>
      <c r="F30" s="57"/>
      <c r="G30" s="58"/>
      <c r="H30" s="58"/>
      <c r="I30" s="261">
        <f>I27*I28*I29</f>
        <v>16041824.928340208</v>
      </c>
      <c r="J30" s="391"/>
      <c r="K30" s="29" t="s">
        <v>689</v>
      </c>
      <c r="L30" s="419">
        <f>I30/'1. AVERTED PREGNANCIES'!F58</f>
        <v>78.3373079298145</v>
      </c>
    </row>
    <row r="32" spans="1:12" x14ac:dyDescent="0.35">
      <c r="A32" s="38"/>
      <c r="B32" s="38"/>
      <c r="C32" s="38"/>
      <c r="D32" s="38"/>
      <c r="E32" s="38"/>
      <c r="F32" s="38"/>
      <c r="G32" s="38"/>
      <c r="H32" s="38"/>
      <c r="J32" s="38"/>
      <c r="K32" s="38"/>
    </row>
    <row r="33" spans="1:12" x14ac:dyDescent="0.35">
      <c r="A33" s="38"/>
      <c r="B33" s="38"/>
      <c r="C33" s="38"/>
      <c r="D33" s="38"/>
      <c r="E33" s="38"/>
      <c r="F33" s="38"/>
      <c r="G33" s="38"/>
      <c r="H33" s="38"/>
      <c r="J33" s="38"/>
      <c r="K33" s="38"/>
    </row>
    <row r="34" spans="1:12" x14ac:dyDescent="0.35">
      <c r="A34" s="38"/>
      <c r="B34" s="38"/>
      <c r="C34" s="38"/>
      <c r="D34" s="38"/>
      <c r="E34" s="38"/>
      <c r="F34" s="38"/>
      <c r="G34" s="38"/>
      <c r="H34" s="38"/>
      <c r="J34" s="38"/>
      <c r="K34" s="38"/>
      <c r="L34" s="17"/>
    </row>
    <row r="35" spans="1:12" x14ac:dyDescent="0.35">
      <c r="A35" s="38"/>
      <c r="B35" s="38"/>
      <c r="C35" s="38"/>
      <c r="D35" s="38"/>
      <c r="E35" s="38"/>
      <c r="F35" s="38"/>
      <c r="G35" s="38"/>
      <c r="H35" s="38"/>
      <c r="J35" s="38"/>
      <c r="K35" s="38"/>
    </row>
    <row r="36" spans="1:12" x14ac:dyDescent="0.35">
      <c r="A36" s="38"/>
      <c r="B36" s="38"/>
      <c r="C36" s="38"/>
      <c r="D36" s="38"/>
      <c r="E36" s="38"/>
      <c r="F36" s="38"/>
      <c r="G36" s="38"/>
      <c r="H36" s="38"/>
      <c r="K36" s="38"/>
    </row>
    <row r="37" spans="1:12" x14ac:dyDescent="0.35">
      <c r="A37" s="38"/>
      <c r="B37" s="38"/>
      <c r="C37" s="38"/>
      <c r="D37" s="38"/>
      <c r="E37" s="38"/>
      <c r="F37" s="38"/>
      <c r="G37" s="38"/>
      <c r="H37" s="38"/>
      <c r="J37" s="38"/>
      <c r="K37" s="38"/>
    </row>
    <row r="38" spans="1:12" x14ac:dyDescent="0.35">
      <c r="A38" s="38"/>
      <c r="B38" s="38"/>
      <c r="C38" s="38"/>
      <c r="D38" s="38"/>
      <c r="E38" s="38"/>
      <c r="F38" s="38"/>
      <c r="G38" s="38"/>
      <c r="H38" s="38"/>
      <c r="J38" s="38"/>
      <c r="K38" s="38"/>
    </row>
    <row r="39" spans="1:12" x14ac:dyDescent="0.35">
      <c r="A39" s="38"/>
      <c r="B39" s="38"/>
      <c r="C39" s="38"/>
      <c r="D39" s="38"/>
      <c r="E39" s="38"/>
      <c r="F39" s="38"/>
      <c r="G39" s="38"/>
      <c r="H39" s="38"/>
      <c r="J39" s="38"/>
      <c r="K39" s="38"/>
    </row>
    <row r="40" spans="1:12" x14ac:dyDescent="0.35">
      <c r="B40" s="45"/>
      <c r="D40" s="56"/>
    </row>
    <row r="44" spans="1:12" x14ac:dyDescent="0.35">
      <c r="B44" s="318"/>
      <c r="C44" s="319"/>
      <c r="D44" s="320"/>
    </row>
    <row r="45" spans="1:12" x14ac:dyDescent="0.35">
      <c r="B45" s="318"/>
      <c r="C45" s="319"/>
      <c r="D45" s="320"/>
    </row>
    <row r="46" spans="1:12" x14ac:dyDescent="0.35">
      <c r="B46" s="318"/>
      <c r="C46" s="319"/>
      <c r="D46" s="320"/>
    </row>
    <row r="47" spans="1:12" x14ac:dyDescent="0.35">
      <c r="B47" s="318"/>
      <c r="C47" s="319"/>
      <c r="D47" s="320"/>
    </row>
    <row r="48" spans="1:12" x14ac:dyDescent="0.35">
      <c r="B48" s="318"/>
      <c r="C48" s="319"/>
      <c r="D48" s="320"/>
    </row>
    <row r="51" spans="2:3" x14ac:dyDescent="0.35">
      <c r="B51" s="318"/>
    </row>
    <row r="52" spans="2:3" x14ac:dyDescent="0.35">
      <c r="B52" s="318"/>
      <c r="C52" s="20"/>
    </row>
    <row r="53" spans="2:3" x14ac:dyDescent="0.35">
      <c r="B53" s="318"/>
      <c r="C53" s="20"/>
    </row>
    <row r="54" spans="2:3" x14ac:dyDescent="0.35">
      <c r="B54" s="318"/>
      <c r="C54" s="20"/>
    </row>
    <row r="55" spans="2:3" x14ac:dyDescent="0.35">
      <c r="B55" s="318"/>
    </row>
  </sheetData>
  <hyperlinks>
    <hyperlink ref="L20" r:id="rId1" xr:uid="{00000000-0004-0000-0400-000000000000}"/>
    <hyperlink ref="L28" r:id="rId2" xr:uid="{00000000-0004-0000-0400-000001000000}"/>
    <hyperlink ref="M5" r:id="rId3" xr:uid="{00000000-0004-0000-0400-000002000000}"/>
    <hyperlink ref="M6" r:id="rId4" xr:uid="{00000000-0004-0000-0400-000003000000}"/>
    <hyperlink ref="L18" r:id="rId5" xr:uid="{00000000-0004-0000-0400-000004000000}"/>
    <hyperlink ref="L26" r:id="rId6" xr:uid="{00000000-0004-0000-0400-000005000000}"/>
    <hyperlink ref="M11" r:id="rId7" xr:uid="{00000000-0004-0000-0400-000006000000}"/>
    <hyperlink ref="M10" r:id="rId8" xr:uid="{00000000-0004-0000-0400-000007000000}"/>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499984740745262"/>
  </sheetPr>
  <dimension ref="A1:U21"/>
  <sheetViews>
    <sheetView zoomScaleNormal="100" workbookViewId="0"/>
  </sheetViews>
  <sheetFormatPr defaultColWidth="9.1796875" defaultRowHeight="14.5" x14ac:dyDescent="0.35"/>
  <cols>
    <col min="1" max="3" width="11" style="38" customWidth="1"/>
    <col min="4" max="4" width="13.1796875" style="38" customWidth="1"/>
    <col min="5" max="16" width="11" style="38" customWidth="1"/>
    <col min="17" max="16384" width="9.1796875" style="38"/>
  </cols>
  <sheetData>
    <row r="1" spans="1:21" s="164" customFormat="1" ht="30" customHeight="1" x14ac:dyDescent="0.5">
      <c r="A1" s="19" t="s">
        <v>717</v>
      </c>
      <c r="B1" s="19"/>
      <c r="C1" s="19"/>
      <c r="D1" s="19"/>
      <c r="E1" s="19"/>
      <c r="F1" s="19"/>
      <c r="G1" s="19"/>
      <c r="H1" s="19"/>
      <c r="I1" s="19"/>
    </row>
    <row r="3" spans="1:21" x14ac:dyDescent="0.35">
      <c r="I3" s="18" t="s">
        <v>12</v>
      </c>
      <c r="J3" s="18" t="s">
        <v>16</v>
      </c>
      <c r="K3" s="18" t="s">
        <v>509</v>
      </c>
    </row>
    <row r="4" spans="1:21" x14ac:dyDescent="0.35">
      <c r="B4" s="11" t="s">
        <v>189</v>
      </c>
      <c r="C4" s="11"/>
      <c r="D4" s="11"/>
      <c r="E4" s="11"/>
      <c r="F4" s="11"/>
      <c r="G4" s="11"/>
    </row>
    <row r="5" spans="1:21" x14ac:dyDescent="0.35">
      <c r="B5" s="58" t="s">
        <v>615</v>
      </c>
      <c r="C5" s="58"/>
      <c r="D5" s="58"/>
      <c r="E5" s="58"/>
      <c r="F5" s="58"/>
      <c r="G5" s="379" t="s">
        <v>610</v>
      </c>
      <c r="I5" s="16" t="s">
        <v>609</v>
      </c>
      <c r="J5" s="16" t="s">
        <v>614</v>
      </c>
      <c r="K5" s="17" t="s">
        <v>611</v>
      </c>
      <c r="L5" s="17"/>
      <c r="M5" s="16"/>
      <c r="N5" s="16"/>
      <c r="O5" s="16"/>
    </row>
    <row r="6" spans="1:21" x14ac:dyDescent="0.35">
      <c r="B6" s="31" t="s">
        <v>135</v>
      </c>
      <c r="C6" s="31"/>
      <c r="D6" s="31"/>
      <c r="E6" s="31"/>
      <c r="F6" s="31"/>
      <c r="G6" s="106">
        <f>'1. AVERTED PREGNANCIES'!$F$59</f>
        <v>73720.391047603742</v>
      </c>
      <c r="I6" s="16" t="s">
        <v>691</v>
      </c>
      <c r="J6" s="16"/>
      <c r="K6" s="16"/>
    </row>
    <row r="9" spans="1:21" x14ac:dyDescent="0.35">
      <c r="B9" s="510" t="s">
        <v>239</v>
      </c>
      <c r="C9" s="510"/>
      <c r="D9" s="510"/>
      <c r="E9" s="510"/>
      <c r="F9" s="510"/>
      <c r="G9" s="510"/>
      <c r="H9" s="510"/>
      <c r="I9" s="510"/>
      <c r="J9" s="510"/>
      <c r="K9" s="510"/>
      <c r="L9" s="510"/>
      <c r="M9" s="510"/>
      <c r="N9" s="510"/>
      <c r="O9" s="510"/>
      <c r="P9" s="253"/>
      <c r="Q9" s="253"/>
      <c r="R9" s="253"/>
      <c r="S9" s="253"/>
      <c r="T9" s="253"/>
      <c r="U9" s="253"/>
    </row>
    <row r="10" spans="1:21" x14ac:dyDescent="0.35">
      <c r="B10" s="29" t="s">
        <v>240</v>
      </c>
      <c r="C10" s="29"/>
      <c r="D10" s="29"/>
      <c r="E10" s="29">
        <v>0</v>
      </c>
      <c r="F10" s="29">
        <v>1</v>
      </c>
      <c r="G10" s="29">
        <v>2</v>
      </c>
      <c r="H10" s="29">
        <v>3</v>
      </c>
      <c r="I10" s="29">
        <v>4</v>
      </c>
      <c r="J10" s="29">
        <v>5</v>
      </c>
      <c r="K10" s="29">
        <v>6</v>
      </c>
      <c r="L10" s="29">
        <v>7</v>
      </c>
      <c r="M10" s="29">
        <v>8</v>
      </c>
      <c r="N10" s="29">
        <v>9</v>
      </c>
      <c r="O10" s="29">
        <v>10</v>
      </c>
      <c r="P10" s="133"/>
      <c r="Q10" s="133"/>
      <c r="R10" s="133"/>
      <c r="S10" s="133"/>
      <c r="T10" s="133"/>
      <c r="U10" s="133"/>
    </row>
    <row r="11" spans="1:21" x14ac:dyDescent="0.35">
      <c r="B11" s="29" t="s">
        <v>467</v>
      </c>
      <c r="C11" s="29"/>
      <c r="D11" s="29"/>
      <c r="E11" s="29"/>
      <c r="F11" s="29">
        <v>0</v>
      </c>
      <c r="G11" s="29">
        <v>1</v>
      </c>
      <c r="H11" s="29">
        <v>2</v>
      </c>
      <c r="I11" s="29">
        <v>3</v>
      </c>
      <c r="J11" s="29">
        <v>4</v>
      </c>
      <c r="K11" s="29">
        <v>5</v>
      </c>
      <c r="L11" s="29">
        <v>6</v>
      </c>
      <c r="M11" s="29">
        <v>7</v>
      </c>
      <c r="N11" s="29">
        <v>8</v>
      </c>
      <c r="O11" s="29">
        <v>9</v>
      </c>
      <c r="P11" s="133"/>
      <c r="Q11" s="133"/>
      <c r="R11" s="133"/>
      <c r="S11" s="133"/>
      <c r="T11" s="133"/>
      <c r="U11" s="133"/>
    </row>
    <row r="12" spans="1:21" x14ac:dyDescent="0.35">
      <c r="B12" s="29" t="s">
        <v>612</v>
      </c>
      <c r="C12" s="29"/>
      <c r="D12" s="29"/>
      <c r="E12" s="29">
        <v>0</v>
      </c>
      <c r="F12" s="254">
        <v>2800</v>
      </c>
      <c r="G12" s="254">
        <v>2800.0000000000005</v>
      </c>
      <c r="H12" s="254">
        <v>2700</v>
      </c>
      <c r="I12" s="254">
        <v>2500</v>
      </c>
      <c r="J12" s="254">
        <v>2300</v>
      </c>
      <c r="K12" s="254">
        <v>2100</v>
      </c>
      <c r="L12" s="254">
        <v>1900</v>
      </c>
      <c r="M12" s="254">
        <v>1599.9999999999998</v>
      </c>
      <c r="N12" s="254">
        <v>1500</v>
      </c>
      <c r="O12" s="254">
        <v>1300</v>
      </c>
      <c r="P12" s="133"/>
      <c r="Q12" s="133"/>
      <c r="R12" s="133"/>
      <c r="S12" s="133"/>
      <c r="T12" s="133"/>
      <c r="U12" s="133"/>
    </row>
    <row r="13" spans="1:21" x14ac:dyDescent="0.35">
      <c r="B13" s="29" t="s">
        <v>613</v>
      </c>
      <c r="C13" s="29"/>
      <c r="D13" s="29"/>
      <c r="E13" s="307">
        <v>0</v>
      </c>
      <c r="F13" s="260">
        <f t="shared" ref="F13:O13" si="0">F12*$G$6/1.035^F10</f>
        <v>199436806.69883141</v>
      </c>
      <c r="G13" s="260">
        <f t="shared" si="0"/>
        <v>192692566.85877433</v>
      </c>
      <c r="H13" s="260">
        <f t="shared" si="0"/>
        <v>179527236.20382702</v>
      </c>
      <c r="I13" s="260">
        <f t="shared" si="0"/>
        <v>160607654.50333422</v>
      </c>
      <c r="J13" s="260">
        <f t="shared" si="0"/>
        <v>142762359.55851936</v>
      </c>
      <c r="K13" s="260">
        <f t="shared" si="0"/>
        <v>125940329.79327479</v>
      </c>
      <c r="L13" s="260">
        <f t="shared" si="0"/>
        <v>110092765.86483648</v>
      </c>
      <c r="M13" s="260">
        <f t="shared" si="0"/>
        <v>89574587.024530068</v>
      </c>
      <c r="N13" s="260">
        <f t="shared" si="0"/>
        <v>81136401.290335238</v>
      </c>
      <c r="O13" s="260">
        <f t="shared" si="0"/>
        <v>67940303.817994073</v>
      </c>
      <c r="P13" s="251"/>
      <c r="Q13" s="251"/>
      <c r="R13" s="251"/>
      <c r="S13" s="251"/>
      <c r="T13" s="251"/>
      <c r="U13" s="251"/>
    </row>
    <row r="14" spans="1:21" x14ac:dyDescent="0.35">
      <c r="B14" s="29" t="s">
        <v>437</v>
      </c>
      <c r="C14" s="29"/>
      <c r="D14" s="29"/>
      <c r="E14" s="307">
        <v>0</v>
      </c>
      <c r="F14" s="260">
        <f>F13+E14</f>
        <v>199436806.69883141</v>
      </c>
      <c r="G14" s="260">
        <f t="shared" ref="G14:O14" si="1">G13+F14</f>
        <v>392129373.55760574</v>
      </c>
      <c r="H14" s="260">
        <f t="shared" si="1"/>
        <v>571656609.76143277</v>
      </c>
      <c r="I14" s="260">
        <f t="shared" si="1"/>
        <v>732264264.26476693</v>
      </c>
      <c r="J14" s="260">
        <f t="shared" si="1"/>
        <v>875026623.82328629</v>
      </c>
      <c r="K14" s="260">
        <f t="shared" si="1"/>
        <v>1000966953.6165611</v>
      </c>
      <c r="L14" s="260">
        <f t="shared" si="1"/>
        <v>1111059719.4813976</v>
      </c>
      <c r="M14" s="260">
        <f t="shared" si="1"/>
        <v>1200634306.5059278</v>
      </c>
      <c r="N14" s="260">
        <f t="shared" si="1"/>
        <v>1281770707.796263</v>
      </c>
      <c r="O14" s="260">
        <f t="shared" si="1"/>
        <v>1349711011.6142571</v>
      </c>
      <c r="Q14" s="251"/>
      <c r="R14" s="251"/>
      <c r="S14" s="251"/>
      <c r="T14" s="251"/>
      <c r="U14" s="251"/>
    </row>
    <row r="15" spans="1:21" x14ac:dyDescent="0.35">
      <c r="O15" s="391"/>
    </row>
    <row r="16" spans="1:21" x14ac:dyDescent="0.35">
      <c r="P16" s="391"/>
    </row>
    <row r="18" spans="2:15" x14ac:dyDescent="0.35">
      <c r="B18" s="38" t="s">
        <v>472</v>
      </c>
    </row>
    <row r="20" spans="2:15" x14ac:dyDescent="0.35">
      <c r="M20" s="58"/>
      <c r="N20" s="420" t="s">
        <v>635</v>
      </c>
      <c r="O20" s="419">
        <f>O14/'1. AVERTED PREGNANCIES'!F58</f>
        <v>6591.0660168280046</v>
      </c>
    </row>
    <row r="21" spans="2:15" x14ac:dyDescent="0.35">
      <c r="M21" s="58"/>
      <c r="N21" s="420" t="s">
        <v>652</v>
      </c>
      <c r="O21" s="419">
        <f>O14/G6</f>
        <v>18308.516713411125</v>
      </c>
    </row>
  </sheetData>
  <mergeCells count="1">
    <mergeCell ref="B9:O9"/>
  </mergeCells>
  <hyperlinks>
    <hyperlink ref="K5" r:id="rId1" xr:uid="{00000000-0004-0000-05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499984740745262"/>
  </sheetPr>
  <dimension ref="A1:U35"/>
  <sheetViews>
    <sheetView zoomScaleNormal="100" workbookViewId="0"/>
  </sheetViews>
  <sheetFormatPr defaultColWidth="9.1796875" defaultRowHeight="14.5" x14ac:dyDescent="0.35"/>
  <cols>
    <col min="1" max="4" width="11" style="38" customWidth="1"/>
    <col min="5" max="5" width="14.26953125" style="38" customWidth="1"/>
    <col min="6" max="6" width="10.1796875" style="38" customWidth="1"/>
    <col min="7" max="16" width="11" style="38" customWidth="1"/>
    <col min="17" max="16384" width="9.1796875" style="38"/>
  </cols>
  <sheetData>
    <row r="1" spans="1:15" s="164" customFormat="1" ht="30" customHeight="1" x14ac:dyDescent="0.5">
      <c r="A1" s="19" t="s">
        <v>710</v>
      </c>
      <c r="B1" s="19"/>
      <c r="C1" s="19"/>
      <c r="D1" s="19"/>
      <c r="E1" s="19"/>
      <c r="F1" s="19"/>
      <c r="G1" s="19"/>
      <c r="H1" s="19"/>
      <c r="I1" s="19"/>
    </row>
    <row r="3" spans="1:15" x14ac:dyDescent="0.35">
      <c r="I3" s="18" t="s">
        <v>12</v>
      </c>
      <c r="J3" s="18" t="s">
        <v>16</v>
      </c>
      <c r="K3" s="18" t="s">
        <v>509</v>
      </c>
    </row>
    <row r="4" spans="1:15" x14ac:dyDescent="0.35">
      <c r="B4" s="11" t="s">
        <v>705</v>
      </c>
      <c r="C4" s="11"/>
      <c r="D4" s="11"/>
      <c r="E4" s="11"/>
      <c r="F4" s="11"/>
      <c r="G4" s="11"/>
    </row>
    <row r="5" spans="1:15" x14ac:dyDescent="0.35">
      <c r="B5" s="57" t="s">
        <v>703</v>
      </c>
      <c r="C5" s="58"/>
      <c r="D5" s="58"/>
      <c r="E5" s="58"/>
      <c r="F5" s="58"/>
      <c r="G5" s="448" t="s">
        <v>694</v>
      </c>
      <c r="I5" s="313" t="s">
        <v>706</v>
      </c>
      <c r="J5" s="16" t="s">
        <v>474</v>
      </c>
      <c r="K5" s="17" t="s">
        <v>13</v>
      </c>
      <c r="M5" s="16"/>
      <c r="N5" s="16"/>
      <c r="O5" s="16"/>
    </row>
    <row r="6" spans="1:15" x14ac:dyDescent="0.35">
      <c r="B6" s="121" t="s">
        <v>693</v>
      </c>
      <c r="C6" s="58"/>
      <c r="D6" s="58"/>
      <c r="E6" s="58"/>
      <c r="F6" s="58"/>
      <c r="G6" s="447">
        <f>746656/1000</f>
        <v>746.65599999999995</v>
      </c>
      <c r="I6" s="16"/>
      <c r="J6" s="16"/>
      <c r="K6" s="17"/>
      <c r="L6" s="17"/>
      <c r="M6" s="16"/>
      <c r="N6" s="16"/>
      <c r="O6" s="16"/>
    </row>
    <row r="7" spans="1:15" x14ac:dyDescent="0.35">
      <c r="B7" s="121" t="s">
        <v>695</v>
      </c>
      <c r="C7" s="58"/>
      <c r="D7" s="58"/>
      <c r="E7" s="58"/>
      <c r="F7" s="58"/>
      <c r="G7" s="447">
        <f>264986/1000</f>
        <v>264.98599999999999</v>
      </c>
      <c r="I7" s="16"/>
      <c r="J7" s="16"/>
      <c r="K7" s="17"/>
      <c r="L7" s="17"/>
      <c r="M7" s="16"/>
      <c r="N7" s="16"/>
      <c r="O7" s="16"/>
    </row>
    <row r="8" spans="1:15" x14ac:dyDescent="0.35">
      <c r="B8" s="121" t="s">
        <v>696</v>
      </c>
      <c r="C8" s="58"/>
      <c r="D8" s="58"/>
      <c r="E8" s="58"/>
      <c r="F8" s="58"/>
      <c r="G8" s="447">
        <f>148901/1000</f>
        <v>148.90100000000001</v>
      </c>
      <c r="I8" s="16"/>
      <c r="J8" s="16"/>
      <c r="K8" s="17"/>
      <c r="L8" s="17"/>
      <c r="M8" s="16"/>
      <c r="N8" s="16"/>
      <c r="O8" s="16"/>
    </row>
    <row r="9" spans="1:15" x14ac:dyDescent="0.35">
      <c r="B9" s="449" t="s">
        <v>700</v>
      </c>
      <c r="C9" s="58"/>
      <c r="D9" s="58"/>
      <c r="E9" s="58"/>
      <c r="F9" s="58"/>
      <c r="G9" s="447"/>
      <c r="I9" s="313" t="s">
        <v>508</v>
      </c>
      <c r="J9" s="16" t="s">
        <v>701</v>
      </c>
      <c r="K9" s="17" t="s">
        <v>699</v>
      </c>
      <c r="L9" s="17"/>
      <c r="M9" s="16"/>
      <c r="N9" s="16"/>
      <c r="O9" s="16"/>
    </row>
    <row r="10" spans="1:15" x14ac:dyDescent="0.35">
      <c r="B10" s="121" t="s">
        <v>697</v>
      </c>
      <c r="C10" s="58"/>
      <c r="D10" s="58"/>
      <c r="E10" s="58"/>
      <c r="F10" s="58"/>
      <c r="G10" s="112">
        <v>4126260.4</v>
      </c>
      <c r="L10" s="17"/>
      <c r="M10" s="16"/>
      <c r="N10" s="16"/>
      <c r="O10" s="16"/>
    </row>
    <row r="11" spans="1:15" x14ac:dyDescent="0.35">
      <c r="B11" s="121" t="s">
        <v>698</v>
      </c>
      <c r="C11" s="58"/>
      <c r="D11" s="58"/>
      <c r="E11" s="58"/>
      <c r="F11" s="58"/>
      <c r="G11" s="112">
        <v>9699819.1999999993</v>
      </c>
      <c r="I11" s="16"/>
      <c r="J11" s="16"/>
      <c r="K11" s="17"/>
      <c r="L11" s="17"/>
      <c r="M11" s="16"/>
      <c r="N11" s="16"/>
      <c r="O11" s="16"/>
    </row>
    <row r="12" spans="1:15" x14ac:dyDescent="0.35">
      <c r="B12" s="449" t="s">
        <v>704</v>
      </c>
      <c r="C12" s="58"/>
      <c r="D12" s="58"/>
      <c r="E12" s="58"/>
      <c r="F12" s="58"/>
      <c r="G12" s="451"/>
      <c r="I12" s="16"/>
      <c r="J12" s="16"/>
      <c r="K12" s="17"/>
      <c r="L12" s="17"/>
      <c r="M12" s="16"/>
      <c r="N12" s="16"/>
      <c r="O12" s="16"/>
    </row>
    <row r="13" spans="1:15" x14ac:dyDescent="0.35">
      <c r="B13" s="121" t="s">
        <v>693</v>
      </c>
      <c r="C13" s="58"/>
      <c r="D13" s="58"/>
      <c r="E13" s="58"/>
      <c r="F13" s="58"/>
      <c r="G13" s="447">
        <f>G6*1000000/G10</f>
        <v>180.95222492501927</v>
      </c>
      <c r="I13" s="16"/>
      <c r="J13" s="16"/>
      <c r="K13" s="17"/>
      <c r="L13" s="17"/>
      <c r="M13" s="16"/>
      <c r="N13" s="16"/>
      <c r="O13" s="16"/>
    </row>
    <row r="14" spans="1:15" x14ac:dyDescent="0.35">
      <c r="B14" s="121" t="s">
        <v>695</v>
      </c>
      <c r="C14" s="58"/>
      <c r="D14" s="58"/>
      <c r="E14" s="58"/>
      <c r="F14" s="58"/>
      <c r="G14" s="447">
        <f>G7*1000000/G11</f>
        <v>27.318653527067806</v>
      </c>
      <c r="I14" s="16"/>
      <c r="J14" s="16"/>
      <c r="K14" s="17"/>
      <c r="L14" s="17"/>
      <c r="M14" s="16"/>
      <c r="N14" s="16"/>
      <c r="O14" s="16"/>
    </row>
    <row r="15" spans="1:15" x14ac:dyDescent="0.35">
      <c r="B15" s="121" t="s">
        <v>696</v>
      </c>
      <c r="C15" s="58"/>
      <c r="D15" s="58"/>
      <c r="E15" s="58"/>
      <c r="F15" s="58"/>
      <c r="G15" s="447">
        <f>G8*1000000/G10</f>
        <v>36.086185932424428</v>
      </c>
      <c r="I15" s="16"/>
      <c r="J15" s="16"/>
      <c r="K15" s="17"/>
      <c r="L15" s="17"/>
      <c r="M15" s="16"/>
      <c r="N15" s="16"/>
      <c r="O15" s="16"/>
    </row>
    <row r="16" spans="1:15" x14ac:dyDescent="0.35">
      <c r="B16" s="450" t="s">
        <v>135</v>
      </c>
      <c r="C16" s="31"/>
      <c r="D16" s="31"/>
      <c r="E16" s="31"/>
      <c r="F16" s="31"/>
      <c r="G16" s="106">
        <f>'1. AVERTED PREGNANCIES'!$F$59</f>
        <v>73720.391047603742</v>
      </c>
      <c r="I16" s="16" t="s">
        <v>691</v>
      </c>
      <c r="J16" s="16"/>
      <c r="K16" s="16"/>
    </row>
    <row r="19" spans="2:21" x14ac:dyDescent="0.35">
      <c r="B19" s="510" t="s">
        <v>239</v>
      </c>
      <c r="C19" s="510"/>
      <c r="D19" s="510"/>
      <c r="E19" s="510"/>
      <c r="F19" s="510"/>
      <c r="G19" s="510"/>
      <c r="H19" s="510"/>
      <c r="I19" s="510"/>
      <c r="J19" s="510"/>
      <c r="K19" s="510"/>
      <c r="L19" s="510"/>
      <c r="M19" s="510"/>
      <c r="N19" s="510"/>
      <c r="O19" s="510"/>
      <c r="P19" s="253"/>
      <c r="Q19" s="253"/>
      <c r="R19" s="253"/>
      <c r="S19" s="253"/>
      <c r="T19" s="253"/>
      <c r="U19" s="253"/>
    </row>
    <row r="20" spans="2:21" x14ac:dyDescent="0.35">
      <c r="B20" s="29" t="s">
        <v>240</v>
      </c>
      <c r="C20" s="29"/>
      <c r="D20" s="29"/>
      <c r="E20" s="29">
        <v>0</v>
      </c>
      <c r="F20" s="29">
        <v>1</v>
      </c>
      <c r="G20" s="29">
        <v>2</v>
      </c>
      <c r="H20" s="29">
        <v>3</v>
      </c>
      <c r="I20" s="29">
        <v>4</v>
      </c>
      <c r="J20" s="29">
        <v>5</v>
      </c>
      <c r="K20" s="29">
        <v>6</v>
      </c>
      <c r="L20" s="29">
        <v>7</v>
      </c>
      <c r="M20" s="29">
        <v>8</v>
      </c>
      <c r="N20" s="29">
        <v>9</v>
      </c>
      <c r="O20" s="29">
        <v>10</v>
      </c>
      <c r="P20" s="133"/>
      <c r="Q20" s="133"/>
      <c r="R20" s="133"/>
      <c r="S20" s="133"/>
      <c r="T20" s="133"/>
      <c r="U20" s="133"/>
    </row>
    <row r="21" spans="2:21" x14ac:dyDescent="0.35">
      <c r="B21" s="29" t="s">
        <v>467</v>
      </c>
      <c r="C21" s="29"/>
      <c r="D21" s="29"/>
      <c r="E21" s="29"/>
      <c r="F21" s="29">
        <v>0</v>
      </c>
      <c r="G21" s="29">
        <v>1</v>
      </c>
      <c r="H21" s="29">
        <v>2</v>
      </c>
      <c r="I21" s="29">
        <v>3</v>
      </c>
      <c r="J21" s="29">
        <v>4</v>
      </c>
      <c r="K21" s="29">
        <v>5</v>
      </c>
      <c r="L21" s="29">
        <v>6</v>
      </c>
      <c r="M21" s="29">
        <v>7</v>
      </c>
      <c r="N21" s="29">
        <v>8</v>
      </c>
      <c r="O21" s="29">
        <v>9</v>
      </c>
      <c r="P21" s="133"/>
      <c r="Q21" s="133"/>
      <c r="R21" s="133"/>
      <c r="S21" s="133"/>
      <c r="T21" s="133"/>
      <c r="U21" s="133"/>
    </row>
    <row r="22" spans="2:21" x14ac:dyDescent="0.35">
      <c r="B22" s="29" t="s">
        <v>612</v>
      </c>
      <c r="C22" s="29"/>
      <c r="D22" s="29"/>
      <c r="E22" s="29">
        <v>0</v>
      </c>
      <c r="F22" s="254">
        <f>$G$13+$G$15</f>
        <v>217.03841085744369</v>
      </c>
      <c r="G22" s="254">
        <f t="shared" ref="G22:I22" si="0">$G$13+$G$15</f>
        <v>217.03841085744369</v>
      </c>
      <c r="H22" s="254">
        <f t="shared" si="0"/>
        <v>217.03841085744369</v>
      </c>
      <c r="I22" s="254">
        <f t="shared" si="0"/>
        <v>217.03841085744369</v>
      </c>
      <c r="J22" s="254">
        <f>G13+G14+G15</f>
        <v>244.35706438451149</v>
      </c>
      <c r="K22" s="254">
        <f t="shared" ref="K22:O22" si="1">$G$14</f>
        <v>27.318653527067806</v>
      </c>
      <c r="L22" s="254">
        <f t="shared" si="1"/>
        <v>27.318653527067806</v>
      </c>
      <c r="M22" s="254">
        <f t="shared" si="1"/>
        <v>27.318653527067806</v>
      </c>
      <c r="N22" s="254">
        <f t="shared" si="1"/>
        <v>27.318653527067806</v>
      </c>
      <c r="O22" s="254">
        <f t="shared" si="1"/>
        <v>27.318653527067806</v>
      </c>
      <c r="P22" s="133"/>
      <c r="Q22" s="133"/>
      <c r="R22" s="133"/>
      <c r="S22" s="133"/>
      <c r="T22" s="133"/>
      <c r="U22" s="133"/>
    </row>
    <row r="23" spans="2:21" x14ac:dyDescent="0.35">
      <c r="B23" s="29" t="s">
        <v>613</v>
      </c>
      <c r="C23" s="29"/>
      <c r="D23" s="29"/>
      <c r="E23" s="307">
        <v>0</v>
      </c>
      <c r="F23" s="260">
        <f t="shared" ref="F23:O23" si="2">F22*$G$16/1.035^F20</f>
        <v>15459088.425856266</v>
      </c>
      <c r="G23" s="260">
        <f t="shared" si="2"/>
        <v>14936317.319667891</v>
      </c>
      <c r="H23" s="260">
        <f t="shared" si="2"/>
        <v>14431224.463447239</v>
      </c>
      <c r="I23" s="260">
        <f t="shared" si="2"/>
        <v>13943212.041978009</v>
      </c>
      <c r="J23" s="260">
        <f t="shared" si="2"/>
        <v>15167387.428837346</v>
      </c>
      <c r="K23" s="260">
        <f t="shared" si="2"/>
        <v>1638342.9689081567</v>
      </c>
      <c r="L23" s="260">
        <f t="shared" si="2"/>
        <v>1582940.0665779293</v>
      </c>
      <c r="M23" s="260">
        <f t="shared" si="2"/>
        <v>1529410.6923458257</v>
      </c>
      <c r="N23" s="260">
        <f t="shared" si="2"/>
        <v>1477691.4901892038</v>
      </c>
      <c r="O23" s="260">
        <f t="shared" si="2"/>
        <v>1427721.2465596171</v>
      </c>
      <c r="P23" s="251"/>
      <c r="Q23" s="251"/>
      <c r="R23" s="251"/>
      <c r="S23" s="251"/>
      <c r="T23" s="251"/>
      <c r="U23" s="251"/>
    </row>
    <row r="24" spans="2:21" x14ac:dyDescent="0.35">
      <c r="B24" s="29" t="s">
        <v>437</v>
      </c>
      <c r="C24" s="29"/>
      <c r="D24" s="29"/>
      <c r="E24" s="307">
        <v>0</v>
      </c>
      <c r="F24" s="260">
        <f>F23+E24</f>
        <v>15459088.425856266</v>
      </c>
      <c r="G24" s="260">
        <f t="shared" ref="G24:O24" si="3">G23+F24</f>
        <v>30395405.745524157</v>
      </c>
      <c r="H24" s="260">
        <f t="shared" si="3"/>
        <v>44826630.208971396</v>
      </c>
      <c r="I24" s="260">
        <f t="shared" si="3"/>
        <v>58769842.250949405</v>
      </c>
      <c r="J24" s="260">
        <f t="shared" si="3"/>
        <v>73937229.679786757</v>
      </c>
      <c r="K24" s="260">
        <f t="shared" si="3"/>
        <v>75575572.648694918</v>
      </c>
      <c r="L24" s="260">
        <f t="shared" si="3"/>
        <v>77158512.715272844</v>
      </c>
      <c r="M24" s="260">
        <f t="shared" si="3"/>
        <v>78687923.407618672</v>
      </c>
      <c r="N24" s="260">
        <f t="shared" si="3"/>
        <v>80165614.897807881</v>
      </c>
      <c r="O24" s="260">
        <f t="shared" si="3"/>
        <v>81593336.144367501</v>
      </c>
      <c r="Q24" s="251"/>
      <c r="R24" s="251"/>
      <c r="S24" s="251"/>
      <c r="T24" s="251"/>
      <c r="U24" s="251"/>
    </row>
    <row r="25" spans="2:21" x14ac:dyDescent="0.35">
      <c r="O25" s="391"/>
    </row>
    <row r="26" spans="2:21" x14ac:dyDescent="0.35">
      <c r="P26" s="391"/>
    </row>
    <row r="28" spans="2:21" x14ac:dyDescent="0.35">
      <c r="B28" s="38" t="s">
        <v>472</v>
      </c>
    </row>
    <row r="30" spans="2:21" x14ac:dyDescent="0.35">
      <c r="J30" s="452"/>
      <c r="K30" s="260"/>
      <c r="L30" s="260"/>
      <c r="M30" s="260"/>
      <c r="N30" s="399" t="s">
        <v>636</v>
      </c>
      <c r="O30" s="419">
        <f>O24/G16</f>
        <v>1106.7946735616192</v>
      </c>
    </row>
    <row r="31" spans="2:21" x14ac:dyDescent="0.35">
      <c r="J31" s="452"/>
      <c r="K31" s="260"/>
      <c r="L31" s="260"/>
      <c r="M31" s="260"/>
      <c r="N31" s="399" t="s">
        <v>637</v>
      </c>
      <c r="O31" s="419">
        <f>O24/'1. AVERTED PREGNANCIES'!F58</f>
        <v>398.44608248218287</v>
      </c>
    </row>
    <row r="33" spans="2:2" ht="15.5" x14ac:dyDescent="0.35">
      <c r="B33" s="446"/>
    </row>
    <row r="34" spans="2:2" ht="15.5" x14ac:dyDescent="0.35">
      <c r="B34" s="446"/>
    </row>
    <row r="35" spans="2:2" ht="15.5" x14ac:dyDescent="0.35">
      <c r="B35" s="446"/>
    </row>
  </sheetData>
  <mergeCells count="1">
    <mergeCell ref="B19:O19"/>
  </mergeCells>
  <hyperlinks>
    <hyperlink ref="K5" r:id="rId1" xr:uid="{00000000-0004-0000-0600-000000000000}"/>
    <hyperlink ref="K9" r:id="rId2" xr:uid="{00000000-0004-0000-0600-00000100000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499984740745262"/>
  </sheetPr>
  <dimension ref="A1:X22"/>
  <sheetViews>
    <sheetView zoomScaleNormal="100" workbookViewId="0"/>
  </sheetViews>
  <sheetFormatPr defaultRowHeight="14.5" x14ac:dyDescent="0.35"/>
  <cols>
    <col min="1" max="2" width="11" customWidth="1"/>
    <col min="3" max="3" width="11" style="38" customWidth="1"/>
    <col min="4" max="15" width="11" customWidth="1"/>
  </cols>
  <sheetData>
    <row r="1" spans="1:24" s="164" customFormat="1" ht="30" customHeight="1" x14ac:dyDescent="0.5">
      <c r="A1" s="19" t="s">
        <v>718</v>
      </c>
      <c r="B1" s="19"/>
      <c r="C1" s="19"/>
      <c r="D1" s="19"/>
      <c r="E1" s="19"/>
      <c r="F1" s="19"/>
      <c r="G1" s="19"/>
      <c r="H1" s="19"/>
    </row>
    <row r="3" spans="1:24" x14ac:dyDescent="0.35">
      <c r="B3" s="143"/>
      <c r="C3" s="143"/>
      <c r="D3" s="143"/>
      <c r="E3" s="143"/>
      <c r="F3" s="143"/>
      <c r="G3" s="183"/>
    </row>
    <row r="4" spans="1:24" x14ac:dyDescent="0.35">
      <c r="B4" s="11" t="s">
        <v>190</v>
      </c>
      <c r="C4" s="11"/>
      <c r="D4" s="11"/>
      <c r="E4" s="11"/>
      <c r="F4" s="11"/>
      <c r="H4" s="18" t="s">
        <v>12</v>
      </c>
      <c r="I4" s="18" t="s">
        <v>16</v>
      </c>
      <c r="J4" s="18" t="s">
        <v>509</v>
      </c>
    </row>
    <row r="5" spans="1:24" s="38" customFormat="1" x14ac:dyDescent="0.35">
      <c r="B5" s="58" t="s">
        <v>213</v>
      </c>
      <c r="C5" s="58"/>
      <c r="D5" s="58"/>
      <c r="E5" s="58"/>
      <c r="F5" s="104">
        <v>1635</v>
      </c>
      <c r="H5" s="16" t="s">
        <v>532</v>
      </c>
      <c r="I5" s="16" t="s">
        <v>533</v>
      </c>
      <c r="J5" s="17" t="s">
        <v>209</v>
      </c>
    </row>
    <row r="6" spans="1:24" s="38" customFormat="1" x14ac:dyDescent="0.35">
      <c r="B6" s="58" t="s">
        <v>210</v>
      </c>
      <c r="C6" s="58"/>
      <c r="D6" s="58"/>
      <c r="E6" s="58"/>
      <c r="F6" s="104">
        <v>4900</v>
      </c>
      <c r="H6" s="16" t="s">
        <v>532</v>
      </c>
      <c r="I6" s="16" t="s">
        <v>534</v>
      </c>
    </row>
    <row r="7" spans="1:24" x14ac:dyDescent="0.35">
      <c r="B7" s="31" t="s">
        <v>135</v>
      </c>
      <c r="C7" s="31"/>
      <c r="D7" s="31"/>
      <c r="E7" s="31"/>
      <c r="F7" s="106">
        <f>'1. AVERTED PREGNANCIES'!$F$59</f>
        <v>73720.391047603742</v>
      </c>
    </row>
    <row r="8" spans="1:24" x14ac:dyDescent="0.35">
      <c r="B8" s="57" t="s">
        <v>526</v>
      </c>
      <c r="C8" s="57"/>
      <c r="D8" s="57"/>
      <c r="E8" s="57"/>
      <c r="F8" s="261">
        <f>$F$7*F5</f>
        <v>120532839.36283211</v>
      </c>
    </row>
    <row r="9" spans="1:24" x14ac:dyDescent="0.35">
      <c r="B9" s="57" t="s">
        <v>527</v>
      </c>
      <c r="C9" s="57"/>
      <c r="D9" s="57"/>
      <c r="E9" s="57"/>
      <c r="F9" s="261">
        <f>$F$7*F6</f>
        <v>361229916.13325834</v>
      </c>
    </row>
    <row r="10" spans="1:24" s="38" customFormat="1" x14ac:dyDescent="0.35"/>
    <row r="11" spans="1:24" s="38" customFormat="1" x14ac:dyDescent="0.35"/>
    <row r="12" spans="1:24" x14ac:dyDescent="0.35">
      <c r="B12" s="510" t="s">
        <v>239</v>
      </c>
      <c r="C12" s="510"/>
      <c r="D12" s="510"/>
      <c r="E12" s="510"/>
      <c r="F12" s="510"/>
      <c r="G12" s="510"/>
      <c r="H12" s="510"/>
      <c r="I12" s="510"/>
      <c r="J12" s="510"/>
      <c r="K12" s="510"/>
      <c r="L12" s="510"/>
      <c r="M12" s="510"/>
      <c r="N12" s="510"/>
      <c r="O12" s="253"/>
      <c r="P12" s="253"/>
      <c r="Q12" s="253"/>
      <c r="R12" s="253"/>
      <c r="S12" s="253"/>
      <c r="T12" s="253"/>
    </row>
    <row r="13" spans="1:24" x14ac:dyDescent="0.35">
      <c r="B13" s="29" t="s">
        <v>240</v>
      </c>
      <c r="C13" s="29"/>
      <c r="D13" s="29">
        <v>0</v>
      </c>
      <c r="E13" s="29">
        <v>1</v>
      </c>
      <c r="F13" s="29">
        <v>2</v>
      </c>
      <c r="G13" s="29">
        <v>3</v>
      </c>
      <c r="H13" s="29">
        <v>4</v>
      </c>
      <c r="I13" s="29">
        <v>5</v>
      </c>
      <c r="J13" s="29">
        <v>6</v>
      </c>
      <c r="K13" s="29">
        <v>7</v>
      </c>
      <c r="L13" s="29">
        <v>8</v>
      </c>
      <c r="M13" s="29">
        <v>9</v>
      </c>
      <c r="N13" s="29">
        <v>10</v>
      </c>
      <c r="O13" s="133"/>
      <c r="P13" s="133"/>
      <c r="Q13" s="133"/>
      <c r="R13" s="133"/>
      <c r="S13" s="133"/>
      <c r="T13" s="133"/>
      <c r="U13" s="38"/>
      <c r="V13" s="38"/>
      <c r="W13" s="38"/>
      <c r="X13" s="38"/>
    </row>
    <row r="14" spans="1:24" s="38" customFormat="1" x14ac:dyDescent="0.35">
      <c r="B14" s="29" t="s">
        <v>467</v>
      </c>
      <c r="C14" s="29"/>
      <c r="D14" s="29"/>
      <c r="E14" s="29">
        <v>0</v>
      </c>
      <c r="F14" s="29">
        <v>1</v>
      </c>
      <c r="G14" s="29">
        <v>2</v>
      </c>
      <c r="H14" s="28">
        <v>3</v>
      </c>
      <c r="I14" s="310">
        <v>4</v>
      </c>
      <c r="J14" s="29">
        <v>5</v>
      </c>
      <c r="K14" s="29">
        <v>6</v>
      </c>
      <c r="L14" s="29">
        <v>7</v>
      </c>
      <c r="M14" s="29">
        <v>8</v>
      </c>
      <c r="N14" s="29">
        <v>9</v>
      </c>
      <c r="O14" s="133"/>
      <c r="P14" s="133"/>
      <c r="Q14" s="133"/>
      <c r="R14" s="133"/>
      <c r="S14" s="133"/>
      <c r="T14" s="133"/>
    </row>
    <row r="15" spans="1:24" s="38" customFormat="1" x14ac:dyDescent="0.35">
      <c r="B15" s="58" t="s">
        <v>241</v>
      </c>
      <c r="C15" s="58"/>
      <c r="D15" s="58">
        <v>0</v>
      </c>
      <c r="E15" s="58">
        <v>0</v>
      </c>
      <c r="F15" s="29">
        <v>0</v>
      </c>
      <c r="G15" s="307">
        <v>0</v>
      </c>
      <c r="H15" s="309">
        <f>$F$8/1.035^H13</f>
        <v>105037406.04518059</v>
      </c>
      <c r="I15" s="311">
        <f>$F$8/1.035^I13</f>
        <v>101485416.46877353</v>
      </c>
      <c r="J15" s="260">
        <f>$F$9/1.035^J13</f>
        <v>293860769.51764119</v>
      </c>
      <c r="K15" s="260">
        <f>$F$9/1.035^K13</f>
        <v>283923448.80931515</v>
      </c>
      <c r="L15" s="260">
        <f>$F$9/1.035^L13</f>
        <v>274322172.76262337</v>
      </c>
      <c r="M15" s="260">
        <f>$F$9/1.035^M13</f>
        <v>265045577.54842845</v>
      </c>
      <c r="N15" s="260">
        <f>$F$9/1.035^N13</f>
        <v>256082683.62167001</v>
      </c>
      <c r="P15" s="251"/>
      <c r="Q15" s="251"/>
      <c r="R15" s="251"/>
      <c r="S15" s="251"/>
      <c r="T15" s="251"/>
    </row>
    <row r="16" spans="1:24" x14ac:dyDescent="0.35">
      <c r="B16" s="58" t="s">
        <v>437</v>
      </c>
      <c r="C16" s="58"/>
      <c r="D16" s="58">
        <f>D15</f>
        <v>0</v>
      </c>
      <c r="E16" s="58">
        <f>E15+D16</f>
        <v>0</v>
      </c>
      <c r="F16" s="29">
        <f t="shared" ref="F16:N16" si="0">F15+E16</f>
        <v>0</v>
      </c>
      <c r="G16" s="308">
        <v>0</v>
      </c>
      <c r="H16" s="309">
        <f t="shared" si="0"/>
        <v>105037406.04518059</v>
      </c>
      <c r="I16" s="311">
        <f t="shared" si="0"/>
        <v>206522822.5139541</v>
      </c>
      <c r="J16" s="260">
        <f t="shared" si="0"/>
        <v>500383592.03159529</v>
      </c>
      <c r="K16" s="260">
        <f t="shared" si="0"/>
        <v>784307040.84091043</v>
      </c>
      <c r="L16" s="260">
        <f t="shared" si="0"/>
        <v>1058629213.6035337</v>
      </c>
      <c r="M16" s="260">
        <f t="shared" si="0"/>
        <v>1323674791.1519623</v>
      </c>
      <c r="N16" s="260">
        <f t="shared" si="0"/>
        <v>1579757474.7736323</v>
      </c>
      <c r="P16" s="251"/>
      <c r="Q16" s="251"/>
      <c r="R16" s="251"/>
      <c r="S16" s="251"/>
      <c r="T16" s="251"/>
    </row>
    <row r="17" spans="2:20" x14ac:dyDescent="0.35">
      <c r="F17" s="1"/>
      <c r="H17" s="512" t="s">
        <v>243</v>
      </c>
      <c r="I17" s="513"/>
      <c r="J17" s="511" t="s">
        <v>212</v>
      </c>
      <c r="K17" s="511"/>
      <c r="L17" s="511"/>
      <c r="M17" s="511"/>
      <c r="N17" s="511"/>
      <c r="O17" s="40"/>
      <c r="P17" s="259"/>
      <c r="Q17" s="259"/>
      <c r="R17" s="259"/>
      <c r="S17" s="259"/>
      <c r="T17" s="259"/>
    </row>
    <row r="18" spans="2:20" x14ac:dyDescent="0.35">
      <c r="B18" s="38" t="s">
        <v>472</v>
      </c>
    </row>
    <row r="19" spans="2:20" x14ac:dyDescent="0.35">
      <c r="B19" s="38"/>
    </row>
    <row r="21" spans="2:20" x14ac:dyDescent="0.35">
      <c r="J21" s="260"/>
      <c r="K21" s="260"/>
      <c r="L21" s="260"/>
      <c r="M21" s="399" t="s">
        <v>636</v>
      </c>
      <c r="N21" s="254">
        <f>N16/'1. AVERTED PREGNANCIES'!F58</f>
        <v>7714.4556999334227</v>
      </c>
    </row>
    <row r="22" spans="2:20" x14ac:dyDescent="0.35">
      <c r="J22" s="260"/>
      <c r="K22" s="260"/>
      <c r="L22" s="260"/>
      <c r="M22" s="399" t="s">
        <v>637</v>
      </c>
      <c r="N22" s="254">
        <f>N16/'1. AVERTED PREGNANCIES'!F59</f>
        <v>21429.043610926175</v>
      </c>
    </row>
  </sheetData>
  <mergeCells count="3">
    <mergeCell ref="B12:N12"/>
    <mergeCell ref="J17:N17"/>
    <mergeCell ref="H17:I17"/>
  </mergeCells>
  <hyperlinks>
    <hyperlink ref="J5"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499984740745262"/>
  </sheetPr>
  <dimension ref="A1:S32"/>
  <sheetViews>
    <sheetView workbookViewId="0"/>
  </sheetViews>
  <sheetFormatPr defaultColWidth="9.1796875" defaultRowHeight="14.5" x14ac:dyDescent="0.35"/>
  <cols>
    <col min="1" max="1" width="9.1796875" style="38"/>
    <col min="2" max="2" width="17.26953125" style="38" customWidth="1"/>
    <col min="3" max="4" width="9.1796875" style="38"/>
    <col min="5" max="5" width="11" style="38" customWidth="1"/>
    <col min="6" max="7" width="9.1796875" style="38" customWidth="1"/>
    <col min="8" max="8" width="9.1796875" style="16" customWidth="1"/>
    <col min="9" max="9" width="9.1796875" style="38" customWidth="1"/>
    <col min="10" max="16384" width="9.1796875" style="38"/>
  </cols>
  <sheetData>
    <row r="1" spans="1:11" s="164" customFormat="1" ht="30" customHeight="1" x14ac:dyDescent="0.5">
      <c r="A1" s="19" t="s">
        <v>719</v>
      </c>
      <c r="B1" s="19"/>
      <c r="C1" s="19"/>
      <c r="D1" s="19"/>
      <c r="E1" s="19"/>
      <c r="F1" s="19"/>
      <c r="G1" s="19"/>
      <c r="H1" s="181"/>
    </row>
    <row r="2" spans="1:11" x14ac:dyDescent="0.35">
      <c r="H2" s="514"/>
      <c r="I2" s="514"/>
    </row>
    <row r="3" spans="1:11" x14ac:dyDescent="0.35">
      <c r="H3" s="111"/>
      <c r="I3" s="111"/>
    </row>
    <row r="4" spans="1:11" x14ac:dyDescent="0.35">
      <c r="B4" s="11" t="s">
        <v>72</v>
      </c>
      <c r="C4" s="11"/>
      <c r="D4" s="11"/>
      <c r="E4" s="109" t="s">
        <v>73</v>
      </c>
      <c r="F4" s="109" t="s">
        <v>74</v>
      </c>
      <c r="H4" s="38"/>
      <c r="I4" s="18" t="s">
        <v>12</v>
      </c>
      <c r="J4" s="18" t="s">
        <v>16</v>
      </c>
      <c r="K4" s="18" t="s">
        <v>509</v>
      </c>
    </row>
    <row r="5" spans="1:11" x14ac:dyDescent="0.35">
      <c r="B5" s="58" t="s">
        <v>75</v>
      </c>
      <c r="C5" s="58"/>
      <c r="D5" s="58"/>
      <c r="E5" s="110">
        <v>20.7</v>
      </c>
      <c r="F5" s="110">
        <f>E5*52</f>
        <v>1076.3999999999999</v>
      </c>
      <c r="H5" s="38"/>
      <c r="I5" s="50" t="s">
        <v>523</v>
      </c>
      <c r="K5" s="17" t="s">
        <v>76</v>
      </c>
    </row>
    <row r="6" spans="1:11" x14ac:dyDescent="0.35">
      <c r="B6" s="58" t="s">
        <v>77</v>
      </c>
      <c r="C6" s="58"/>
      <c r="D6" s="58"/>
      <c r="E6" s="110">
        <v>13.7</v>
      </c>
      <c r="F6" s="110">
        <f>E6*52</f>
        <v>712.4</v>
      </c>
      <c r="H6" s="38"/>
      <c r="I6" s="16"/>
      <c r="J6" s="16"/>
    </row>
    <row r="7" spans="1:11" x14ac:dyDescent="0.35">
      <c r="B7" s="58" t="s">
        <v>141</v>
      </c>
      <c r="C7" s="58"/>
      <c r="D7" s="58"/>
      <c r="E7" s="58"/>
      <c r="F7" s="58"/>
      <c r="H7" s="38"/>
      <c r="I7" s="16"/>
      <c r="J7" s="16"/>
    </row>
    <row r="8" spans="1:11" x14ac:dyDescent="0.35">
      <c r="H8" s="38"/>
      <c r="I8" s="16"/>
      <c r="J8" s="16"/>
    </row>
    <row r="9" spans="1:11" x14ac:dyDescent="0.35">
      <c r="H9" s="38"/>
      <c r="I9" s="16"/>
      <c r="J9" s="16"/>
    </row>
    <row r="10" spans="1:11" x14ac:dyDescent="0.35">
      <c r="B10" s="11" t="s">
        <v>84</v>
      </c>
      <c r="C10" s="11"/>
      <c r="D10" s="11"/>
      <c r="E10" s="11"/>
      <c r="F10" s="11"/>
      <c r="G10" s="11"/>
      <c r="H10" s="38"/>
      <c r="I10" s="16"/>
      <c r="J10" s="16"/>
    </row>
    <row r="11" spans="1:11" x14ac:dyDescent="0.35">
      <c r="B11" s="58" t="s">
        <v>525</v>
      </c>
      <c r="C11" s="58"/>
      <c r="D11" s="58"/>
      <c r="E11" s="58"/>
      <c r="F11" s="58"/>
      <c r="G11" s="105">
        <v>7396355</v>
      </c>
      <c r="H11" s="38"/>
      <c r="I11" s="16" t="s">
        <v>517</v>
      </c>
      <c r="J11" s="16" t="s">
        <v>79</v>
      </c>
      <c r="K11" s="17" t="s">
        <v>80</v>
      </c>
    </row>
    <row r="12" spans="1:11" x14ac:dyDescent="0.35">
      <c r="B12" s="29" t="s">
        <v>81</v>
      </c>
      <c r="C12" s="58"/>
      <c r="D12" s="29"/>
      <c r="E12" s="29"/>
      <c r="F12" s="58"/>
      <c r="G12" s="112">
        <v>7960000</v>
      </c>
      <c r="H12" s="38"/>
      <c r="I12" s="16" t="s">
        <v>508</v>
      </c>
      <c r="J12" s="16" t="s">
        <v>82</v>
      </c>
      <c r="K12" s="17" t="s">
        <v>83</v>
      </c>
    </row>
    <row r="13" spans="1:11" x14ac:dyDescent="0.35">
      <c r="B13" s="113" t="s">
        <v>78</v>
      </c>
      <c r="C13" s="58"/>
      <c r="D13" s="58"/>
      <c r="E13" s="58"/>
      <c r="F13" s="58"/>
      <c r="G13" s="114">
        <f>G11/G12</f>
        <v>0.92919032663316581</v>
      </c>
    </row>
    <row r="14" spans="1:11" x14ac:dyDescent="0.35">
      <c r="B14" s="31" t="s">
        <v>135</v>
      </c>
      <c r="C14" s="31"/>
      <c r="D14" s="31"/>
      <c r="E14" s="31"/>
      <c r="F14" s="31"/>
      <c r="G14" s="106">
        <f>'1. AVERTED PREGNANCIES'!F59</f>
        <v>73720.391047603742</v>
      </c>
    </row>
    <row r="15" spans="1:11" x14ac:dyDescent="0.35">
      <c r="B15" s="57" t="s">
        <v>85</v>
      </c>
      <c r="C15" s="58"/>
      <c r="D15" s="58"/>
      <c r="E15" s="58"/>
      <c r="F15" s="58"/>
      <c r="G15" s="115">
        <f>G14*G13</f>
        <v>68500.274237047634</v>
      </c>
    </row>
    <row r="16" spans="1:11" x14ac:dyDescent="0.35">
      <c r="B16" s="103"/>
      <c r="D16" s="54"/>
      <c r="E16" s="54"/>
      <c r="F16" s="54"/>
    </row>
    <row r="17" spans="2:19" x14ac:dyDescent="0.35">
      <c r="B17" s="45"/>
    </row>
    <row r="18" spans="2:19" x14ac:dyDescent="0.35">
      <c r="B18" s="11" t="s">
        <v>137</v>
      </c>
      <c r="C18" s="11"/>
      <c r="D18" s="11"/>
      <c r="E18" s="116" t="s">
        <v>51</v>
      </c>
      <c r="F18" s="116" t="s">
        <v>52</v>
      </c>
      <c r="G18" s="116" t="s">
        <v>211</v>
      </c>
      <c r="H18" s="38"/>
    </row>
    <row r="19" spans="2:19" x14ac:dyDescent="0.35">
      <c r="B19" s="58" t="s">
        <v>138</v>
      </c>
      <c r="C19" s="58"/>
      <c r="D19" s="58"/>
      <c r="E19" s="114">
        <f>'1.1'!C37</f>
        <v>0.507421815577354</v>
      </c>
      <c r="F19" s="105">
        <f>E19*$G$15</f>
        <v>34758.533520909361</v>
      </c>
      <c r="G19" s="200">
        <f>F5*F19</f>
        <v>37414085.481906831</v>
      </c>
      <c r="I19" s="16" t="s">
        <v>508</v>
      </c>
      <c r="J19" s="16" t="s">
        <v>193</v>
      </c>
      <c r="K19" s="16" t="s">
        <v>142</v>
      </c>
      <c r="N19" s="17"/>
    </row>
    <row r="20" spans="2:19" x14ac:dyDescent="0.35">
      <c r="B20" s="58" t="s">
        <v>139</v>
      </c>
      <c r="C20" s="58"/>
      <c r="D20" s="58"/>
      <c r="E20" s="114">
        <f>'1.1'!D37</f>
        <v>0.15144098287081001</v>
      </c>
      <c r="F20" s="105">
        <f>E20*$G$15</f>
        <v>10373.748857378519</v>
      </c>
      <c r="G20" s="200">
        <f>F6*F20</f>
        <v>7390258.685996457</v>
      </c>
      <c r="I20" s="17"/>
      <c r="J20" s="20"/>
    </row>
    <row r="21" spans="2:19" x14ac:dyDescent="0.35">
      <c r="B21" s="31" t="s">
        <v>140</v>
      </c>
      <c r="C21" s="31"/>
      <c r="D21" s="31"/>
      <c r="E21" s="118">
        <f>'1.1'!E37+'1.1'!F37+'1.1'!G37</f>
        <v>0.34220568775201848</v>
      </c>
      <c r="F21" s="106">
        <f>E21*$G$15</f>
        <v>23441.183456490759</v>
      </c>
      <c r="G21" s="237">
        <v>0</v>
      </c>
      <c r="J21" s="20"/>
    </row>
    <row r="22" spans="2:19" x14ac:dyDescent="0.35">
      <c r="B22" s="57" t="s">
        <v>528</v>
      </c>
      <c r="C22" s="58"/>
      <c r="D22" s="58"/>
      <c r="E22" s="59"/>
      <c r="F22" s="114"/>
      <c r="G22" s="228">
        <f>SUM(G19:G21)</f>
        <v>44804344.167903289</v>
      </c>
      <c r="J22" s="20"/>
    </row>
    <row r="23" spans="2:19" x14ac:dyDescent="0.35">
      <c r="B23" s="45"/>
      <c r="G23" s="33"/>
    </row>
    <row r="24" spans="2:19" x14ac:dyDescent="0.35">
      <c r="G24" s="5"/>
    </row>
    <row r="25" spans="2:19" x14ac:dyDescent="0.35">
      <c r="B25" s="510" t="s">
        <v>239</v>
      </c>
      <c r="C25" s="510"/>
      <c r="D25" s="510"/>
      <c r="E25" s="510"/>
      <c r="F25" s="510"/>
      <c r="G25" s="510"/>
      <c r="H25" s="510"/>
      <c r="I25" s="510"/>
      <c r="J25" s="510"/>
      <c r="K25" s="510"/>
      <c r="L25" s="510"/>
      <c r="M25" s="510"/>
      <c r="N25" s="253"/>
      <c r="O25" s="253"/>
      <c r="P25" s="253"/>
      <c r="Q25" s="253"/>
      <c r="R25" s="253"/>
      <c r="S25" s="253"/>
    </row>
    <row r="26" spans="2:19" x14ac:dyDescent="0.35">
      <c r="B26" s="58" t="s">
        <v>240</v>
      </c>
      <c r="C26" s="58">
        <v>0</v>
      </c>
      <c r="D26" s="58">
        <v>1</v>
      </c>
      <c r="E26" s="29">
        <v>2</v>
      </c>
      <c r="F26" s="29">
        <v>3</v>
      </c>
      <c r="G26" s="29">
        <v>4</v>
      </c>
      <c r="H26" s="29">
        <v>5</v>
      </c>
      <c r="I26" s="29">
        <v>6</v>
      </c>
      <c r="J26" s="29">
        <v>7</v>
      </c>
      <c r="K26" s="29">
        <v>8</v>
      </c>
      <c r="L26" s="29">
        <v>9</v>
      </c>
      <c r="M26" s="29">
        <v>10</v>
      </c>
      <c r="N26" s="133"/>
      <c r="O26" s="133"/>
      <c r="P26" s="133"/>
      <c r="Q26" s="133"/>
      <c r="R26" s="133"/>
      <c r="S26" s="133"/>
    </row>
    <row r="27" spans="2:19" x14ac:dyDescent="0.35">
      <c r="B27" s="29" t="s">
        <v>468</v>
      </c>
      <c r="C27" s="307">
        <v>0</v>
      </c>
      <c r="D27" s="260">
        <f>$G$22/1.035^D26</f>
        <v>43289221.418264054</v>
      </c>
      <c r="E27" s="260">
        <f t="shared" ref="E27:K27" si="0">$G$22/1.035^E26</f>
        <v>41825334.703636765</v>
      </c>
      <c r="F27" s="260">
        <f t="shared" si="0"/>
        <v>40410951.404479973</v>
      </c>
      <c r="G27" s="260">
        <f t="shared" si="0"/>
        <v>39044397.49225118</v>
      </c>
      <c r="H27" s="260">
        <f t="shared" si="0"/>
        <v>37724055.548068784</v>
      </c>
      <c r="I27" s="260">
        <f t="shared" si="0"/>
        <v>36448362.848375633</v>
      </c>
      <c r="J27" s="260">
        <f t="shared" si="0"/>
        <v>35215809.515338778</v>
      </c>
      <c r="K27" s="260">
        <f t="shared" si="0"/>
        <v>34024936.729795925</v>
      </c>
      <c r="L27" s="260">
        <f>$G$22/1.035^L26</f>
        <v>32874335.004633751</v>
      </c>
      <c r="M27" s="260">
        <f>$G$22/1.035^M26</f>
        <v>31762642.516554348</v>
      </c>
      <c r="N27" s="251"/>
      <c r="O27" s="251"/>
      <c r="P27" s="251"/>
      <c r="Q27" s="251"/>
      <c r="R27" s="251"/>
      <c r="S27" s="251"/>
    </row>
    <row r="28" spans="2:19" x14ac:dyDescent="0.35">
      <c r="B28" s="58" t="s">
        <v>437</v>
      </c>
      <c r="C28" s="308">
        <v>0</v>
      </c>
      <c r="D28" s="262">
        <f>D27</f>
        <v>43289221.418264054</v>
      </c>
      <c r="E28" s="262">
        <f>D28+E27</f>
        <v>85114556.121900827</v>
      </c>
      <c r="F28" s="262">
        <f t="shared" ref="F28:M28" si="1">E28+F27</f>
        <v>125525507.52638081</v>
      </c>
      <c r="G28" s="262">
        <f t="shared" si="1"/>
        <v>164569905.01863199</v>
      </c>
      <c r="H28" s="262">
        <f t="shared" si="1"/>
        <v>202293960.56670079</v>
      </c>
      <c r="I28" s="262">
        <f t="shared" si="1"/>
        <v>238742323.41507643</v>
      </c>
      <c r="J28" s="262">
        <f t="shared" si="1"/>
        <v>273958132.93041521</v>
      </c>
      <c r="K28" s="262">
        <f t="shared" si="1"/>
        <v>307983069.66021115</v>
      </c>
      <c r="L28" s="262">
        <f t="shared" si="1"/>
        <v>340857404.66484487</v>
      </c>
      <c r="M28" s="262">
        <f t="shared" si="1"/>
        <v>372620047.18139923</v>
      </c>
      <c r="N28" s="252"/>
      <c r="O28" s="252"/>
      <c r="P28" s="252"/>
      <c r="Q28" s="252"/>
      <c r="R28" s="252"/>
      <c r="S28" s="252"/>
    </row>
    <row r="31" spans="2:19" x14ac:dyDescent="0.35">
      <c r="G31" s="54"/>
      <c r="H31" s="156"/>
      <c r="I31" s="58"/>
      <c r="J31" s="58"/>
      <c r="K31" s="58"/>
      <c r="L31" s="399" t="s">
        <v>636</v>
      </c>
      <c r="M31" s="419">
        <f>M28/'1. AVERTED PREGNANCIES'!F58</f>
        <v>1819.6216145772057</v>
      </c>
    </row>
    <row r="32" spans="2:19" x14ac:dyDescent="0.35">
      <c r="G32" s="54"/>
      <c r="H32" s="156"/>
      <c r="I32" s="58"/>
      <c r="J32" s="58"/>
      <c r="K32" s="58"/>
      <c r="L32" s="399" t="s">
        <v>637</v>
      </c>
      <c r="M32" s="419">
        <f>M28/G14</f>
        <v>5054.5044849366832</v>
      </c>
    </row>
  </sheetData>
  <mergeCells count="2">
    <mergeCell ref="H2:I2"/>
    <mergeCell ref="B25:M25"/>
  </mergeCells>
  <hyperlinks>
    <hyperlink ref="K12" r:id="rId1" xr:uid="{00000000-0004-0000-0800-000000000000}"/>
    <hyperlink ref="K5" r:id="rId2" xr:uid="{00000000-0004-0000-0800-000001000000}"/>
    <hyperlink ref="K11" r:id="rId3" xr:uid="{00000000-0004-0000-08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OUTLINE</vt:lpstr>
      <vt:lpstr>1. AVERTED PREGNANCIES</vt:lpstr>
      <vt:lpstr>1.1</vt:lpstr>
      <vt:lpstr>2. COST SAVINGS</vt:lpstr>
      <vt:lpstr>2.1</vt:lpstr>
      <vt:lpstr>2.2</vt:lpstr>
      <vt:lpstr>2.3</vt:lpstr>
      <vt:lpstr>2.4</vt:lpstr>
      <vt:lpstr>2.5</vt:lpstr>
      <vt:lpstr>2.6</vt:lpstr>
      <vt:lpstr>2.7</vt:lpstr>
      <vt:lpstr>2.8</vt:lpstr>
      <vt:lpstr>2.9</vt:lpstr>
      <vt:lpstr>2.10</vt:lpstr>
      <vt:lpstr>Universal Credit</vt:lpstr>
      <vt:lpstr>2.11</vt:lpstr>
      <vt:lpstr>3. PUBLIC SPENDING</vt:lpstr>
      <vt:lpstr>Inflation Index</vt:lpstr>
      <vt:lpstr>Results summary</vt:lpstr>
      <vt:lpstr>Appendix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Wikum Jayatunga</dc:creator>
  <cp:lastModifiedBy>Scott Mahony</cp:lastModifiedBy>
  <dcterms:created xsi:type="dcterms:W3CDTF">2017-12-01T14:06:50Z</dcterms:created>
  <dcterms:modified xsi:type="dcterms:W3CDTF">2018-09-03T13:58:51Z</dcterms:modified>
</cp:coreProperties>
</file>