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14"/>
  <workbookPr defaultThemeVersion="124226"/>
  <mc:AlternateContent xmlns:mc="http://schemas.openxmlformats.org/markup-compatibility/2006">
    <mc:Choice Requires="x15">
      <x15ac:absPath xmlns:x15ac="http://schemas.microsoft.com/office/spreadsheetml/2010/11/ac" url="https://educationgovuk-my.sharepoint.com/personal/richard_daniels_education_gov_uk/Documents/BB101 2018/BB101 and tools for gov uk/Spreadsheet tools/"/>
    </mc:Choice>
  </mc:AlternateContent>
  <xr:revisionPtr revIDLastSave="0" documentId="8_{66B94571-7A18-439F-A2B9-54F100CDF15B}" xr6:coauthVersionLast="36" xr6:coauthVersionMax="36" xr10:uidLastSave="{00000000-0000-0000-0000-000000000000}"/>
  <bookViews>
    <workbookView xWindow="0" yWindow="0" windowWidth="22500" windowHeight="12308" xr2:uid="{00000000-000D-0000-FFFF-FFFF00000000}"/>
  </bookViews>
  <sheets>
    <sheet name="Title and version control" sheetId="4" r:id="rId1"/>
    <sheet name="Calculator" sheetId="2" r:id="rId2"/>
    <sheet name="calcs" sheetId="3" state="hidden" r:id="rId3"/>
  </sheets>
  <calcPr calcId="179020"/>
</workbook>
</file>

<file path=xl/calcChain.xml><?xml version="1.0" encoding="utf-8"?>
<calcChain xmlns="http://schemas.openxmlformats.org/spreadsheetml/2006/main">
  <c r="B44" i="3" l="1"/>
  <c r="B38" i="3"/>
  <c r="B42" i="3"/>
  <c r="B41" i="3"/>
  <c r="B36" i="3"/>
  <c r="C36" i="3"/>
  <c r="D36" i="3"/>
  <c r="E36" i="3"/>
  <c r="F36" i="3"/>
  <c r="G36" i="3"/>
  <c r="H36" i="3"/>
  <c r="I36" i="3"/>
  <c r="J36" i="3"/>
  <c r="K36" i="3"/>
  <c r="L36" i="3"/>
  <c r="M36" i="3"/>
  <c r="N36" i="3"/>
  <c r="O36" i="3"/>
  <c r="P36" i="3"/>
  <c r="Q36" i="3"/>
  <c r="R36" i="3"/>
  <c r="S36" i="3"/>
  <c r="T36" i="3"/>
  <c r="B28" i="3"/>
  <c r="B29" i="3"/>
  <c r="B27" i="3"/>
  <c r="B26" i="3"/>
  <c r="B21" i="3"/>
  <c r="B15" i="3"/>
  <c r="B19" i="3"/>
  <c r="B18" i="3"/>
  <c r="B13" i="3"/>
  <c r="C13" i="3"/>
  <c r="D13" i="3"/>
  <c r="E13" i="3"/>
  <c r="F13" i="3"/>
  <c r="G13" i="3"/>
  <c r="H13" i="3"/>
  <c r="I13" i="3"/>
  <c r="J13" i="3"/>
  <c r="K13" i="3"/>
  <c r="L13" i="3"/>
  <c r="M13" i="3"/>
  <c r="N13" i="3"/>
  <c r="O13" i="3"/>
  <c r="P13" i="3"/>
  <c r="Q13" i="3"/>
  <c r="R13" i="3"/>
  <c r="S13" i="3"/>
  <c r="T13" i="3"/>
  <c r="B5" i="3"/>
  <c r="C5" i="3"/>
  <c r="D5" i="3"/>
  <c r="B4" i="3"/>
  <c r="B3" i="3"/>
  <c r="B6" i="3"/>
  <c r="B7" i="3"/>
  <c r="B8" i="3"/>
  <c r="C28" i="3"/>
  <c r="C29" i="3"/>
  <c r="C30" i="3"/>
  <c r="C6" i="3"/>
  <c r="E5" i="3"/>
  <c r="D6" i="3"/>
  <c r="D7" i="3"/>
  <c r="D8" i="3"/>
  <c r="D10" i="3"/>
  <c r="D28" i="3"/>
  <c r="C7" i="3"/>
  <c r="C8" i="3"/>
  <c r="B30" i="3"/>
  <c r="B31" i="3"/>
  <c r="C31" i="3"/>
  <c r="C33" i="3"/>
  <c r="C34" i="3"/>
  <c r="C35" i="3"/>
  <c r="C10" i="3"/>
  <c r="C11" i="3"/>
  <c r="C12" i="3"/>
  <c r="B33" i="3"/>
  <c r="B34" i="3"/>
  <c r="B35" i="3"/>
  <c r="B10" i="3"/>
  <c r="B11" i="3"/>
  <c r="B12" i="3"/>
  <c r="D11" i="3"/>
  <c r="D12" i="3"/>
  <c r="D29" i="3"/>
  <c r="D30" i="3"/>
  <c r="E28" i="3"/>
  <c r="F5" i="3"/>
  <c r="E6" i="3"/>
  <c r="E7" i="3"/>
  <c r="E8" i="3"/>
  <c r="E10" i="3"/>
  <c r="E11" i="3"/>
  <c r="E12" i="3"/>
  <c r="D31" i="3"/>
  <c r="D33" i="3"/>
  <c r="D34" i="3"/>
  <c r="D35" i="3"/>
  <c r="F6" i="3"/>
  <c r="F7" i="3"/>
  <c r="G5" i="3"/>
  <c r="F28" i="3"/>
  <c r="E29" i="3"/>
  <c r="E30" i="3"/>
  <c r="E31" i="3"/>
  <c r="E33" i="3"/>
  <c r="E34" i="3"/>
  <c r="E35" i="3"/>
  <c r="F8" i="3"/>
  <c r="F10" i="3"/>
  <c r="F11" i="3"/>
  <c r="F12" i="3"/>
  <c r="G6" i="3"/>
  <c r="G7" i="3"/>
  <c r="H5" i="3"/>
  <c r="G28" i="3"/>
  <c r="F29" i="3"/>
  <c r="F30" i="3"/>
  <c r="F31" i="3"/>
  <c r="F33" i="3"/>
  <c r="F34" i="3"/>
  <c r="F35" i="3"/>
  <c r="G8" i="3"/>
  <c r="G10" i="3"/>
  <c r="G11" i="3"/>
  <c r="G12" i="3"/>
  <c r="I5" i="3"/>
  <c r="H6" i="3"/>
  <c r="H7" i="3"/>
  <c r="G29" i="3"/>
  <c r="G30" i="3"/>
  <c r="H28" i="3"/>
  <c r="H8" i="3"/>
  <c r="H10" i="3"/>
  <c r="H11" i="3"/>
  <c r="H12" i="3"/>
  <c r="G31" i="3"/>
  <c r="G33" i="3"/>
  <c r="G34" i="3"/>
  <c r="G35" i="3"/>
  <c r="J5" i="3"/>
  <c r="I6" i="3"/>
  <c r="I7" i="3"/>
  <c r="H29" i="3"/>
  <c r="H30" i="3"/>
  <c r="I28" i="3"/>
  <c r="H31" i="3"/>
  <c r="H33" i="3"/>
  <c r="H34" i="3"/>
  <c r="H35" i="3"/>
  <c r="I8" i="3"/>
  <c r="I10" i="3"/>
  <c r="I11" i="3"/>
  <c r="I12" i="3"/>
  <c r="J6" i="3"/>
  <c r="J7" i="3"/>
  <c r="K5" i="3"/>
  <c r="J28" i="3"/>
  <c r="I29" i="3"/>
  <c r="I30" i="3"/>
  <c r="I31" i="3"/>
  <c r="I33" i="3"/>
  <c r="I34" i="3"/>
  <c r="I35" i="3"/>
  <c r="J8" i="3"/>
  <c r="J10" i="3"/>
  <c r="J11" i="3"/>
  <c r="J12" i="3"/>
  <c r="J29" i="3"/>
  <c r="J30" i="3"/>
  <c r="K28" i="3"/>
  <c r="K6" i="3"/>
  <c r="K7" i="3"/>
  <c r="L5" i="3"/>
  <c r="K8" i="3"/>
  <c r="K10" i="3"/>
  <c r="K11" i="3"/>
  <c r="K12" i="3"/>
  <c r="J31" i="3"/>
  <c r="J33" i="3"/>
  <c r="J34" i="3"/>
  <c r="J35" i="3"/>
  <c r="K29" i="3"/>
  <c r="K30" i="3"/>
  <c r="L28" i="3"/>
  <c r="M5" i="3"/>
  <c r="L6" i="3"/>
  <c r="L7" i="3"/>
  <c r="L8" i="3"/>
  <c r="L10" i="3"/>
  <c r="L11" i="3"/>
  <c r="L12" i="3"/>
  <c r="K31" i="3"/>
  <c r="K33" i="3"/>
  <c r="K34" i="3"/>
  <c r="K35" i="3"/>
  <c r="N5" i="3"/>
  <c r="M6" i="3"/>
  <c r="M7" i="3"/>
  <c r="M28" i="3"/>
  <c r="L29" i="3"/>
  <c r="L30" i="3"/>
  <c r="L31" i="3"/>
  <c r="L33" i="3"/>
  <c r="L34" i="3"/>
  <c r="L35" i="3"/>
  <c r="M8" i="3"/>
  <c r="M10" i="3"/>
  <c r="M11" i="3"/>
  <c r="M12" i="3"/>
  <c r="N28" i="3"/>
  <c r="M29" i="3"/>
  <c r="M30" i="3"/>
  <c r="N6" i="3"/>
  <c r="N7" i="3"/>
  <c r="O5" i="3"/>
  <c r="M31" i="3"/>
  <c r="M33" i="3"/>
  <c r="M34" i="3"/>
  <c r="M35" i="3"/>
  <c r="N8" i="3"/>
  <c r="N10" i="3"/>
  <c r="N11" i="3"/>
  <c r="N12" i="3"/>
  <c r="O6" i="3"/>
  <c r="O7" i="3"/>
  <c r="P5" i="3"/>
  <c r="O28" i="3"/>
  <c r="N29" i="3"/>
  <c r="N30" i="3"/>
  <c r="O8" i="3"/>
  <c r="O10" i="3"/>
  <c r="O11" i="3"/>
  <c r="O12" i="3"/>
  <c r="N31" i="3"/>
  <c r="N33" i="3"/>
  <c r="N34" i="3"/>
  <c r="N35" i="3"/>
  <c r="Q5" i="3"/>
  <c r="P6" i="3"/>
  <c r="P7" i="3"/>
  <c r="O29" i="3"/>
  <c r="O30" i="3"/>
  <c r="P28" i="3"/>
  <c r="O31" i="3"/>
  <c r="O33" i="3"/>
  <c r="O34" i="3"/>
  <c r="O35" i="3"/>
  <c r="P8" i="3"/>
  <c r="P10" i="3"/>
  <c r="P11" i="3"/>
  <c r="P12" i="3"/>
  <c r="P29" i="3"/>
  <c r="P30" i="3"/>
  <c r="Q28" i="3"/>
  <c r="R5" i="3"/>
  <c r="Q6" i="3"/>
  <c r="Q7" i="3"/>
  <c r="P31" i="3"/>
  <c r="P33" i="3"/>
  <c r="P34" i="3"/>
  <c r="P35" i="3"/>
  <c r="Q8" i="3"/>
  <c r="Q10" i="3"/>
  <c r="Q11" i="3"/>
  <c r="Q12" i="3"/>
  <c r="R6" i="3"/>
  <c r="R7" i="3"/>
  <c r="S5" i="3"/>
  <c r="R28" i="3"/>
  <c r="Q29" i="3"/>
  <c r="Q30" i="3"/>
  <c r="Q31" i="3"/>
  <c r="Q33" i="3"/>
  <c r="Q34" i="3"/>
  <c r="Q35" i="3"/>
  <c r="R8" i="3"/>
  <c r="R10" i="3"/>
  <c r="R11" i="3"/>
  <c r="R12" i="3"/>
  <c r="T5" i="3"/>
  <c r="T6" i="3"/>
  <c r="T7" i="3"/>
  <c r="S6" i="3"/>
  <c r="S7" i="3"/>
  <c r="R29" i="3"/>
  <c r="R30" i="3"/>
  <c r="S28" i="3"/>
  <c r="R31" i="3"/>
  <c r="R33" i="3"/>
  <c r="R34" i="3"/>
  <c r="R35" i="3"/>
  <c r="S8" i="3"/>
  <c r="S10" i="3"/>
  <c r="S11" i="3"/>
  <c r="S12" i="3"/>
  <c r="T8" i="3"/>
  <c r="T10" i="3"/>
  <c r="T11" i="3"/>
  <c r="T12" i="3"/>
  <c r="S29" i="3"/>
  <c r="S30" i="3"/>
  <c r="T28" i="3"/>
  <c r="T29" i="3"/>
  <c r="T30" i="3"/>
  <c r="T31" i="3"/>
  <c r="T33" i="3"/>
  <c r="T34" i="3"/>
  <c r="T35" i="3"/>
  <c r="S31" i="3"/>
  <c r="S33" i="3"/>
  <c r="S34" i="3"/>
  <c r="S35" i="3"/>
</calcChain>
</file>

<file path=xl/sharedStrings.xml><?xml version="1.0" encoding="utf-8"?>
<sst xmlns="http://schemas.openxmlformats.org/spreadsheetml/2006/main" count="83" uniqueCount="57">
  <si>
    <t xml:space="preserve">Window and damper draught 
- line plume - 
calculator  </t>
  </si>
  <si>
    <t>March 2018</t>
  </si>
  <si>
    <t>DOCUMENT PROPERTIES</t>
  </si>
  <si>
    <t>Organisation</t>
  </si>
  <si>
    <t>Education &amp; Skills Funding Agency</t>
  </si>
  <si>
    <t>Name of Document</t>
  </si>
  <si>
    <t>Calculator for window and damper draught</t>
  </si>
  <si>
    <t>for use in conjunction with BB101 and the ESFA Output Specification: Annex 2F</t>
  </si>
  <si>
    <t>Contents</t>
  </si>
  <si>
    <t>Calculator for window and damper draught - line plume - calculator</t>
  </si>
  <si>
    <t>DOCUMENT VERSION CONTROL</t>
  </si>
  <si>
    <t>Version</t>
  </si>
  <si>
    <r>
      <t xml:space="preserve">Comments and Amendments </t>
    </r>
    <r>
      <rPr>
        <i/>
        <sz val="12"/>
        <color rgb="FF000000"/>
        <rFont val="Arial"/>
        <family val="2"/>
      </rPr>
      <t>(details to be included where relevant)</t>
    </r>
  </si>
  <si>
    <t>Author/ Reviewer</t>
  </si>
  <si>
    <t>Date</t>
  </si>
  <si>
    <t>Approved by</t>
  </si>
  <si>
    <t xml:space="preserve">Date approved </t>
  </si>
  <si>
    <t>Version published by ESFA with BB101 2018</t>
  </si>
  <si>
    <t>Richard Daniels</t>
  </si>
  <si>
    <t>Crawford Wright</t>
  </si>
  <si>
    <t>Notes on use of calculator</t>
  </si>
  <si>
    <t>The following excel spreadsheet shows how the temperature of an incoming stream of cold air through a high level window or damper into a warm room increases as the turbulent plume falls under gravity and entrains warm room air. It is to help in the assessment of the most appropriate openings for wintertime ventilation.</t>
  </si>
  <si>
    <t>Acknowledgements</t>
  </si>
  <si>
    <t xml:space="preserve">This spreadsheet tool was developed by Dr Shaun Fitzgerald of Breathing Buildings and the Department of Engineering at the University of Cambridge. </t>
  </si>
  <si>
    <t>ESFA would also like to thank Prof Malcolm Cook (Loughborough University) and Prof Colm Caulfield (University of Cambridge) for their contributions on modelling.</t>
  </si>
  <si>
    <t>Distance to reach fully turbulent flow</t>
  </si>
  <si>
    <t>m</t>
  </si>
  <si>
    <t>set this to be zero if you want to allow entrainment to start as soon as air enters the room - this is the most optimistic assumption possible for a window</t>
  </si>
  <si>
    <t>Width of opening window/damper</t>
  </si>
  <si>
    <t>Average temperature of classroom</t>
  </si>
  <si>
    <t>C</t>
  </si>
  <si>
    <t>Height from floor to top of opening window/damper</t>
  </si>
  <si>
    <t>Vertical extent of opening high level window/damper</t>
  </si>
  <si>
    <t>High level opening type</t>
  </si>
  <si>
    <t>Top hung window</t>
  </si>
  <si>
    <t>Number of occupants</t>
  </si>
  <si>
    <t>Minimum fresh air rate per person</t>
  </si>
  <si>
    <t>l/s</t>
  </si>
  <si>
    <t>SECONDARY SCHOOLS</t>
  </si>
  <si>
    <t>alpha T</t>
  </si>
  <si>
    <t>(standard value would be 0.102 but following discussion with Malcolm Cook in Dec 2016, and subsequent discussions with Paul Linden, Malcolm Cook, Henry Burridge, David Parker, Colm-cille Caulfield, Owen Connick and Shaun Fitzgerald in Mar 2018 it was agreed this should be reduced to 0.08)</t>
  </si>
  <si>
    <t>(not used)</t>
  </si>
  <si>
    <t>Vl source</t>
  </si>
  <si>
    <t>cu m/s/m</t>
  </si>
  <si>
    <t>Text</t>
  </si>
  <si>
    <t>g prime source</t>
  </si>
  <si>
    <t>Bo</t>
  </si>
  <si>
    <t>h virtual origin</t>
  </si>
  <si>
    <t>g prime floor</t>
  </si>
  <si>
    <t>delT</t>
  </si>
  <si>
    <t>T head</t>
  </si>
  <si>
    <t>Min allowed C</t>
  </si>
  <si>
    <t>Height from entry point of cold air to critical point</t>
  </si>
  <si>
    <t>Bottom hung hopper window</t>
  </si>
  <si>
    <t>Damper</t>
  </si>
  <si>
    <t>Distance added</t>
  </si>
  <si>
    <t>PRIMARY SCHOOLS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</si>
</sst>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sz val="10"/>
      <name val="Arial"/>
      <family val="2"/>
    </font>
    <font>
      <sz val="11"/>
      <name val="Arial"/>
      <family val="2"/>
    </font>
    <font>
      <b/>
      <sz val="12"/>
      <color rgb="FF000000"/>
      <name val="Arial"/>
      <family val="2"/>
    </font>
    <font>
      <i/>
      <sz val="12"/>
      <color rgb="FF000000"/>
      <name val="Arial"/>
      <family val="2"/>
    </font>
    <font>
      <sz val="12"/>
      <color rgb="FF000000"/>
      <name val="Arial"/>
      <family val="2"/>
    </font>
    <font>
      <sz val="12"/>
      <name val="Arial"/>
      <family val="2"/>
    </font>
    <font>
      <i/>
      <sz val="10"/>
      <color rgb="FFFF0000"/>
      <name val="Arial"/>
      <family val="2"/>
    </font>
    <font>
      <b/>
      <sz val="11"/>
      <name val="Arial"/>
      <family val="2"/>
    </font>
    <font>
      <sz val="11"/>
      <color rgb="FF000000"/>
      <name val="Arial"/>
      <family val="2"/>
    </font>
    <font>
      <sz val="11"/>
      <color rgb="FF000000"/>
      <name val="Calibri"/>
      <family val="2"/>
    </font>
    <font>
      <sz val="24"/>
      <color rgb="FF000000"/>
      <name val="Arial"/>
      <family val="2"/>
    </font>
    <font>
      <sz val="22"/>
      <color rgb="FF000000"/>
      <name val="Arial"/>
      <family val="2"/>
    </font>
    <font>
      <i/>
      <sz val="11"/>
      <color rgb="FFFF0000"/>
      <name val="Calibri"/>
      <family val="2"/>
    </font>
    <font>
      <b/>
      <sz val="11"/>
      <color rgb="FF000000"/>
      <name val="Arial"/>
      <family val="2"/>
    </font>
    <font>
      <b/>
      <sz val="20"/>
      <color rgb="FF000000"/>
      <name val="Arial"/>
      <family val="2"/>
    </font>
  </fonts>
  <fills count="8">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9"/>
        <bgColor indexed="64"/>
      </patternFill>
    </fill>
    <fill>
      <patternFill patternType="solid">
        <fgColor rgb="FFFFC000"/>
        <bgColor indexed="64"/>
      </patternFill>
    </fill>
    <fill>
      <patternFill patternType="solid">
        <fgColor rgb="FFD9D9D9"/>
        <bgColor rgb="FF000000"/>
      </patternFill>
    </fill>
    <fill>
      <patternFill patternType="solid">
        <fgColor rgb="FFF2F2F2"/>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4" fillId="0" borderId="0"/>
  </cellStyleXfs>
  <cellXfs count="44">
    <xf numFmtId="0" fontId="0" fillId="0" borderId="0" xfId="0"/>
    <xf numFmtId="0" fontId="0" fillId="2" borderId="0" xfId="0" applyFill="1"/>
    <xf numFmtId="0" fontId="0" fillId="3" borderId="0" xfId="0" applyFill="1"/>
    <xf numFmtId="0" fontId="0" fillId="4" borderId="0" xfId="0" applyFill="1"/>
    <xf numFmtId="0" fontId="1" fillId="0" borderId="0" xfId="0" applyFont="1"/>
    <xf numFmtId="0" fontId="0" fillId="5" borderId="0" xfId="0" applyFill="1"/>
    <xf numFmtId="0" fontId="0" fillId="0" borderId="0" xfId="0" applyAlignment="1">
      <alignment wrapText="1"/>
    </xf>
    <xf numFmtId="0" fontId="0" fillId="2" borderId="0" xfId="0" applyFill="1" applyProtection="1">
      <protection locked="0"/>
    </xf>
    <xf numFmtId="0" fontId="2" fillId="0" borderId="0" xfId="0" applyFont="1"/>
    <xf numFmtId="0" fontId="13" fillId="0" borderId="0" xfId="1" applyFont="1"/>
    <xf numFmtId="164" fontId="13" fillId="0" borderId="0" xfId="1" applyNumberFormat="1" applyFont="1"/>
    <xf numFmtId="0" fontId="4" fillId="0" borderId="0" xfId="2"/>
    <xf numFmtId="0" fontId="5" fillId="0" borderId="0" xfId="2" applyFont="1" applyAlignment="1">
      <alignment vertical="top" wrapText="1"/>
    </xf>
    <xf numFmtId="0" fontId="13" fillId="0" borderId="0" xfId="1" applyFont="1" applyAlignment="1">
      <alignment vertical="center"/>
    </xf>
    <xf numFmtId="0" fontId="8" fillId="0" borderId="0" xfId="1" applyFont="1"/>
    <xf numFmtId="0" fontId="6" fillId="7" borderId="1" xfId="2" applyFont="1" applyFill="1" applyBorder="1" applyAlignment="1">
      <alignment horizontal="center" vertical="center" wrapText="1"/>
    </xf>
    <xf numFmtId="164" fontId="9" fillId="0" borderId="1" xfId="2" applyNumberFormat="1" applyFont="1" applyBorder="1" applyAlignment="1">
      <alignment horizontal="center" vertical="center" wrapText="1"/>
    </xf>
    <xf numFmtId="0" fontId="9" fillId="0" borderId="1" xfId="2" applyFont="1" applyBorder="1" applyAlignment="1">
      <alignment horizontal="center" vertical="center" wrapText="1"/>
    </xf>
    <xf numFmtId="14" fontId="9" fillId="0" borderId="1" xfId="2" applyNumberFormat="1" applyFont="1" applyBorder="1" applyAlignment="1">
      <alignment horizontal="center" vertical="center" wrapText="1"/>
    </xf>
    <xf numFmtId="0" fontId="16" fillId="0" borderId="0" xfId="1" applyFont="1"/>
    <xf numFmtId="164" fontId="10" fillId="0" borderId="0" xfId="1" applyNumberFormat="1" applyFont="1" applyAlignment="1">
      <alignment vertical="center"/>
    </xf>
    <xf numFmtId="0" fontId="11" fillId="0" borderId="0" xfId="2" applyFont="1" applyAlignment="1">
      <alignment horizontal="left" vertical="top"/>
    </xf>
    <xf numFmtId="0" fontId="13" fillId="0" borderId="0" xfId="1" applyFont="1" applyAlignment="1">
      <alignment vertical="top"/>
    </xf>
    <xf numFmtId="164" fontId="17" fillId="0" borderId="0" xfId="1" applyNumberFormat="1" applyFont="1"/>
    <xf numFmtId="164" fontId="12" fillId="0" borderId="0" xfId="1" applyNumberFormat="1" applyFont="1"/>
    <xf numFmtId="0" fontId="12" fillId="0" borderId="0" xfId="0" applyFont="1"/>
    <xf numFmtId="164" fontId="14" fillId="0" borderId="0" xfId="1" applyNumberFormat="1" applyFont="1" applyAlignment="1">
      <alignment horizontal="center" vertical="center"/>
    </xf>
    <xf numFmtId="164" fontId="18" fillId="0" borderId="0" xfId="1" applyNumberFormat="1" applyFont="1" applyAlignment="1">
      <alignment horizontal="center" vertical="center" wrapText="1"/>
    </xf>
    <xf numFmtId="49" fontId="15" fillId="0" borderId="0" xfId="1" applyNumberFormat="1" applyFont="1" applyAlignment="1">
      <alignment horizontal="center" vertical="center"/>
    </xf>
    <xf numFmtId="0" fontId="6" fillId="6" borderId="1" xfId="2" applyFont="1" applyFill="1" applyBorder="1" applyAlignment="1">
      <alignment horizontal="center" vertical="center" wrapText="1"/>
    </xf>
    <xf numFmtId="0" fontId="6" fillId="7" borderId="1" xfId="2" applyFont="1" applyFill="1" applyBorder="1" applyAlignment="1">
      <alignment horizontal="left" vertical="center" wrapText="1"/>
    </xf>
    <xf numFmtId="0" fontId="6" fillId="7" borderId="1" xfId="2" applyFont="1" applyFill="1" applyBorder="1" applyAlignment="1">
      <alignment vertical="center" wrapText="1"/>
    </xf>
    <xf numFmtId="0" fontId="5" fillId="0" borderId="0" xfId="2" applyFont="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6" fillId="0" borderId="1" xfId="2" applyFont="1" applyBorder="1" applyAlignment="1">
      <alignment horizontal="left" vertical="center" wrapText="1"/>
    </xf>
    <xf numFmtId="0" fontId="6" fillId="0" borderId="1" xfId="2" applyFont="1" applyBorder="1" applyAlignment="1">
      <alignment vertical="center" wrapText="1"/>
    </xf>
    <xf numFmtId="0" fontId="7" fillId="0" borderId="1" xfId="2" applyFont="1" applyBorder="1" applyAlignment="1">
      <alignment vertical="center" wrapText="1"/>
    </xf>
    <xf numFmtId="0" fontId="8" fillId="0" borderId="1" xfId="2" applyFont="1" applyBorder="1" applyAlignment="1">
      <alignment vertical="center" wrapText="1"/>
    </xf>
    <xf numFmtId="0" fontId="9" fillId="0" borderId="1" xfId="2" applyFont="1" applyBorder="1" applyAlignment="1">
      <alignment horizontal="center" vertical="center" wrapText="1"/>
    </xf>
    <xf numFmtId="0" fontId="8" fillId="0" borderId="0" xfId="2" applyFont="1" applyAlignment="1">
      <alignment vertical="center"/>
    </xf>
    <xf numFmtId="0" fontId="6" fillId="7" borderId="1" xfId="2" applyFont="1" applyFill="1" applyBorder="1" applyAlignment="1">
      <alignment horizontal="center" vertical="center" wrapText="1"/>
    </xf>
    <xf numFmtId="0" fontId="8" fillId="0" borderId="0" xfId="2" applyFont="1" applyAlignment="1"/>
    <xf numFmtId="0" fontId="0" fillId="0" borderId="0" xfId="0" applyAlignment="1"/>
  </cellXfs>
  <cellStyles count="3">
    <cellStyle name="Normal" xfId="0" builtinId="0"/>
    <cellStyle name="Normal 16" xfId="2" xr:uid="{00000000-0005-0000-0000-000001000000}"/>
    <cellStyle name="Normal 8 8"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3"/>
          <c:order val="0"/>
          <c:tx>
            <c:v>Temperature 1.4m from floor</c:v>
          </c:tx>
          <c:spPr>
            <a:ln>
              <a:solidFill>
                <a:srgbClr val="00B0F0"/>
              </a:solidFill>
            </a:ln>
          </c:spPr>
          <c:marker>
            <c:symbol val="none"/>
          </c:marker>
          <c:xVal>
            <c:numRef>
              <c:f>calcs!$B$5:$T$5</c:f>
              <c:numCache>
                <c:formatCode>General</c:formatCode>
                <c:ptCount val="19"/>
                <c:pt idx="0">
                  <c:v>15</c:v>
                </c:pt>
                <c:pt idx="1">
                  <c:v>14</c:v>
                </c:pt>
                <c:pt idx="2">
                  <c:v>13</c:v>
                </c:pt>
                <c:pt idx="3">
                  <c:v>12</c:v>
                </c:pt>
                <c:pt idx="4">
                  <c:v>11</c:v>
                </c:pt>
                <c:pt idx="5">
                  <c:v>10</c:v>
                </c:pt>
                <c:pt idx="6">
                  <c:v>9</c:v>
                </c:pt>
                <c:pt idx="7">
                  <c:v>8</c:v>
                </c:pt>
                <c:pt idx="8">
                  <c:v>7</c:v>
                </c:pt>
                <c:pt idx="9">
                  <c:v>6</c:v>
                </c:pt>
                <c:pt idx="10">
                  <c:v>5</c:v>
                </c:pt>
                <c:pt idx="11">
                  <c:v>4</c:v>
                </c:pt>
                <c:pt idx="12">
                  <c:v>3</c:v>
                </c:pt>
                <c:pt idx="13">
                  <c:v>2</c:v>
                </c:pt>
                <c:pt idx="14">
                  <c:v>1</c:v>
                </c:pt>
                <c:pt idx="15">
                  <c:v>0</c:v>
                </c:pt>
                <c:pt idx="16">
                  <c:v>-1</c:v>
                </c:pt>
                <c:pt idx="17">
                  <c:v>-2</c:v>
                </c:pt>
                <c:pt idx="18">
                  <c:v>-3</c:v>
                </c:pt>
              </c:numCache>
            </c:numRef>
          </c:xVal>
          <c:yVal>
            <c:numRef>
              <c:f>calcs!$B$12:$T$12</c:f>
              <c:numCache>
                <c:formatCode>General</c:formatCode>
                <c:ptCount val="19"/>
                <c:pt idx="0">
                  <c:v>17.76304043185679</c:v>
                </c:pt>
                <c:pt idx="1">
                  <c:v>17.313443473367521</c:v>
                </c:pt>
                <c:pt idx="2">
                  <c:v>16.876000275396954</c:v>
                </c:pt>
                <c:pt idx="3">
                  <c:v>16.449123552211603</c:v>
                </c:pt>
                <c:pt idx="4">
                  <c:v>16.03157948872132</c:v>
                </c:pt>
                <c:pt idx="5">
                  <c:v>15.622382043212554</c:v>
                </c:pt>
                <c:pt idx="6">
                  <c:v>15.220725562256341</c:v>
                </c:pt>
                <c:pt idx="7">
                  <c:v>14.825939778158848</c:v>
                </c:pt>
                <c:pt idx="8">
                  <c:v>14.437458604763144</c:v>
                </c:pt>
                <c:pt idx="9">
                  <c:v>14.054797819475462</c:v>
                </c:pt>
                <c:pt idx="10">
                  <c:v>13.677538679380259</c:v>
                </c:pt>
                <c:pt idx="11">
                  <c:v>13.305315623220316</c:v>
                </c:pt>
                <c:pt idx="12">
                  <c:v>12.937806861358842</c:v>
                </c:pt>
                <c:pt idx="13">
                  <c:v>12.574727053899409</c:v>
                </c:pt>
                <c:pt idx="14">
                  <c:v>12.215821528940252</c:v>
                </c:pt>
                <c:pt idx="15">
                  <c:v>11.860861656855814</c:v>
                </c:pt>
                <c:pt idx="16">
                  <c:v>11.509641105931484</c:v>
                </c:pt>
                <c:pt idx="17">
                  <c:v>11.161972779388218</c:v>
                </c:pt>
                <c:pt idx="18">
                  <c:v>10.817686285869527</c:v>
                </c:pt>
              </c:numCache>
            </c:numRef>
          </c:yVal>
          <c:smooth val="1"/>
          <c:extLst>
            <c:ext xmlns:c16="http://schemas.microsoft.com/office/drawing/2014/chart" uri="{C3380CC4-5D6E-409C-BE32-E72D297353CC}">
              <c16:uniqueId val="{00000000-C273-410D-8B6A-33224C71247C}"/>
            </c:ext>
          </c:extLst>
        </c:ser>
        <c:ser>
          <c:idx val="1"/>
          <c:order val="1"/>
          <c:tx>
            <c:v>Temperature 1.1m from floor</c:v>
          </c:tx>
          <c:spPr>
            <a:ln cmpd="sng">
              <a:solidFill>
                <a:schemeClr val="tx2"/>
              </a:solidFill>
            </a:ln>
          </c:spPr>
          <c:marker>
            <c:symbol val="none"/>
          </c:marker>
          <c:xVal>
            <c:numRef>
              <c:f>calcs!$B$28:$T$28</c:f>
              <c:numCache>
                <c:formatCode>General</c:formatCode>
                <c:ptCount val="19"/>
                <c:pt idx="0">
                  <c:v>15</c:v>
                </c:pt>
                <c:pt idx="1">
                  <c:v>14</c:v>
                </c:pt>
                <c:pt idx="2">
                  <c:v>13</c:v>
                </c:pt>
                <c:pt idx="3">
                  <c:v>12</c:v>
                </c:pt>
                <c:pt idx="4">
                  <c:v>11</c:v>
                </c:pt>
                <c:pt idx="5">
                  <c:v>10</c:v>
                </c:pt>
                <c:pt idx="6">
                  <c:v>9</c:v>
                </c:pt>
                <c:pt idx="7">
                  <c:v>8</c:v>
                </c:pt>
                <c:pt idx="8">
                  <c:v>7</c:v>
                </c:pt>
                <c:pt idx="9">
                  <c:v>6</c:v>
                </c:pt>
                <c:pt idx="10">
                  <c:v>5</c:v>
                </c:pt>
                <c:pt idx="11">
                  <c:v>4</c:v>
                </c:pt>
                <c:pt idx="12">
                  <c:v>3</c:v>
                </c:pt>
                <c:pt idx="13">
                  <c:v>2</c:v>
                </c:pt>
                <c:pt idx="14">
                  <c:v>1</c:v>
                </c:pt>
                <c:pt idx="15">
                  <c:v>0</c:v>
                </c:pt>
                <c:pt idx="16">
                  <c:v>-1</c:v>
                </c:pt>
                <c:pt idx="17">
                  <c:v>-2</c:v>
                </c:pt>
                <c:pt idx="18">
                  <c:v>-3</c:v>
                </c:pt>
              </c:numCache>
            </c:numRef>
          </c:xVal>
          <c:yVal>
            <c:numRef>
              <c:f>calcs!$B$35:$T$35</c:f>
              <c:numCache>
                <c:formatCode>General</c:formatCode>
                <c:ptCount val="19"/>
                <c:pt idx="0">
                  <c:v>18.24099178036586</c:v>
                </c:pt>
                <c:pt idx="1">
                  <c:v>17.87056402006203</c:v>
                </c:pt>
                <c:pt idx="2">
                  <c:v>17.511553075873913</c:v>
                </c:pt>
                <c:pt idx="3">
                  <c:v>17.162394539392036</c:v>
                </c:pt>
                <c:pt idx="4">
                  <c:v>16.821881796745384</c:v>
                </c:pt>
                <c:pt idx="5">
                  <c:v>16.489057136917705</c:v>
                </c:pt>
                <c:pt idx="6">
                  <c:v>16.163142837605974</c:v>
                </c:pt>
                <c:pt idx="7">
                  <c:v>15.843495442428964</c:v>
                </c:pt>
                <c:pt idx="8">
                  <c:v>15.52957424485195</c:v>
                </c:pt>
                <c:pt idx="9">
                  <c:v>15.220918868875604</c:v>
                </c:pt>
                <c:pt idx="10">
                  <c:v>14.917132892505135</c:v>
                </c:pt>
                <c:pt idx="11">
                  <c:v>14.617871611760293</c:v>
                </c:pt>
                <c:pt idx="12">
                  <c:v>14.322832718148977</c:v>
                </c:pt>
                <c:pt idx="13">
                  <c:v>14.031749073882809</c:v>
                </c:pt>
                <c:pt idx="14">
                  <c:v>13.744383028211629</c:v>
                </c:pt>
                <c:pt idx="15">
                  <c:v>13.460521886245578</c:v>
                </c:pt>
                <c:pt idx="16">
                  <c:v>13.179974253364247</c:v>
                </c:pt>
                <c:pt idx="17">
                  <c:v>12.902567054320849</c:v>
                </c:pt>
                <c:pt idx="18">
                  <c:v>12.628143078910364</c:v>
                </c:pt>
              </c:numCache>
            </c:numRef>
          </c:yVal>
          <c:smooth val="1"/>
          <c:extLst>
            <c:ext xmlns:c16="http://schemas.microsoft.com/office/drawing/2014/chart" uri="{C3380CC4-5D6E-409C-BE32-E72D297353CC}">
              <c16:uniqueId val="{00000004-C5A3-4217-A210-B80AF792985C}"/>
            </c:ext>
          </c:extLst>
        </c:ser>
        <c:ser>
          <c:idx val="0"/>
          <c:order val="2"/>
          <c:tx>
            <c:v>Minimum temperature allowed</c:v>
          </c:tx>
          <c:spPr>
            <a:ln w="28575">
              <a:solidFill>
                <a:srgbClr val="FF0000"/>
              </a:solidFill>
            </a:ln>
          </c:spPr>
          <c:marker>
            <c:symbol val="none"/>
          </c:marker>
          <c:xVal>
            <c:numRef>
              <c:f>calcs!$B$5:$T$5</c:f>
              <c:numCache>
                <c:formatCode>General</c:formatCode>
                <c:ptCount val="19"/>
                <c:pt idx="0">
                  <c:v>15</c:v>
                </c:pt>
                <c:pt idx="1">
                  <c:v>14</c:v>
                </c:pt>
                <c:pt idx="2">
                  <c:v>13</c:v>
                </c:pt>
                <c:pt idx="3">
                  <c:v>12</c:v>
                </c:pt>
                <c:pt idx="4">
                  <c:v>11</c:v>
                </c:pt>
                <c:pt idx="5">
                  <c:v>10</c:v>
                </c:pt>
                <c:pt idx="6">
                  <c:v>9</c:v>
                </c:pt>
                <c:pt idx="7">
                  <c:v>8</c:v>
                </c:pt>
                <c:pt idx="8">
                  <c:v>7</c:v>
                </c:pt>
                <c:pt idx="9">
                  <c:v>6</c:v>
                </c:pt>
                <c:pt idx="10">
                  <c:v>5</c:v>
                </c:pt>
                <c:pt idx="11">
                  <c:v>4</c:v>
                </c:pt>
                <c:pt idx="12">
                  <c:v>3</c:v>
                </c:pt>
                <c:pt idx="13">
                  <c:v>2</c:v>
                </c:pt>
                <c:pt idx="14">
                  <c:v>1</c:v>
                </c:pt>
                <c:pt idx="15">
                  <c:v>0</c:v>
                </c:pt>
                <c:pt idx="16">
                  <c:v>-1</c:v>
                </c:pt>
                <c:pt idx="17">
                  <c:v>-2</c:v>
                </c:pt>
                <c:pt idx="18">
                  <c:v>-3</c:v>
                </c:pt>
              </c:numCache>
            </c:numRef>
          </c:xVal>
          <c:yVal>
            <c:numRef>
              <c:f>calcs!$B$13:$T$13</c:f>
              <c:numCache>
                <c:formatCode>General</c:formatCode>
                <c:ptCount val="19"/>
                <c:pt idx="0">
                  <c:v>16</c:v>
                </c:pt>
                <c:pt idx="1">
                  <c:v>16</c:v>
                </c:pt>
                <c:pt idx="2">
                  <c:v>16</c:v>
                </c:pt>
                <c:pt idx="3">
                  <c:v>16</c:v>
                </c:pt>
                <c:pt idx="4">
                  <c:v>16</c:v>
                </c:pt>
                <c:pt idx="5">
                  <c:v>16</c:v>
                </c:pt>
                <c:pt idx="6">
                  <c:v>16</c:v>
                </c:pt>
                <c:pt idx="7">
                  <c:v>16</c:v>
                </c:pt>
                <c:pt idx="8">
                  <c:v>16</c:v>
                </c:pt>
                <c:pt idx="9">
                  <c:v>16</c:v>
                </c:pt>
                <c:pt idx="10">
                  <c:v>16</c:v>
                </c:pt>
                <c:pt idx="11">
                  <c:v>16</c:v>
                </c:pt>
                <c:pt idx="12">
                  <c:v>16</c:v>
                </c:pt>
                <c:pt idx="13">
                  <c:v>16</c:v>
                </c:pt>
                <c:pt idx="14">
                  <c:v>16</c:v>
                </c:pt>
                <c:pt idx="15">
                  <c:v>16</c:v>
                </c:pt>
                <c:pt idx="16">
                  <c:v>16</c:v>
                </c:pt>
                <c:pt idx="17">
                  <c:v>16</c:v>
                </c:pt>
                <c:pt idx="18">
                  <c:v>16</c:v>
                </c:pt>
              </c:numCache>
            </c:numRef>
          </c:yVal>
          <c:smooth val="1"/>
          <c:extLst>
            <c:ext xmlns:c16="http://schemas.microsoft.com/office/drawing/2014/chart" uri="{C3380CC4-5D6E-409C-BE32-E72D297353CC}">
              <c16:uniqueId val="{00000001-C273-410D-8B6A-33224C71247C}"/>
            </c:ext>
          </c:extLst>
        </c:ser>
        <c:dLbls>
          <c:showLegendKey val="0"/>
          <c:showVal val="0"/>
          <c:showCatName val="0"/>
          <c:showSerName val="0"/>
          <c:showPercent val="0"/>
          <c:showBubbleSize val="0"/>
        </c:dLbls>
        <c:axId val="75920128"/>
        <c:axId val="75922048"/>
      </c:scatterChart>
      <c:valAx>
        <c:axId val="75920128"/>
        <c:scaling>
          <c:orientation val="minMax"/>
          <c:min val="-3"/>
        </c:scaling>
        <c:delete val="0"/>
        <c:axPos val="b"/>
        <c:title>
          <c:tx>
            <c:rich>
              <a:bodyPr/>
              <a:lstStyle/>
              <a:p>
                <a:pPr>
                  <a:defRPr/>
                </a:pPr>
                <a:r>
                  <a:rPr lang="en-US"/>
                  <a:t>External Temperature (C)</a:t>
                </a:r>
                <a:r>
                  <a:rPr lang="en-US" baseline="0"/>
                  <a:t> </a:t>
                </a:r>
                <a:endParaRPr lang="en-US"/>
              </a:p>
            </c:rich>
          </c:tx>
          <c:overlay val="0"/>
        </c:title>
        <c:numFmt formatCode="General" sourceLinked="1"/>
        <c:majorTickMark val="out"/>
        <c:minorTickMark val="none"/>
        <c:tickLblPos val="nextTo"/>
        <c:crossAx val="75922048"/>
        <c:crosses val="autoZero"/>
        <c:crossBetween val="midCat"/>
        <c:majorUnit val="3"/>
      </c:valAx>
      <c:valAx>
        <c:axId val="75922048"/>
        <c:scaling>
          <c:orientation val="minMax"/>
          <c:max val="20"/>
          <c:min val="0"/>
        </c:scaling>
        <c:delete val="0"/>
        <c:axPos val="l"/>
        <c:majorGridlines>
          <c:spPr>
            <a:ln>
              <a:noFill/>
            </a:ln>
          </c:spPr>
        </c:majorGridlines>
        <c:title>
          <c:tx>
            <c:rich>
              <a:bodyPr rot="-5400000" vert="horz"/>
              <a:lstStyle/>
              <a:p>
                <a:pPr>
                  <a:defRPr/>
                </a:pPr>
                <a:r>
                  <a:rPr lang="en-GB"/>
                  <a:t>Temperature at occupied level (C)</a:t>
                </a:r>
              </a:p>
            </c:rich>
          </c:tx>
          <c:overlay val="0"/>
        </c:title>
        <c:numFmt formatCode="General" sourceLinked="1"/>
        <c:majorTickMark val="out"/>
        <c:minorTickMark val="none"/>
        <c:tickLblPos val="nextTo"/>
        <c:crossAx val="75920128"/>
        <c:crosses val="autoZero"/>
        <c:crossBetween val="midCat"/>
        <c:majorUnit val="2"/>
      </c:valAx>
    </c:plotArea>
    <c:legend>
      <c:legendPos val="r"/>
      <c:overlay val="0"/>
    </c:legend>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9525</xdr:colOff>
      <xdr:row>1</xdr:row>
      <xdr:rowOff>176212</xdr:rowOff>
    </xdr:from>
    <xdr:to>
      <xdr:col>4</xdr:col>
      <xdr:colOff>6419727</xdr:colOff>
      <xdr:row>20</xdr:row>
      <xdr:rowOff>19050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123825</xdr:colOff>
      <xdr:row>8</xdr:row>
      <xdr:rowOff>180974</xdr:rowOff>
    </xdr:from>
    <xdr:ext cx="3752850" cy="8531438"/>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3825" y="1895474"/>
          <a:ext cx="3752850" cy="853143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t>This spreadsheet tool is based on standard plume theory from Turner (1973), Buoyancy Effects in Fluids. It also uses the concept of a virtual origin for plumes following the work of Kaye &amp; Hunt. It shows how the temperature of an incoming stream of cold air through a high level window or damper into a warm room increases as the turbulent plume falls under gravity and entrains warm room air. The entrainment is just from one side of the line plume since the other side is against the window. When the temperature of the plume 1.4m from the floor (given by the light blue line for secondary schools) or 1.1m from the floor (given by the dark blue line for</a:t>
          </a:r>
          <a:r>
            <a:rPr lang="en-GB" sz="1100" baseline="0"/>
            <a:t> primary schools) </a:t>
          </a:r>
          <a:r>
            <a:rPr lang="en-GB" sz="1100"/>
            <a:t>is below the minimum acceptable level for schools (given by the red line) for any external temperature</a:t>
          </a:r>
          <a:r>
            <a:rPr lang="en-GB" sz="1100" baseline="0"/>
            <a:t> above 5C (denoted by the dotted black line)</a:t>
          </a:r>
          <a:r>
            <a:rPr lang="en-GB" sz="1100"/>
            <a:t>, the system FAILS to meet the criterion for draughts as laid out in 2017 BB101, which</a:t>
          </a:r>
          <a:r>
            <a:rPr lang="en-GB" sz="1100" baseline="0"/>
            <a:t> is that the temperature needs to be within 5C of the ambient temperature for all external temperatures above 5C</a:t>
          </a:r>
          <a:r>
            <a:rPr lang="en-GB" sz="1100"/>
            <a:t>. When the temperature of the plume (blue lines) is above the minimum temperature (red line), the system PASSES the criterion for cold draughts.</a:t>
          </a:r>
        </a:p>
        <a:p>
          <a:endParaRPr lang="en-GB" sz="1100"/>
        </a:p>
        <a:p>
          <a:r>
            <a:rPr lang="en-GB" sz="1100"/>
            <a:t>The model assumes that the flow is fully turbulent the moment air enters the room. This is the most optimistic assumption with regards to the effectiveness of mixing. Note that the effects of gusts are also not accounted for. Finally, although entrainment is modelled only from one side of the plume, the reduced turbulence arising from the fact that the plume is constrained by a solid boundary is also not included. The modelling results therefore indicate an optimistic view of the mixing effectiveness and colder temperatures at the occupied level may be experienced.</a:t>
          </a:r>
        </a:p>
        <a:p>
          <a:endParaRPr lang="en-GB" sz="1100"/>
        </a:p>
        <a:p>
          <a:r>
            <a:rPr lang="en-GB" sz="1100" b="1"/>
            <a:t>The results should be interpreted as follows:</a:t>
          </a:r>
        </a:p>
        <a:p>
          <a:r>
            <a:rPr lang="en-GB" sz="1100"/>
            <a:t>1) If the temperatures predicted show a </a:t>
          </a:r>
          <a:r>
            <a:rPr lang="en-GB" sz="1100" u="none">
              <a:solidFill>
                <a:srgbClr val="FF0000"/>
              </a:solidFill>
            </a:rPr>
            <a:t>FAIL</a:t>
          </a:r>
          <a:r>
            <a:rPr lang="en-GB" sz="1100"/>
            <a:t> then it is very likely that draughts</a:t>
          </a:r>
          <a:r>
            <a:rPr lang="en-GB" sz="1100" baseline="0"/>
            <a:t> will be a serious issue in your design and </a:t>
          </a:r>
          <a:r>
            <a:rPr lang="en-GB" sz="1100" u="none" baseline="0">
              <a:solidFill>
                <a:srgbClr val="FF0000"/>
              </a:solidFill>
            </a:rPr>
            <a:t>alternative solutions are recommended</a:t>
          </a:r>
          <a:r>
            <a:rPr lang="en-GB" sz="1100" baseline="0"/>
            <a:t>.</a:t>
          </a:r>
        </a:p>
        <a:p>
          <a:r>
            <a:rPr lang="en-GB" sz="1100" baseline="0"/>
            <a:t>2) If the temperatures predicted show a </a:t>
          </a:r>
          <a:r>
            <a:rPr lang="en-GB" sz="1100" b="1" baseline="0">
              <a:solidFill>
                <a:schemeClr val="accent6"/>
              </a:solidFill>
            </a:rPr>
            <a:t>MARGINAL PASS</a:t>
          </a:r>
          <a:r>
            <a:rPr lang="en-GB" sz="1100" baseline="0">
              <a:solidFill>
                <a:schemeClr val="accent6"/>
              </a:solidFill>
            </a:rPr>
            <a:t> </a:t>
          </a:r>
          <a:r>
            <a:rPr lang="en-GB" sz="1100" baseline="0"/>
            <a:t>then anyone using this design should only do so with </a:t>
          </a:r>
          <a:r>
            <a:rPr lang="en-GB" sz="1100" b="1" baseline="0">
              <a:solidFill>
                <a:schemeClr val="accent6"/>
              </a:solidFill>
            </a:rPr>
            <a:t>extreme caution</a:t>
          </a:r>
          <a:r>
            <a:rPr lang="en-GB" sz="1100" baseline="0"/>
            <a:t> as draughts may well still be a problem.</a:t>
          </a:r>
        </a:p>
        <a:p>
          <a:r>
            <a:rPr lang="en-GB" sz="1100" baseline="0"/>
            <a:t>3) If the temperatures predicted show a </a:t>
          </a:r>
          <a:r>
            <a:rPr lang="en-GB" sz="1100" b="1" baseline="0">
              <a:solidFill>
                <a:srgbClr val="00B050"/>
              </a:solidFill>
            </a:rPr>
            <a:t>CLEAR PASS</a:t>
          </a:r>
          <a:r>
            <a:rPr lang="en-GB" sz="1100" b="1" baseline="0"/>
            <a:t> </a:t>
          </a:r>
          <a:r>
            <a:rPr lang="en-GB" sz="1100" baseline="0"/>
            <a:t>then the designer can </a:t>
          </a:r>
          <a:r>
            <a:rPr lang="en-GB" sz="1100" b="1" baseline="0">
              <a:solidFill>
                <a:srgbClr val="00B050"/>
              </a:solidFill>
            </a:rPr>
            <a:t>proceed</a:t>
          </a:r>
          <a:r>
            <a:rPr lang="en-GB" sz="1100" baseline="0"/>
            <a:t>, but note that the results do not guarantee draught free conditions at all times. If completely draught free conditions are desired under all weather conditions then alternative ventilation solutions should be pursued.</a:t>
          </a:r>
        </a:p>
        <a:p>
          <a:endParaRPr lang="en-GB">
            <a:effectLst/>
          </a:endParaRPr>
        </a:p>
        <a:p>
          <a:r>
            <a:rPr lang="en-GB" sz="1100">
              <a:solidFill>
                <a:schemeClr val="tx1"/>
              </a:solidFill>
              <a:effectLst/>
              <a:latin typeface="+mn-lt"/>
              <a:ea typeface="+mn-ea"/>
              <a:cs typeface="+mn-cs"/>
            </a:rPr>
            <a:t>For</a:t>
          </a:r>
          <a:r>
            <a:rPr lang="en-GB" sz="1100" baseline="0">
              <a:solidFill>
                <a:schemeClr val="tx1"/>
              </a:solidFill>
              <a:effectLst/>
              <a:latin typeface="+mn-lt"/>
              <a:ea typeface="+mn-ea"/>
              <a:cs typeface="+mn-cs"/>
            </a:rPr>
            <a:t> more information please see </a:t>
          </a:r>
          <a:r>
            <a:rPr lang="en-GB" sz="1100" u="sng" baseline="0">
              <a:solidFill>
                <a:schemeClr val="tx1"/>
              </a:solidFill>
              <a:effectLst/>
              <a:latin typeface="+mn-lt"/>
              <a:ea typeface="+mn-ea"/>
              <a:cs typeface="+mn-cs"/>
            </a:rPr>
            <a:t>www.breathingbuildings.com</a:t>
          </a:r>
          <a:endParaRPr lang="en-GB">
            <a:effectLst/>
          </a:endParaRPr>
        </a:p>
        <a:p>
          <a:r>
            <a:rPr lang="en-GB" sz="1100" baseline="0">
              <a:solidFill>
                <a:schemeClr val="tx1"/>
              </a:solidFill>
              <a:effectLst/>
              <a:latin typeface="+mn-lt"/>
              <a:ea typeface="+mn-ea"/>
              <a:cs typeface="+mn-cs"/>
            </a:rPr>
            <a:t>Furthermore, if anyone wishes to obtain the full calculations in the spreadsheet please contact info@breathingbuildings.com</a:t>
          </a:r>
          <a:endParaRPr lang="en-GB">
            <a:effectLst/>
          </a:endParaRPr>
        </a:p>
      </xdr:txBody>
    </xdr:sp>
    <xdr:clientData/>
  </xdr:oneCellAnchor>
  <xdr:oneCellAnchor>
    <xdr:from>
      <xdr:col>5</xdr:col>
      <xdr:colOff>279400</xdr:colOff>
      <xdr:row>9</xdr:row>
      <xdr:rowOff>25400</xdr:rowOff>
    </xdr:from>
    <xdr:ext cx="184731"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3398500" y="173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174624</xdr:colOff>
      <xdr:row>21</xdr:row>
      <xdr:rowOff>92074</xdr:rowOff>
    </xdr:from>
    <xdr:ext cx="6924675" cy="1470146"/>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4772024" y="4189941"/>
          <a:ext cx="6924675" cy="147014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t>This spreadsheet tool is free  for designers to use to help them in the assessment of the most appropriate openings for wintertime ventilation.</a:t>
          </a:r>
          <a:endParaRPr lang="en-GB" sz="1100" u="sng">
            <a:solidFill>
              <a:schemeClr val="tx2"/>
            </a:solidFill>
          </a:endParaRPr>
        </a:p>
        <a:p>
          <a:endParaRPr lang="en-GB" sz="1100"/>
        </a:p>
        <a:p>
          <a:r>
            <a:rPr lang="en-GB" sz="1100" baseline="0"/>
            <a:t>The entrainment coefficient for turbulent plumes is usually taken to be 0.102. However, following work undertaken by Prof Malcolm Cook (Loughborough University), Prof Paul Linden, David Parker and Prof Colm-cille Caulfied (University of Cambridge), and discussions with Dr Henry Burridge (Imperial College), Dr Connick (Breathing Buildings) and Dr Shaun Fitzgerald (University of Cambridge and Breathing Buildings) regarding a line plume against a solid boundary, it has been recommended that the coefficient be 0.08 and this value is therefore used.</a:t>
          </a:r>
          <a:endParaRPr lang="en-GB" sz="1100"/>
        </a:p>
      </xdr:txBody>
    </xdr:sp>
    <xdr:clientData/>
  </xdr:oneCellAnchor>
  <xdr:oneCellAnchor>
    <xdr:from>
      <xdr:col>3</xdr:col>
      <xdr:colOff>174624</xdr:colOff>
      <xdr:row>30</xdr:row>
      <xdr:rowOff>151340</xdr:rowOff>
    </xdr:from>
    <xdr:ext cx="6924675" cy="1642373"/>
    <xdr:sp macro="" textlink="">
      <xdr:nvSpPr>
        <xdr:cNvPr id="6" name="TextBox 5">
          <a:extLst>
            <a:ext uri="{FF2B5EF4-FFF2-40B4-BE49-F238E27FC236}">
              <a16:creationId xmlns:a16="http://schemas.microsoft.com/office/drawing/2014/main" id="{5A86F5C8-6255-484A-A57F-BCAB0A8B3956}"/>
            </a:ext>
          </a:extLst>
        </xdr:cNvPr>
        <xdr:cNvSpPr txBox="1"/>
      </xdr:nvSpPr>
      <xdr:spPr>
        <a:xfrm>
          <a:off x="4772024" y="5925607"/>
          <a:ext cx="6924675" cy="164237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b="1"/>
            <a:t>Use of the tool in other applications</a:t>
          </a:r>
        </a:p>
        <a:p>
          <a:endParaRPr lang="en-GB" sz="1100"/>
        </a:p>
        <a:p>
          <a:r>
            <a:rPr lang="en-GB" sz="1100">
              <a:solidFill>
                <a:schemeClr val="tx1"/>
              </a:solidFill>
              <a:effectLst/>
              <a:latin typeface="+mn-lt"/>
              <a:ea typeface="+mn-ea"/>
              <a:cs typeface="+mn-cs"/>
            </a:rPr>
            <a:t>This</a:t>
          </a:r>
          <a:r>
            <a:rPr lang="en-GB" sz="1100" baseline="0">
              <a:solidFill>
                <a:schemeClr val="tx1"/>
              </a:solidFill>
              <a:effectLst/>
              <a:latin typeface="+mn-lt"/>
              <a:ea typeface="+mn-ea"/>
              <a:cs typeface="+mn-cs"/>
            </a:rPr>
            <a:t> simple tool can be used to help investigate some other scenarios. If a designer wishes to assess the entrainment as a result of uni-directional inflow through a horizontal damper in a space, then the flow can be approximated to leading order as a line plume emanating from all 4 sides of the damper. So, if the damper is 1.5m x 1.5m, the length of the window/damper should be given as 4x1.5m = 6m. The critical height is the height from the floor to the point at which mixing starts. It is easiest to state that the opening is a bottom hung window, and ensure that the height from the floor to the top of the opening in this model is then simply the height from the floor to the point where mixing can commence, which is usually at ceiling level.</a:t>
          </a:r>
          <a:endParaRPr lang="en-GB">
            <a:effectLst/>
          </a:endParaRPr>
        </a:p>
      </xdr:txBody>
    </xdr:sp>
    <xdr:clientData/>
  </xdr:oneCellAnchor>
  <xdr:twoCellAnchor>
    <xdr:from>
      <xdr:col>4</xdr:col>
      <xdr:colOff>1439333</xdr:colOff>
      <xdr:row>2</xdr:row>
      <xdr:rowOff>101600</xdr:rowOff>
    </xdr:from>
    <xdr:to>
      <xdr:col>4</xdr:col>
      <xdr:colOff>1439333</xdr:colOff>
      <xdr:row>16</xdr:row>
      <xdr:rowOff>160867</xdr:rowOff>
    </xdr:to>
    <xdr:cxnSp macro="">
      <xdr:nvCxnSpPr>
        <xdr:cNvPr id="8" name="Straight Connector 7">
          <a:extLst>
            <a:ext uri="{FF2B5EF4-FFF2-40B4-BE49-F238E27FC236}">
              <a16:creationId xmlns:a16="http://schemas.microsoft.com/office/drawing/2014/main" id="{82DD1689-F067-4854-A7DB-E78817485F0E}"/>
            </a:ext>
          </a:extLst>
        </xdr:cNvPr>
        <xdr:cNvCxnSpPr/>
      </xdr:nvCxnSpPr>
      <xdr:spPr>
        <a:xfrm flipV="1">
          <a:off x="6646333" y="287867"/>
          <a:ext cx="0" cy="3039533"/>
        </a:xfrm>
        <a:prstGeom prst="line">
          <a:avLst/>
        </a:prstGeom>
        <a:ln w="381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0.72457</cdr:x>
      <cdr:y>0.05215</cdr:y>
    </cdr:from>
    <cdr:to>
      <cdr:x>0.97422</cdr:x>
      <cdr:y>0.17792</cdr:y>
    </cdr:to>
    <cdr:pic>
      <cdr:nvPicPr>
        <cdr:cNvPr id="2" name="Picture 1">
          <a:extLst xmlns:a="http://schemas.openxmlformats.org/drawingml/2006/main">
            <a:ext uri="{FF2B5EF4-FFF2-40B4-BE49-F238E27FC236}">
              <a16:creationId xmlns:a16="http://schemas.microsoft.com/office/drawing/2014/main" id="{0D6F2396-F85F-4AF4-B7AE-C4C5D189846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6349" y="190500"/>
          <a:ext cx="1752477" cy="459405"/>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7"/>
  <sheetViews>
    <sheetView tabSelected="1" zoomScale="70" zoomScaleNormal="70" workbookViewId="0" xr3:uid="{AEA406A1-0E4B-5B11-9CD5-51D6E497D94C}">
      <selection activeCell="L9" sqref="L9"/>
    </sheetView>
  </sheetViews>
  <sheetFormatPr defaultRowHeight="14.25"/>
  <cols>
    <col min="5" max="5" width="11.42578125" bestFit="1" customWidth="1"/>
    <col min="6" max="6" width="12.7109375" bestFit="1" customWidth="1"/>
    <col min="7" max="7" width="13.42578125" customWidth="1"/>
    <col min="8" max="8" width="12.7109375" bestFit="1" customWidth="1"/>
  </cols>
  <sheetData>
    <row r="1" spans="1:10">
      <c r="A1" s="9"/>
      <c r="B1" s="10"/>
      <c r="C1" s="9"/>
      <c r="D1" s="9"/>
      <c r="E1" s="9"/>
      <c r="F1" s="9"/>
      <c r="G1" s="9"/>
      <c r="H1" s="9"/>
      <c r="I1" s="11"/>
      <c r="J1" s="12"/>
    </row>
    <row r="2" spans="1:10" ht="29.65">
      <c r="A2" s="13"/>
      <c r="B2" s="26"/>
      <c r="C2" s="26"/>
      <c r="D2" s="26"/>
      <c r="E2" s="26"/>
      <c r="F2" s="26"/>
      <c r="G2" s="26"/>
      <c r="H2" s="26"/>
      <c r="I2" s="11"/>
      <c r="J2" s="12"/>
    </row>
    <row r="3" spans="1:10" ht="97.5" customHeight="1">
      <c r="A3" s="13"/>
      <c r="B3" s="27" t="s">
        <v>0</v>
      </c>
      <c r="C3" s="27"/>
      <c r="D3" s="27"/>
      <c r="E3" s="27"/>
      <c r="F3" s="27"/>
      <c r="G3" s="27"/>
      <c r="H3" s="27"/>
      <c r="I3" s="11"/>
      <c r="J3" s="12"/>
    </row>
    <row r="4" spans="1:10" ht="27.4">
      <c r="A4" s="13"/>
      <c r="B4" s="28" t="s">
        <v>1</v>
      </c>
      <c r="C4" s="28"/>
      <c r="D4" s="28"/>
      <c r="E4" s="28"/>
      <c r="F4" s="28"/>
      <c r="G4" s="28"/>
      <c r="H4" s="28"/>
      <c r="I4" s="11"/>
      <c r="J4" s="12"/>
    </row>
    <row r="5" spans="1:10">
      <c r="A5" s="9"/>
      <c r="B5" s="10"/>
      <c r="C5" s="9"/>
      <c r="D5" s="9"/>
      <c r="E5" s="9"/>
      <c r="F5" s="9"/>
      <c r="G5" s="9"/>
      <c r="H5" s="9"/>
      <c r="I5" s="11"/>
      <c r="J5" s="12"/>
    </row>
    <row r="6" spans="1:10" ht="15.4">
      <c r="A6" s="14"/>
      <c r="B6" s="29" t="s">
        <v>2</v>
      </c>
      <c r="C6" s="29"/>
      <c r="D6" s="29"/>
      <c r="E6" s="29"/>
      <c r="F6" s="29"/>
      <c r="G6" s="29"/>
      <c r="H6" s="29"/>
      <c r="I6" s="11"/>
      <c r="J6" s="12"/>
    </row>
    <row r="7" spans="1:10" ht="15.4">
      <c r="A7" s="14"/>
      <c r="B7" s="30" t="s">
        <v>3</v>
      </c>
      <c r="C7" s="30"/>
      <c r="D7" s="31" t="s">
        <v>4</v>
      </c>
      <c r="E7" s="31"/>
      <c r="F7" s="31"/>
      <c r="G7" s="31"/>
      <c r="H7" s="31"/>
      <c r="I7" s="11"/>
      <c r="J7" s="12"/>
    </row>
    <row r="8" spans="1:10" ht="15.4">
      <c r="A8" s="14"/>
      <c r="B8" s="35" t="s">
        <v>5</v>
      </c>
      <c r="C8" s="35"/>
      <c r="D8" s="36" t="s">
        <v>6</v>
      </c>
      <c r="E8" s="36"/>
      <c r="F8" s="36"/>
      <c r="G8" s="36"/>
      <c r="H8" s="36"/>
      <c r="I8" s="11"/>
      <c r="J8" s="12"/>
    </row>
    <row r="9" spans="1:10" ht="33.75" customHeight="1">
      <c r="A9" s="14"/>
      <c r="B9" s="35"/>
      <c r="C9" s="35"/>
      <c r="D9" s="37" t="s">
        <v>7</v>
      </c>
      <c r="E9" s="37"/>
      <c r="F9" s="37"/>
      <c r="G9" s="37"/>
      <c r="H9" s="37"/>
      <c r="I9" s="11"/>
      <c r="J9" s="12"/>
    </row>
    <row r="10" spans="1:10" ht="42.6" customHeight="1">
      <c r="A10" s="14"/>
      <c r="B10" s="35" t="s">
        <v>8</v>
      </c>
      <c r="C10" s="35"/>
      <c r="D10" s="38" t="s">
        <v>9</v>
      </c>
      <c r="E10" s="38"/>
      <c r="F10" s="38"/>
      <c r="G10" s="38"/>
      <c r="H10" s="38"/>
      <c r="I10" s="11"/>
      <c r="J10" s="12"/>
    </row>
    <row r="11" spans="1:10" ht="15.4">
      <c r="A11" s="14"/>
      <c r="B11" s="35"/>
      <c r="C11" s="35"/>
      <c r="D11" s="37"/>
      <c r="E11" s="36"/>
      <c r="F11" s="36"/>
      <c r="G11" s="36"/>
      <c r="H11" s="36"/>
      <c r="I11" s="11"/>
      <c r="J11" s="12"/>
    </row>
    <row r="12" spans="1:10" ht="15.4">
      <c r="A12" s="14"/>
      <c r="B12" s="40"/>
      <c r="C12" s="40"/>
      <c r="D12" s="42"/>
      <c r="E12" s="42"/>
      <c r="F12" s="42"/>
      <c r="G12" s="42"/>
      <c r="H12" s="42"/>
      <c r="I12" s="11"/>
      <c r="J12" s="12"/>
    </row>
    <row r="13" spans="1:10" ht="15.4">
      <c r="A13" s="14"/>
      <c r="B13" s="29" t="s">
        <v>10</v>
      </c>
      <c r="C13" s="29"/>
      <c r="D13" s="29"/>
      <c r="E13" s="29"/>
      <c r="F13" s="29"/>
      <c r="G13" s="29"/>
      <c r="H13" s="29"/>
      <c r="I13" s="11"/>
      <c r="J13" s="12"/>
    </row>
    <row r="14" spans="1:10" ht="30">
      <c r="A14" s="14"/>
      <c r="B14" s="15" t="s">
        <v>11</v>
      </c>
      <c r="C14" s="41" t="s">
        <v>12</v>
      </c>
      <c r="D14" s="41"/>
      <c r="E14" s="15" t="s">
        <v>13</v>
      </c>
      <c r="F14" s="15" t="s">
        <v>14</v>
      </c>
      <c r="G14" s="15" t="s">
        <v>15</v>
      </c>
      <c r="H14" s="15" t="s">
        <v>16</v>
      </c>
      <c r="I14" s="11"/>
      <c r="J14" s="12"/>
    </row>
    <row r="15" spans="1:10" ht="63.75" customHeight="1">
      <c r="A15" s="14"/>
      <c r="B15" s="16">
        <v>1</v>
      </c>
      <c r="C15" s="39" t="s">
        <v>17</v>
      </c>
      <c r="D15" s="39"/>
      <c r="E15" s="17" t="s">
        <v>18</v>
      </c>
      <c r="F15" s="18">
        <v>43180</v>
      </c>
      <c r="G15" s="17" t="s">
        <v>19</v>
      </c>
      <c r="H15" s="18">
        <v>43180</v>
      </c>
      <c r="I15" s="11"/>
      <c r="J15" s="12"/>
    </row>
    <row r="16" spans="1:10" ht="15.4">
      <c r="A16" s="14"/>
      <c r="B16" s="20"/>
      <c r="C16" s="19"/>
      <c r="D16" s="19"/>
      <c r="E16" s="19"/>
      <c r="F16" s="19"/>
      <c r="G16" s="19"/>
      <c r="H16" s="19"/>
      <c r="I16" s="11"/>
      <c r="J16" s="12"/>
    </row>
    <row r="17" spans="1:13" ht="21.75" customHeight="1">
      <c r="A17" s="14"/>
      <c r="B17" s="21" t="s">
        <v>20</v>
      </c>
      <c r="C17" s="14"/>
      <c r="D17" s="14"/>
      <c r="E17" s="14"/>
      <c r="F17" s="14"/>
      <c r="G17" s="14"/>
      <c r="H17" s="14"/>
      <c r="I17" s="11"/>
      <c r="J17" s="12"/>
    </row>
    <row r="18" spans="1:13" ht="49.5" customHeight="1">
      <c r="A18" s="19"/>
      <c r="B18" s="32" t="s">
        <v>21</v>
      </c>
      <c r="C18" s="33"/>
      <c r="D18" s="33"/>
      <c r="E18" s="33"/>
      <c r="F18" s="33"/>
      <c r="G18" s="33"/>
      <c r="H18" s="33"/>
      <c r="I18" s="34"/>
      <c r="J18" s="34"/>
      <c r="K18" s="34"/>
      <c r="L18" s="34"/>
      <c r="M18" s="34"/>
    </row>
    <row r="19" spans="1:13">
      <c r="A19" s="9"/>
      <c r="B19" s="10"/>
      <c r="C19" s="9"/>
      <c r="D19" s="9"/>
      <c r="E19" s="9"/>
      <c r="F19" s="9"/>
      <c r="G19" s="9"/>
      <c r="H19" s="9"/>
      <c r="I19" s="11"/>
      <c r="J19" s="12"/>
    </row>
    <row r="20" spans="1:13" ht="44.25" customHeight="1">
      <c r="A20" s="22"/>
      <c r="B20" s="23" t="s">
        <v>22</v>
      </c>
      <c r="C20" s="9"/>
      <c r="D20" s="9"/>
      <c r="E20" s="9"/>
      <c r="F20" s="9"/>
      <c r="G20" s="9"/>
      <c r="H20" s="9"/>
    </row>
    <row r="21" spans="1:13">
      <c r="A21" s="9"/>
      <c r="B21" s="24" t="s">
        <v>23</v>
      </c>
      <c r="C21" s="9"/>
      <c r="D21" s="9"/>
      <c r="E21" s="9"/>
      <c r="F21" s="9"/>
      <c r="G21" s="9"/>
      <c r="H21" s="9"/>
      <c r="I21" s="11"/>
      <c r="J21" s="12"/>
    </row>
    <row r="22" spans="1:13">
      <c r="A22" s="9"/>
      <c r="B22" s="25" t="s">
        <v>24</v>
      </c>
      <c r="C22" s="9"/>
      <c r="D22" s="9"/>
      <c r="E22" s="9"/>
      <c r="F22" s="9"/>
      <c r="G22" s="9"/>
      <c r="H22" s="9"/>
      <c r="I22" s="11"/>
      <c r="J22" s="12"/>
    </row>
    <row r="23" spans="1:13">
      <c r="A23" s="9"/>
      <c r="B23" s="10"/>
      <c r="C23" s="9"/>
      <c r="D23" s="9"/>
      <c r="E23" s="9"/>
      <c r="F23" s="9"/>
      <c r="G23" s="9"/>
      <c r="H23" s="9"/>
      <c r="I23" s="11"/>
      <c r="J23" s="12"/>
    </row>
    <row r="24" spans="1:13">
      <c r="A24" s="9"/>
      <c r="B24" s="10"/>
      <c r="C24" s="9"/>
      <c r="D24" s="9"/>
      <c r="E24" s="9"/>
      <c r="F24" s="9"/>
      <c r="G24" s="9"/>
      <c r="H24" s="9"/>
      <c r="I24" s="11"/>
      <c r="J24" s="12"/>
    </row>
    <row r="25" spans="1:13">
      <c r="A25" s="9"/>
      <c r="B25" s="10"/>
      <c r="C25" s="9"/>
      <c r="D25" s="9"/>
      <c r="E25" s="9"/>
      <c r="F25" s="9"/>
      <c r="G25" s="9"/>
      <c r="H25" s="9"/>
      <c r="I25" s="11"/>
      <c r="J25" s="12"/>
    </row>
    <row r="26" spans="1:13">
      <c r="A26" s="9"/>
      <c r="I26" s="11"/>
      <c r="J26" s="12"/>
    </row>
    <row r="27" spans="1:13">
      <c r="A27" s="9"/>
      <c r="I27" s="11"/>
      <c r="J27" s="12"/>
    </row>
  </sheetData>
  <sheetProtection algorithmName="SHA-512" hashValue="H4u9vpCJJhX2ViXeGs2oVpHVknSCkTQ5WiN+6HD9iQdDVoaJ2VGb4+6klxI1ZYFOmNi228oBy08wYe0ZCKCR0w==" saltValue="9oxIPX0xeZ0qyPEP/WQKow==" spinCount="100000" sheet="1" objects="1" scenarios="1"/>
  <mergeCells count="18">
    <mergeCell ref="B18:M18"/>
    <mergeCell ref="B8:C9"/>
    <mergeCell ref="D8:H8"/>
    <mergeCell ref="D9:H9"/>
    <mergeCell ref="B10:C11"/>
    <mergeCell ref="D10:H10"/>
    <mergeCell ref="D11:H11"/>
    <mergeCell ref="C15:D15"/>
    <mergeCell ref="B12:C12"/>
    <mergeCell ref="D12:H12"/>
    <mergeCell ref="B13:H13"/>
    <mergeCell ref="C14:D14"/>
    <mergeCell ref="B2:H2"/>
    <mergeCell ref="B3:H3"/>
    <mergeCell ref="B4:H4"/>
    <mergeCell ref="B6:H6"/>
    <mergeCell ref="B7:C7"/>
    <mergeCell ref="D7:H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5"/>
  <sheetViews>
    <sheetView topLeftCell="A2" zoomScale="70" zoomScaleNormal="70" workbookViewId="0" xr3:uid="{958C4451-9541-5A59-BF78-D2F731DF1C81}">
      <selection activeCell="B8" sqref="B8"/>
    </sheetView>
  </sheetViews>
  <sheetFormatPr defaultRowHeight="14.25"/>
  <cols>
    <col min="1" max="1" width="36.42578125" style="6" customWidth="1"/>
    <col min="2" max="2" width="20.5703125" customWidth="1"/>
    <col min="5" max="5" width="121.5703125" customWidth="1"/>
  </cols>
  <sheetData>
    <row r="1" spans="1:4" hidden="1">
      <c r="A1" s="6" t="s">
        <v>25</v>
      </c>
      <c r="B1" s="1">
        <v>0</v>
      </c>
      <c r="C1" t="s">
        <v>26</v>
      </c>
      <c r="D1" t="s">
        <v>27</v>
      </c>
    </row>
    <row r="2" spans="1:4">
      <c r="A2" s="6" t="s">
        <v>28</v>
      </c>
      <c r="B2" s="7">
        <v>3</v>
      </c>
      <c r="C2" t="s">
        <v>26</v>
      </c>
    </row>
    <row r="3" spans="1:4">
      <c r="A3" s="6" t="s">
        <v>29</v>
      </c>
      <c r="B3" s="7">
        <v>21</v>
      </c>
      <c r="C3" t="s">
        <v>30</v>
      </c>
    </row>
    <row r="4" spans="1:4" ht="28.5">
      <c r="A4" s="6" t="s">
        <v>31</v>
      </c>
      <c r="B4" s="7">
        <v>2.7</v>
      </c>
      <c r="C4" t="s">
        <v>26</v>
      </c>
    </row>
    <row r="5" spans="1:4" ht="28.5">
      <c r="A5" s="6" t="s">
        <v>32</v>
      </c>
      <c r="B5" s="7">
        <v>0.5</v>
      </c>
      <c r="C5" t="s">
        <v>26</v>
      </c>
    </row>
    <row r="6" spans="1:4">
      <c r="A6" s="6" t="s">
        <v>33</v>
      </c>
      <c r="B6" s="7" t="s">
        <v>34</v>
      </c>
    </row>
    <row r="7" spans="1:4">
      <c r="A7" s="6" t="s">
        <v>35</v>
      </c>
      <c r="B7" s="7">
        <v>32</v>
      </c>
    </row>
    <row r="8" spans="1:4">
      <c r="A8" s="6" t="s">
        <v>36</v>
      </c>
      <c r="B8" s="7">
        <v>5</v>
      </c>
      <c r="C8" t="s">
        <v>37</v>
      </c>
    </row>
    <row r="24" spans="1:5">
      <c r="A24" s="43"/>
      <c r="B24" s="43"/>
      <c r="C24" s="43"/>
      <c r="D24" s="43"/>
      <c r="E24" s="43"/>
    </row>
    <row r="25" spans="1:5">
      <c r="A25"/>
    </row>
  </sheetData>
  <sheetProtection algorithmName="SHA-512" hashValue="skAjtJgfAkL5I19xRUGY4pSRYg2DLJ03g4lhf1L6njktoofVf+L78Vu8vf99HedRvIPJ7QrtOAL/dWFdpmeQiQ==" saltValue="3E3mrTFu5NRNuTg7YWezTA==" spinCount="100000" sheet="1" selectLockedCells="1"/>
  <mergeCells count="1">
    <mergeCell ref="A24:E24"/>
  </mergeCells>
  <pageMargins left="0.7" right="0.7" top="0.75" bottom="0.75" header="0.3" footer="0.3"/>
  <pageSetup paperSize="9" orientation="portrait" horizontalDpi="4294967293"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calcs!$A$17:$A$19</xm:f>
          </x14:formula1>
          <xm:sqref>B6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44"/>
  <sheetViews>
    <sheetView zoomScale="90" zoomScaleNormal="90" workbookViewId="0" xr3:uid="{842E5F09-E766-5B8D-85AF-A39847EA96FD}">
      <selection activeCell="N17" sqref="N17"/>
    </sheetView>
  </sheetViews>
  <sheetFormatPr defaultRowHeight="14.25"/>
  <cols>
    <col min="1" max="1" width="51" customWidth="1"/>
  </cols>
  <sheetData>
    <row r="1" spans="1:20">
      <c r="A1" s="8" t="s">
        <v>38</v>
      </c>
    </row>
    <row r="2" spans="1:20">
      <c r="A2" s="4" t="s">
        <v>39</v>
      </c>
      <c r="B2" s="4">
        <v>0.08</v>
      </c>
      <c r="C2" t="s">
        <v>40</v>
      </c>
    </row>
    <row r="3" spans="1:20">
      <c r="A3" s="4" t="s">
        <v>30</v>
      </c>
      <c r="B3" s="4">
        <f>(6/5)*B2*((0.9*B2)^0.33333)*(3.14159)^0.6666667</f>
        <v>8.5668052578674478E-2</v>
      </c>
      <c r="C3" t="s">
        <v>41</v>
      </c>
    </row>
    <row r="4" spans="1:20">
      <c r="A4" t="s">
        <v>42</v>
      </c>
      <c r="B4">
        <f>(Calculator!$B$7*Calculator!$B$8)/(Calculator!$B$2*1000)</f>
        <v>5.3333333333333337E-2</v>
      </c>
      <c r="C4" t="s">
        <v>43</v>
      </c>
    </row>
    <row r="5" spans="1:20">
      <c r="A5" t="s">
        <v>44</v>
      </c>
      <c r="B5" s="2">
        <f>MIN(Calculator!$B$3-1,15)</f>
        <v>15</v>
      </c>
      <c r="C5" s="2">
        <f t="shared" ref="C5:T5" si="0">B5-1</f>
        <v>14</v>
      </c>
      <c r="D5" s="2">
        <f t="shared" si="0"/>
        <v>13</v>
      </c>
      <c r="E5" s="2">
        <f t="shared" si="0"/>
        <v>12</v>
      </c>
      <c r="F5" s="2">
        <f t="shared" si="0"/>
        <v>11</v>
      </c>
      <c r="G5" s="2">
        <f t="shared" si="0"/>
        <v>10</v>
      </c>
      <c r="H5" s="2">
        <f t="shared" si="0"/>
        <v>9</v>
      </c>
      <c r="I5" s="2">
        <f t="shared" si="0"/>
        <v>8</v>
      </c>
      <c r="J5" s="2">
        <f t="shared" si="0"/>
        <v>7</v>
      </c>
      <c r="K5" s="2">
        <f t="shared" si="0"/>
        <v>6</v>
      </c>
      <c r="L5" s="2">
        <f t="shared" si="0"/>
        <v>5</v>
      </c>
      <c r="M5" s="2">
        <f t="shared" si="0"/>
        <v>4</v>
      </c>
      <c r="N5" s="2">
        <f t="shared" si="0"/>
        <v>3</v>
      </c>
      <c r="O5" s="2">
        <f t="shared" si="0"/>
        <v>2</v>
      </c>
      <c r="P5" s="2">
        <f t="shared" si="0"/>
        <v>1</v>
      </c>
      <c r="Q5" s="2">
        <f t="shared" si="0"/>
        <v>0</v>
      </c>
      <c r="R5" s="2">
        <f t="shared" si="0"/>
        <v>-1</v>
      </c>
      <c r="S5" s="2">
        <f t="shared" si="0"/>
        <v>-2</v>
      </c>
      <c r="T5" s="2">
        <f t="shared" si="0"/>
        <v>-3</v>
      </c>
    </row>
    <row r="6" spans="1:20">
      <c r="A6" t="s">
        <v>45</v>
      </c>
      <c r="B6">
        <f>9.81*(Calculator!$B$3-B5)/300</f>
        <v>0.19619999999999999</v>
      </c>
      <c r="C6">
        <f>9.81*(Calculator!$B$3-C5)/300</f>
        <v>0.22889999999999999</v>
      </c>
      <c r="D6">
        <f>9.81*(Calculator!$B$3-D5)/300</f>
        <v>0.2616</v>
      </c>
      <c r="E6">
        <f>9.81*(Calculator!$B$3-E5)/300</f>
        <v>0.29430000000000001</v>
      </c>
      <c r="F6">
        <f>9.81*(Calculator!$B$3-F5)/300</f>
        <v>0.32700000000000001</v>
      </c>
      <c r="G6">
        <f>9.81*(Calculator!$B$3-G5)/300</f>
        <v>0.35970000000000002</v>
      </c>
      <c r="H6">
        <f>9.81*(Calculator!$B$3-H5)/300</f>
        <v>0.39239999999999997</v>
      </c>
      <c r="I6">
        <f>9.81*(Calculator!$B$3-I5)/300</f>
        <v>0.42509999999999998</v>
      </c>
      <c r="J6">
        <f>9.81*(Calculator!$B$3-J5)/300</f>
        <v>0.45779999999999998</v>
      </c>
      <c r="K6">
        <f>9.81*(Calculator!$B$3-K5)/300</f>
        <v>0.49049999999999999</v>
      </c>
      <c r="L6">
        <f>9.81*(Calculator!$B$3-L5)/300</f>
        <v>0.5232</v>
      </c>
      <c r="M6">
        <f>9.81*(Calculator!$B$3-M5)/300</f>
        <v>0.55590000000000006</v>
      </c>
      <c r="N6">
        <f>9.81*(Calculator!$B$3-N5)/300</f>
        <v>0.58860000000000001</v>
      </c>
      <c r="O6">
        <f>9.81*(Calculator!$B$3-O5)/300</f>
        <v>0.62130000000000007</v>
      </c>
      <c r="P6">
        <f>9.81*(Calculator!$B$3-P5)/300</f>
        <v>0.65400000000000003</v>
      </c>
      <c r="Q6">
        <f>9.81*(Calculator!$B$3-Q5)/300</f>
        <v>0.68670000000000009</v>
      </c>
      <c r="R6">
        <f>9.81*(Calculator!$B$3-R5)/300</f>
        <v>0.71940000000000004</v>
      </c>
      <c r="S6">
        <f>9.81*(Calculator!$B$3-S5)/300</f>
        <v>0.7521000000000001</v>
      </c>
      <c r="T6">
        <f>9.81*(Calculator!$B$3-T5)/300</f>
        <v>0.78479999999999994</v>
      </c>
    </row>
    <row r="7" spans="1:20">
      <c r="A7" t="s">
        <v>46</v>
      </c>
      <c r="B7">
        <f t="shared" ref="B7:T7" si="1">$B$4*B6*1.2</f>
        <v>1.2556799999999998E-2</v>
      </c>
      <c r="C7">
        <f t="shared" si="1"/>
        <v>1.4649599999999999E-2</v>
      </c>
      <c r="D7">
        <f t="shared" si="1"/>
        <v>1.6742400000000001E-2</v>
      </c>
      <c r="E7">
        <f t="shared" si="1"/>
        <v>1.88352E-2</v>
      </c>
      <c r="F7">
        <f t="shared" si="1"/>
        <v>2.0927999999999999E-2</v>
      </c>
      <c r="G7">
        <f t="shared" si="1"/>
        <v>2.3020800000000004E-2</v>
      </c>
      <c r="H7">
        <f t="shared" si="1"/>
        <v>2.5113599999999996E-2</v>
      </c>
      <c r="I7">
        <f t="shared" si="1"/>
        <v>2.7206400000000002E-2</v>
      </c>
      <c r="J7">
        <f t="shared" si="1"/>
        <v>2.9299199999999997E-2</v>
      </c>
      <c r="K7">
        <f t="shared" si="1"/>
        <v>3.1392000000000003E-2</v>
      </c>
      <c r="L7">
        <f t="shared" si="1"/>
        <v>3.3484800000000002E-2</v>
      </c>
      <c r="M7">
        <f t="shared" si="1"/>
        <v>3.5577600000000001E-2</v>
      </c>
      <c r="N7">
        <f t="shared" si="1"/>
        <v>3.76704E-2</v>
      </c>
      <c r="O7">
        <f t="shared" si="1"/>
        <v>3.9763200000000005E-2</v>
      </c>
      <c r="P7">
        <f t="shared" si="1"/>
        <v>4.1855999999999997E-2</v>
      </c>
      <c r="Q7">
        <f t="shared" si="1"/>
        <v>4.3948800000000003E-2</v>
      </c>
      <c r="R7">
        <f t="shared" si="1"/>
        <v>4.6041600000000009E-2</v>
      </c>
      <c r="S7">
        <f t="shared" si="1"/>
        <v>4.8134400000000008E-2</v>
      </c>
      <c r="T7">
        <f t="shared" si="1"/>
        <v>5.0227199999999993E-2</v>
      </c>
    </row>
    <row r="8" spans="1:20">
      <c r="A8" t="s">
        <v>47</v>
      </c>
      <c r="B8">
        <f>$B$4*1.2/((4*B7*(calcs!$B$2*1)^2)^0.333)</f>
        <v>0.93177137897443019</v>
      </c>
      <c r="C8">
        <f>$B$4*1.2/((4*C7*(calcs!$B$2*1)^2)^0.333)</f>
        <v>0.88514839302128545</v>
      </c>
      <c r="D8">
        <f>$B$4*1.2/((4*D7*(calcs!$B$2*1)^2)^0.333)</f>
        <v>0.84665166521561241</v>
      </c>
      <c r="E8">
        <f>$B$4*1.2/((4*E7*(calcs!$B$2*1)^2)^0.333)</f>
        <v>0.81408729483505049</v>
      </c>
      <c r="F8">
        <f>$B$4*1.2/((4*F7*(calcs!$B$2*1)^2)^0.333)</f>
        <v>0.78602024598695663</v>
      </c>
      <c r="G8">
        <f>$B$4*1.2/((4*G7*(calcs!$B$2*1)^2)^0.333)</f>
        <v>0.76146503892158912</v>
      </c>
      <c r="H8">
        <f>$B$4*1.2/((4*H7*(calcs!$B$2*1)^2)^0.333)</f>
        <v>0.73971832506982715</v>
      </c>
      <c r="I8">
        <f>$B$4*1.2/((4*I7*(calcs!$B$2*1)^2)^0.333)</f>
        <v>0.72026215527081006</v>
      </c>
      <c r="J8">
        <f>$B$4*1.2/((4*J7*(calcs!$B$2*1)^2)^0.333)</f>
        <v>0.70270508570957346</v>
      </c>
      <c r="K8">
        <f>$B$4*1.2/((4*K7*(calcs!$B$2*1)^2)^0.333)</f>
        <v>0.68674474251978757</v>
      </c>
      <c r="L8">
        <f>$B$4*1.2/((4*L7*(calcs!$B$2*1)^2)^0.333)</f>
        <v>0.67214315211119957</v>
      </c>
      <c r="M8">
        <f>$B$4*1.2/((4*M7*(calcs!$B$2*1)^2)^0.333)</f>
        <v>0.6587099774704952</v>
      </c>
      <c r="N8">
        <f>$B$4*1.2/((4*N7*(calcs!$B$2*1)^2)^0.333)</f>
        <v>0.64629082174516517</v>
      </c>
      <c r="O8">
        <f>$B$4*1.2/((4*O7*(calcs!$B$2*1)^2)^0.333)</f>
        <v>0.63475887746636384</v>
      </c>
      <c r="P8">
        <f>$B$4*1.2/((4*P7*(calcs!$B$2*1)^2)^0.333)</f>
        <v>0.62400884267598933</v>
      </c>
      <c r="Q8">
        <f>$B$4*1.2/((4*Q7*(calcs!$B$2*1)^2)^0.333)</f>
        <v>0.61395240849937893</v>
      </c>
      <c r="R8">
        <f>$B$4*1.2/((4*R7*(calcs!$B$2*1)^2)^0.333)</f>
        <v>0.60451485836609498</v>
      </c>
      <c r="S8">
        <f>$B$4*1.2/((4*S7*(calcs!$B$2*1)^2)^0.333)</f>
        <v>0.59563246799588854</v>
      </c>
      <c r="T8">
        <f>$B$4*1.2/((4*T7*(calcs!$B$2*1)^2)^0.333)</f>
        <v>0.58725049168861243</v>
      </c>
    </row>
    <row r="10" spans="1:20">
      <c r="A10" t="s">
        <v>48</v>
      </c>
      <c r="B10">
        <f>((B7/2)^0.666667)/(((1*calcs!$B$2)^0.66667)*(calcs!$B$15-Calculator!$B$1+B8))</f>
        <v>0.10584857787828297</v>
      </c>
      <c r="C10">
        <f>((C7/2)^0.666667)/(((1*calcs!$B$2)^0.66667)*(calcs!$B$15-Calculator!$B$1+C8))</f>
        <v>0.12055039842088204</v>
      </c>
      <c r="D10">
        <f>((D7/2)^0.666667)/(((1*calcs!$B$2)^0.66667)*(calcs!$B$15-Calculator!$B$1+D8))</f>
        <v>0.13485479099451958</v>
      </c>
      <c r="E10">
        <f>((E7/2)^0.666667)/(((1*calcs!$B$2)^0.66667)*(calcs!$B$15-Calculator!$B$1+E8))</f>
        <v>0.14881365984268052</v>
      </c>
      <c r="F10">
        <f>((F7/2)^0.666667)/(((1*calcs!$B$2)^0.66667)*(calcs!$B$15-Calculator!$B$1+F8))</f>
        <v>0.16246735071881283</v>
      </c>
      <c r="G10">
        <f>((G7/2)^0.666667)/(((1*calcs!$B$2)^0.66667)*(calcs!$B$15-Calculator!$B$1+G8))</f>
        <v>0.17584810718694954</v>
      </c>
      <c r="H10">
        <f>((H7/2)^0.666667)/(((1*calcs!$B$2)^0.66667)*(calcs!$B$15-Calculator!$B$1+H8))</f>
        <v>0.18898227411421764</v>
      </c>
      <c r="I10">
        <f>((I7/2)^0.666667)/(((1*calcs!$B$2)^0.66667)*(calcs!$B$15-Calculator!$B$1+I8))</f>
        <v>0.20189176925420571</v>
      </c>
      <c r="J10">
        <f>((J7/2)^0.666667)/(((1*calcs!$B$2)^0.66667)*(calcs!$B$15-Calculator!$B$1+J8))</f>
        <v>0.21459510362424519</v>
      </c>
      <c r="K10">
        <f>((K7/2)^0.666667)/(((1*calcs!$B$2)^0.66667)*(calcs!$B$15-Calculator!$B$1+K8))</f>
        <v>0.22710811130315239</v>
      </c>
      <c r="L10">
        <f>((L7/2)^0.666667)/(((1*calcs!$B$2)^0.66667)*(calcs!$B$15-Calculator!$B$1+L8))</f>
        <v>0.23944448518426553</v>
      </c>
      <c r="M10">
        <f>((M7/2)^0.666667)/(((1*calcs!$B$2)^0.66667)*(calcs!$B$15-Calculator!$B$1+M8))</f>
        <v>0.25161617912069562</v>
      </c>
      <c r="N10">
        <f>((N7/2)^0.666667)/(((1*calcs!$B$2)^0.66667)*(calcs!$B$15-Calculator!$B$1+N8))</f>
        <v>0.26363371563356586</v>
      </c>
      <c r="O10">
        <f>((O7/2)^0.666667)/(((1*calcs!$B$2)^0.66667)*(calcs!$B$15-Calculator!$B$1+O8))</f>
        <v>0.27550642533748937</v>
      </c>
      <c r="P10">
        <f>((P7/2)^0.666667)/(((1*calcs!$B$2)^0.66667)*(calcs!$B$15-Calculator!$B$1+P8))</f>
        <v>0.2872426360036538</v>
      </c>
      <c r="Q10">
        <f>((Q7/2)^0.666667)/(((1*calcs!$B$2)^0.66667)*(calcs!$B$15-Calculator!$B$1+Q8))</f>
        <v>0.29884982382081487</v>
      </c>
      <c r="R10">
        <f>((R7/2)^0.666667)/(((1*calcs!$B$2)^0.66667)*(calcs!$B$15-Calculator!$B$1+R8))</f>
        <v>0.31033473583604049</v>
      </c>
      <c r="S10">
        <f>((S7/2)^0.666667)/(((1*calcs!$B$2)^0.66667)*(calcs!$B$15-Calculator!$B$1+S8))</f>
        <v>0.32170349011400529</v>
      </c>
      <c r="T10">
        <f>((T7/2)^0.666667)/(((1*calcs!$B$2)^0.66667)*(calcs!$B$15-Calculator!$B$1+T8))</f>
        <v>0.33296165845206649</v>
      </c>
    </row>
    <row r="11" spans="1:20">
      <c r="A11" t="s">
        <v>49</v>
      </c>
      <c r="B11">
        <f t="shared" ref="B11:T11" si="2">300*B10/9.81</f>
        <v>3.23695956814321</v>
      </c>
      <c r="C11">
        <f t="shared" si="2"/>
        <v>3.686556526632478</v>
      </c>
      <c r="D11">
        <f t="shared" si="2"/>
        <v>4.1239997246030446</v>
      </c>
      <c r="E11">
        <f t="shared" si="2"/>
        <v>4.5508764477883954</v>
      </c>
      <c r="F11">
        <f t="shared" si="2"/>
        <v>4.968420511278679</v>
      </c>
      <c r="G11">
        <f t="shared" si="2"/>
        <v>5.3776179567874474</v>
      </c>
      <c r="H11">
        <f t="shared" si="2"/>
        <v>5.7792744377436582</v>
      </c>
      <c r="I11">
        <f t="shared" si="2"/>
        <v>6.1740602218411524</v>
      </c>
      <c r="J11">
        <f t="shared" si="2"/>
        <v>6.5625413952368561</v>
      </c>
      <c r="K11">
        <f t="shared" si="2"/>
        <v>6.9452021805245376</v>
      </c>
      <c r="L11">
        <f t="shared" si="2"/>
        <v>7.3224613206197411</v>
      </c>
      <c r="M11">
        <f t="shared" si="2"/>
        <v>7.6946843767796826</v>
      </c>
      <c r="N11">
        <f t="shared" si="2"/>
        <v>8.0621931386411578</v>
      </c>
      <c r="O11">
        <f t="shared" si="2"/>
        <v>8.4252729461005913</v>
      </c>
      <c r="P11">
        <f t="shared" si="2"/>
        <v>8.7841784710597484</v>
      </c>
      <c r="Q11">
        <f t="shared" si="2"/>
        <v>9.1391383431441859</v>
      </c>
      <c r="R11">
        <f t="shared" si="2"/>
        <v>9.4903588940685157</v>
      </c>
      <c r="S11">
        <f t="shared" si="2"/>
        <v>9.8380272206117816</v>
      </c>
      <c r="T11">
        <f t="shared" si="2"/>
        <v>10.182313714130473</v>
      </c>
    </row>
    <row r="12" spans="1:20">
      <c r="A12" t="s">
        <v>50</v>
      </c>
      <c r="B12" s="3">
        <f>Calculator!$B$3-B11</f>
        <v>17.76304043185679</v>
      </c>
      <c r="C12" s="3">
        <f>Calculator!$B$3-C11</f>
        <v>17.313443473367521</v>
      </c>
      <c r="D12" s="3">
        <f>Calculator!$B$3-D11</f>
        <v>16.876000275396954</v>
      </c>
      <c r="E12" s="3">
        <f>Calculator!$B$3-E11</f>
        <v>16.449123552211603</v>
      </c>
      <c r="F12" s="3">
        <f>Calculator!$B$3-F11</f>
        <v>16.03157948872132</v>
      </c>
      <c r="G12" s="3">
        <f>Calculator!$B$3-G11</f>
        <v>15.622382043212554</v>
      </c>
      <c r="H12" s="3">
        <f>Calculator!$B$3-H11</f>
        <v>15.220725562256341</v>
      </c>
      <c r="I12" s="3">
        <f>Calculator!$B$3-I11</f>
        <v>14.825939778158848</v>
      </c>
      <c r="J12" s="3">
        <f>Calculator!$B$3-J11</f>
        <v>14.437458604763144</v>
      </c>
      <c r="K12" s="3">
        <f>Calculator!$B$3-K11</f>
        <v>14.054797819475462</v>
      </c>
      <c r="L12" s="3">
        <f>Calculator!$B$3-L11</f>
        <v>13.677538679380259</v>
      </c>
      <c r="M12" s="3">
        <f>Calculator!$B$3-M11</f>
        <v>13.305315623220316</v>
      </c>
      <c r="N12" s="3">
        <f>Calculator!$B$3-N11</f>
        <v>12.937806861358842</v>
      </c>
      <c r="O12" s="3">
        <f>Calculator!$B$3-O11</f>
        <v>12.574727053899409</v>
      </c>
      <c r="P12" s="3">
        <f>Calculator!$B$3-P11</f>
        <v>12.215821528940252</v>
      </c>
      <c r="Q12" s="3">
        <f>Calculator!$B$3-Q11</f>
        <v>11.860861656855814</v>
      </c>
      <c r="R12" s="3">
        <f>Calculator!$B$3-R11</f>
        <v>11.509641105931484</v>
      </c>
      <c r="S12" s="3">
        <f>Calculator!$B$3-S11</f>
        <v>11.161972779388218</v>
      </c>
      <c r="T12" s="3">
        <f>Calculator!$B$3-T11</f>
        <v>10.817686285869527</v>
      </c>
    </row>
    <row r="13" spans="1:20">
      <c r="A13" t="s">
        <v>51</v>
      </c>
      <c r="B13">
        <f>Calculator!$B$3-5</f>
        <v>16</v>
      </c>
      <c r="C13">
        <f t="shared" ref="C13:T13" si="3">B13</f>
        <v>16</v>
      </c>
      <c r="D13">
        <f t="shared" si="3"/>
        <v>16</v>
      </c>
      <c r="E13">
        <f t="shared" si="3"/>
        <v>16</v>
      </c>
      <c r="F13">
        <f t="shared" si="3"/>
        <v>16</v>
      </c>
      <c r="G13">
        <f t="shared" si="3"/>
        <v>16</v>
      </c>
      <c r="H13">
        <f t="shared" si="3"/>
        <v>16</v>
      </c>
      <c r="I13">
        <f t="shared" si="3"/>
        <v>16</v>
      </c>
      <c r="J13">
        <f t="shared" si="3"/>
        <v>16</v>
      </c>
      <c r="K13">
        <f t="shared" si="3"/>
        <v>16</v>
      </c>
      <c r="L13">
        <f t="shared" si="3"/>
        <v>16</v>
      </c>
      <c r="M13">
        <f t="shared" si="3"/>
        <v>16</v>
      </c>
      <c r="N13">
        <f t="shared" si="3"/>
        <v>16</v>
      </c>
      <c r="O13">
        <f t="shared" si="3"/>
        <v>16</v>
      </c>
      <c r="P13">
        <f t="shared" si="3"/>
        <v>16</v>
      </c>
      <c r="Q13">
        <f t="shared" si="3"/>
        <v>16</v>
      </c>
      <c r="R13">
        <f t="shared" si="3"/>
        <v>16</v>
      </c>
      <c r="S13">
        <f t="shared" si="3"/>
        <v>16</v>
      </c>
      <c r="T13">
        <f t="shared" si="3"/>
        <v>16</v>
      </c>
    </row>
    <row r="15" spans="1:20">
      <c r="A15" t="s">
        <v>52</v>
      </c>
      <c r="B15" s="5">
        <f>Calculator!$B$4-Calculator!$B$5+B21-1.4</f>
        <v>0.80000000000000027</v>
      </c>
      <c r="C15" t="s">
        <v>26</v>
      </c>
    </row>
    <row r="17" spans="1:20">
      <c r="A17" t="s">
        <v>34</v>
      </c>
      <c r="B17">
        <v>0</v>
      </c>
    </row>
    <row r="18" spans="1:20">
      <c r="A18" t="s">
        <v>53</v>
      </c>
      <c r="B18">
        <f>Calculator!$B$5</f>
        <v>0.5</v>
      </c>
    </row>
    <row r="19" spans="1:20">
      <c r="A19" t="s">
        <v>54</v>
      </c>
      <c r="B19">
        <f>Calculator!$B$5/4</f>
        <v>0.125</v>
      </c>
    </row>
    <row r="21" spans="1:20">
      <c r="A21" t="s">
        <v>55</v>
      </c>
      <c r="B21">
        <f>IF(Calculator!$B$6="Top hung window",calcs!B17,IF(Calculator!$B$6="Bottom hung hopper window",B18,IF(Calculator!$B$6="Damper",calcs!B19,"Error")))</f>
        <v>0</v>
      </c>
    </row>
    <row r="24" spans="1:20">
      <c r="A24" s="8" t="s">
        <v>56</v>
      </c>
    </row>
    <row r="25" spans="1:20">
      <c r="A25" s="4" t="s">
        <v>39</v>
      </c>
      <c r="B25" s="4">
        <v>0.08</v>
      </c>
      <c r="C25" t="s">
        <v>40</v>
      </c>
    </row>
    <row r="26" spans="1:20">
      <c r="A26" s="4" t="s">
        <v>30</v>
      </c>
      <c r="B26" s="4">
        <f>(6/5)*B25*((0.9*B25)^0.33333)*(3.14159)^0.6666667</f>
        <v>8.5668052578674478E-2</v>
      </c>
      <c r="C26" t="s">
        <v>41</v>
      </c>
    </row>
    <row r="27" spans="1:20">
      <c r="A27" t="s">
        <v>42</v>
      </c>
      <c r="B27">
        <f>(Calculator!$B$7*Calculator!$B$8)/(Calculator!$B$2*1000)</f>
        <v>5.3333333333333337E-2</v>
      </c>
      <c r="C27" t="s">
        <v>43</v>
      </c>
    </row>
    <row r="28" spans="1:20">
      <c r="A28" t="s">
        <v>44</v>
      </c>
      <c r="B28" s="2">
        <f>MIN(Calculator!$B$3-1,15)</f>
        <v>15</v>
      </c>
      <c r="C28" s="2">
        <f t="shared" ref="C28:T28" si="4">B28-1</f>
        <v>14</v>
      </c>
      <c r="D28" s="2">
        <f t="shared" si="4"/>
        <v>13</v>
      </c>
      <c r="E28" s="2">
        <f t="shared" si="4"/>
        <v>12</v>
      </c>
      <c r="F28" s="2">
        <f t="shared" si="4"/>
        <v>11</v>
      </c>
      <c r="G28" s="2">
        <f t="shared" si="4"/>
        <v>10</v>
      </c>
      <c r="H28" s="2">
        <f t="shared" si="4"/>
        <v>9</v>
      </c>
      <c r="I28" s="2">
        <f t="shared" si="4"/>
        <v>8</v>
      </c>
      <c r="J28" s="2">
        <f t="shared" si="4"/>
        <v>7</v>
      </c>
      <c r="K28" s="2">
        <f t="shared" si="4"/>
        <v>6</v>
      </c>
      <c r="L28" s="2">
        <f t="shared" si="4"/>
        <v>5</v>
      </c>
      <c r="M28" s="2">
        <f t="shared" si="4"/>
        <v>4</v>
      </c>
      <c r="N28" s="2">
        <f t="shared" si="4"/>
        <v>3</v>
      </c>
      <c r="O28" s="2">
        <f t="shared" si="4"/>
        <v>2</v>
      </c>
      <c r="P28" s="2">
        <f t="shared" si="4"/>
        <v>1</v>
      </c>
      <c r="Q28" s="2">
        <f t="shared" si="4"/>
        <v>0</v>
      </c>
      <c r="R28" s="2">
        <f t="shared" si="4"/>
        <v>-1</v>
      </c>
      <c r="S28" s="2">
        <f t="shared" si="4"/>
        <v>-2</v>
      </c>
      <c r="T28" s="2">
        <f t="shared" si="4"/>
        <v>-3</v>
      </c>
    </row>
    <row r="29" spans="1:20">
      <c r="A29" t="s">
        <v>45</v>
      </c>
      <c r="B29">
        <f>9.81*(Calculator!$B$3-B28)/300</f>
        <v>0.19619999999999999</v>
      </c>
      <c r="C29">
        <f>9.81*(Calculator!$B$3-C28)/300</f>
        <v>0.22889999999999999</v>
      </c>
      <c r="D29">
        <f>9.81*(Calculator!$B$3-D28)/300</f>
        <v>0.2616</v>
      </c>
      <c r="E29">
        <f>9.81*(Calculator!$B$3-E28)/300</f>
        <v>0.29430000000000001</v>
      </c>
      <c r="F29">
        <f>9.81*(Calculator!$B$3-F28)/300</f>
        <v>0.32700000000000001</v>
      </c>
      <c r="G29">
        <f>9.81*(Calculator!$B$3-G28)/300</f>
        <v>0.35970000000000002</v>
      </c>
      <c r="H29">
        <f>9.81*(Calculator!$B$3-H28)/300</f>
        <v>0.39239999999999997</v>
      </c>
      <c r="I29">
        <f>9.81*(Calculator!$B$3-I28)/300</f>
        <v>0.42509999999999998</v>
      </c>
      <c r="J29">
        <f>9.81*(Calculator!$B$3-J28)/300</f>
        <v>0.45779999999999998</v>
      </c>
      <c r="K29">
        <f>9.81*(Calculator!$B$3-K28)/300</f>
        <v>0.49049999999999999</v>
      </c>
      <c r="L29">
        <f>9.81*(Calculator!$B$3-L28)/300</f>
        <v>0.5232</v>
      </c>
      <c r="M29">
        <f>9.81*(Calculator!$B$3-M28)/300</f>
        <v>0.55590000000000006</v>
      </c>
      <c r="N29">
        <f>9.81*(Calculator!$B$3-N28)/300</f>
        <v>0.58860000000000001</v>
      </c>
      <c r="O29">
        <f>9.81*(Calculator!$B$3-O28)/300</f>
        <v>0.62130000000000007</v>
      </c>
      <c r="P29">
        <f>9.81*(Calculator!$B$3-P28)/300</f>
        <v>0.65400000000000003</v>
      </c>
      <c r="Q29">
        <f>9.81*(Calculator!$B$3-Q28)/300</f>
        <v>0.68670000000000009</v>
      </c>
      <c r="R29">
        <f>9.81*(Calculator!$B$3-R28)/300</f>
        <v>0.71940000000000004</v>
      </c>
      <c r="S29">
        <f>9.81*(Calculator!$B$3-S28)/300</f>
        <v>0.7521000000000001</v>
      </c>
      <c r="T29">
        <f>9.81*(Calculator!$B$3-T28)/300</f>
        <v>0.78479999999999994</v>
      </c>
    </row>
    <row r="30" spans="1:20">
      <c r="A30" t="s">
        <v>46</v>
      </c>
      <c r="B30">
        <f t="shared" ref="B30:T30" si="5">$B$4*B29*1.2</f>
        <v>1.2556799999999998E-2</v>
      </c>
      <c r="C30">
        <f t="shared" si="5"/>
        <v>1.4649599999999999E-2</v>
      </c>
      <c r="D30">
        <f t="shared" si="5"/>
        <v>1.6742400000000001E-2</v>
      </c>
      <c r="E30">
        <f t="shared" si="5"/>
        <v>1.88352E-2</v>
      </c>
      <c r="F30">
        <f t="shared" si="5"/>
        <v>2.0927999999999999E-2</v>
      </c>
      <c r="G30">
        <f t="shared" si="5"/>
        <v>2.3020800000000004E-2</v>
      </c>
      <c r="H30">
        <f t="shared" si="5"/>
        <v>2.5113599999999996E-2</v>
      </c>
      <c r="I30">
        <f t="shared" si="5"/>
        <v>2.7206400000000002E-2</v>
      </c>
      <c r="J30">
        <f t="shared" si="5"/>
        <v>2.9299199999999997E-2</v>
      </c>
      <c r="K30">
        <f t="shared" si="5"/>
        <v>3.1392000000000003E-2</v>
      </c>
      <c r="L30">
        <f t="shared" si="5"/>
        <v>3.3484800000000002E-2</v>
      </c>
      <c r="M30">
        <f t="shared" si="5"/>
        <v>3.5577600000000001E-2</v>
      </c>
      <c r="N30">
        <f t="shared" si="5"/>
        <v>3.76704E-2</v>
      </c>
      <c r="O30">
        <f t="shared" si="5"/>
        <v>3.9763200000000005E-2</v>
      </c>
      <c r="P30">
        <f t="shared" si="5"/>
        <v>4.1855999999999997E-2</v>
      </c>
      <c r="Q30">
        <f t="shared" si="5"/>
        <v>4.3948800000000003E-2</v>
      </c>
      <c r="R30">
        <f t="shared" si="5"/>
        <v>4.6041600000000009E-2</v>
      </c>
      <c r="S30">
        <f t="shared" si="5"/>
        <v>4.8134400000000008E-2</v>
      </c>
      <c r="T30">
        <f t="shared" si="5"/>
        <v>5.0227199999999993E-2</v>
      </c>
    </row>
    <row r="31" spans="1:20">
      <c r="A31" t="s">
        <v>47</v>
      </c>
      <c r="B31">
        <f>$B$4*1.2/((4*B30*(calcs!$B$2*1)^2)^0.333)</f>
        <v>0.93177137897443019</v>
      </c>
      <c r="C31">
        <f>$B$4*1.2/((4*C30*(calcs!$B$2*1)^2)^0.333)</f>
        <v>0.88514839302128545</v>
      </c>
      <c r="D31">
        <f>$B$4*1.2/((4*D30*(calcs!$B$2*1)^2)^0.333)</f>
        <v>0.84665166521561241</v>
      </c>
      <c r="E31">
        <f>$B$4*1.2/((4*E30*(calcs!$B$2*1)^2)^0.333)</f>
        <v>0.81408729483505049</v>
      </c>
      <c r="F31">
        <f>$B$4*1.2/((4*F30*(calcs!$B$2*1)^2)^0.333)</f>
        <v>0.78602024598695663</v>
      </c>
      <c r="G31">
        <f>$B$4*1.2/((4*G30*(calcs!$B$2*1)^2)^0.333)</f>
        <v>0.76146503892158912</v>
      </c>
      <c r="H31">
        <f>$B$4*1.2/((4*H30*(calcs!$B$2*1)^2)^0.333)</f>
        <v>0.73971832506982715</v>
      </c>
      <c r="I31">
        <f>$B$4*1.2/((4*I30*(calcs!$B$2*1)^2)^0.333)</f>
        <v>0.72026215527081006</v>
      </c>
      <c r="J31">
        <f>$B$4*1.2/((4*J30*(calcs!$B$2*1)^2)^0.333)</f>
        <v>0.70270508570957346</v>
      </c>
      <c r="K31">
        <f>$B$4*1.2/((4*K30*(calcs!$B$2*1)^2)^0.333)</f>
        <v>0.68674474251978757</v>
      </c>
      <c r="L31">
        <f>$B$4*1.2/((4*L30*(calcs!$B$2*1)^2)^0.333)</f>
        <v>0.67214315211119957</v>
      </c>
      <c r="M31">
        <f>$B$4*1.2/((4*M30*(calcs!$B$2*1)^2)^0.333)</f>
        <v>0.6587099774704952</v>
      </c>
      <c r="N31">
        <f>$B$4*1.2/((4*N30*(calcs!$B$2*1)^2)^0.333)</f>
        <v>0.64629082174516517</v>
      </c>
      <c r="O31">
        <f>$B$4*1.2/((4*O30*(calcs!$B$2*1)^2)^0.333)</f>
        <v>0.63475887746636384</v>
      </c>
      <c r="P31">
        <f>$B$4*1.2/((4*P30*(calcs!$B$2*1)^2)^0.333)</f>
        <v>0.62400884267598933</v>
      </c>
      <c r="Q31">
        <f>$B$4*1.2/((4*Q30*(calcs!$B$2*1)^2)^0.333)</f>
        <v>0.61395240849937893</v>
      </c>
      <c r="R31">
        <f>$B$4*1.2/((4*R30*(calcs!$B$2*1)^2)^0.333)</f>
        <v>0.60451485836609498</v>
      </c>
      <c r="S31">
        <f>$B$4*1.2/((4*S30*(calcs!$B$2*1)^2)^0.333)</f>
        <v>0.59563246799588854</v>
      </c>
      <c r="T31">
        <f>$B$4*1.2/((4*T30*(calcs!$B$2*1)^2)^0.333)</f>
        <v>0.58725049168861243</v>
      </c>
    </row>
    <row r="33" spans="1:20">
      <c r="A33" t="s">
        <v>48</v>
      </c>
      <c r="B33">
        <f>((B30/2)^0.666667)/(((1*calcs!$B$2)^0.66667)*(calcs!$B$38-Calculator!$B$1+B31))</f>
        <v>9.0219568782036366E-2</v>
      </c>
      <c r="C33">
        <f>((C30/2)^0.666667)/(((1*calcs!$B$2)^0.66667)*(calcs!$B$38-Calculator!$B$1+C31))</f>
        <v>0.10233255654397164</v>
      </c>
      <c r="D33">
        <f>((D30/2)^0.666667)/(((1*calcs!$B$2)^0.66667)*(calcs!$B$38-Calculator!$B$1+D31))</f>
        <v>0.1140722144189231</v>
      </c>
      <c r="E33">
        <f>((E30/2)^0.666667)/(((1*calcs!$B$2)^0.66667)*(calcs!$B$38-Calculator!$B$1+E31))</f>
        <v>0.12548969856188041</v>
      </c>
      <c r="F33">
        <f>((F30/2)^0.666667)/(((1*calcs!$B$2)^0.66667)*(calcs!$B$38-Calculator!$B$1+F31))</f>
        <v>0.13662446524642596</v>
      </c>
      <c r="G33">
        <f>((G30/2)^0.666667)/(((1*calcs!$B$2)^0.66667)*(calcs!$B$38-Calculator!$B$1+G31))</f>
        <v>0.14750783162279107</v>
      </c>
      <c r="H33">
        <f>((H30/2)^0.666667)/(((1*calcs!$B$2)^0.66667)*(calcs!$B$38-Calculator!$B$1+H31))</f>
        <v>0.15816522921028464</v>
      </c>
      <c r="I33">
        <f>((I30/2)^0.666667)/(((1*calcs!$B$2)^0.66667)*(calcs!$B$38-Calculator!$B$1+I31))</f>
        <v>0.16861769903257287</v>
      </c>
      <c r="J33">
        <f>((J30/2)^0.666667)/(((1*calcs!$B$2)^0.66667)*(calcs!$B$38-Calculator!$B$1+J31))</f>
        <v>0.17888292219334126</v>
      </c>
      <c r="K33">
        <f>((K30/2)^0.666667)/(((1*calcs!$B$2)^0.66667)*(calcs!$B$38-Calculator!$B$1+K31))</f>
        <v>0.18897595298776776</v>
      </c>
      <c r="L33">
        <f>((L30/2)^0.666667)/(((1*calcs!$B$2)^0.66667)*(calcs!$B$38-Calculator!$B$1+L31))</f>
        <v>0.19890975441508207</v>
      </c>
      <c r="M33">
        <f>((M30/2)^0.666667)/(((1*calcs!$B$2)^0.66667)*(calcs!$B$38-Calculator!$B$1+M31))</f>
        <v>0.20869559829543843</v>
      </c>
      <c r="N33">
        <f>((N30/2)^0.666667)/(((1*calcs!$B$2)^0.66667)*(calcs!$B$38-Calculator!$B$1+N31))</f>
        <v>0.21834337011652849</v>
      </c>
      <c r="O33">
        <f>((O30/2)^0.666667)/(((1*calcs!$B$2)^0.66667)*(calcs!$B$38-Calculator!$B$1+O31))</f>
        <v>0.22786180528403216</v>
      </c>
      <c r="P33">
        <f>((P30/2)^0.666667)/(((1*calcs!$B$2)^0.66667)*(calcs!$B$38-Calculator!$B$1+P31))</f>
        <v>0.23725867497747974</v>
      </c>
      <c r="Q33">
        <f>((Q30/2)^0.666667)/(((1*calcs!$B$2)^0.66667)*(calcs!$B$38-Calculator!$B$1+Q31))</f>
        <v>0.24654093431976962</v>
      </c>
      <c r="R33">
        <f>((R30/2)^0.666667)/(((1*calcs!$B$2)^0.66667)*(calcs!$B$38-Calculator!$B$1+R31))</f>
        <v>0.25571484191498911</v>
      </c>
      <c r="S33">
        <f>((S30/2)^0.666667)/(((1*calcs!$B$2)^0.66667)*(calcs!$B$38-Calculator!$B$1+S31))</f>
        <v>0.26478605732370825</v>
      </c>
      <c r="T33">
        <f>((T30/2)^0.666667)/(((1*calcs!$B$2)^0.66667)*(calcs!$B$38-Calculator!$B$1+T31))</f>
        <v>0.27375972131963111</v>
      </c>
    </row>
    <row r="34" spans="1:20">
      <c r="A34" t="s">
        <v>49</v>
      </c>
      <c r="B34">
        <f t="shared" ref="B34:T34" si="6">300*B33/9.81</f>
        <v>2.7590082196341394</v>
      </c>
      <c r="C34">
        <f t="shared" si="6"/>
        <v>3.1294359799379703</v>
      </c>
      <c r="D34">
        <f t="shared" si="6"/>
        <v>3.4884469241260883</v>
      </c>
      <c r="E34">
        <f t="shared" si="6"/>
        <v>3.8376054606079637</v>
      </c>
      <c r="F34">
        <f t="shared" si="6"/>
        <v>4.1781182032546162</v>
      </c>
      <c r="G34">
        <f t="shared" si="6"/>
        <v>4.5109428630822963</v>
      </c>
      <c r="H34">
        <f t="shared" si="6"/>
        <v>4.8368571623940255</v>
      </c>
      <c r="I34">
        <f t="shared" si="6"/>
        <v>5.1565045575710355</v>
      </c>
      <c r="J34">
        <f t="shared" si="6"/>
        <v>5.4704257551480504</v>
      </c>
      <c r="K34">
        <f t="shared" si="6"/>
        <v>5.7790811311243964</v>
      </c>
      <c r="L34">
        <f t="shared" si="6"/>
        <v>6.0828671074948648</v>
      </c>
      <c r="M34">
        <f t="shared" si="6"/>
        <v>6.3821283882397069</v>
      </c>
      <c r="N34">
        <f t="shared" si="6"/>
        <v>6.6771672818510241</v>
      </c>
      <c r="O34">
        <f t="shared" si="6"/>
        <v>6.9682509261171912</v>
      </c>
      <c r="P34">
        <f t="shared" si="6"/>
        <v>7.2556169717883714</v>
      </c>
      <c r="Q34">
        <f t="shared" si="6"/>
        <v>7.5394781137544218</v>
      </c>
      <c r="R34">
        <f t="shared" si="6"/>
        <v>7.8200257466357526</v>
      </c>
      <c r="S34">
        <f t="shared" si="6"/>
        <v>8.0974329456791505</v>
      </c>
      <c r="T34">
        <f t="shared" si="6"/>
        <v>8.3718569210896359</v>
      </c>
    </row>
    <row r="35" spans="1:20">
      <c r="A35" t="s">
        <v>50</v>
      </c>
      <c r="B35" s="3">
        <f>Calculator!$B$3-B34</f>
        <v>18.24099178036586</v>
      </c>
      <c r="C35" s="3">
        <f>Calculator!$B$3-C34</f>
        <v>17.87056402006203</v>
      </c>
      <c r="D35" s="3">
        <f>Calculator!$B$3-D34</f>
        <v>17.511553075873913</v>
      </c>
      <c r="E35" s="3">
        <f>Calculator!$B$3-E34</f>
        <v>17.162394539392036</v>
      </c>
      <c r="F35" s="3">
        <f>Calculator!$B$3-F34</f>
        <v>16.821881796745384</v>
      </c>
      <c r="G35" s="3">
        <f>Calculator!$B$3-G34</f>
        <v>16.489057136917705</v>
      </c>
      <c r="H35" s="3">
        <f>Calculator!$B$3-H34</f>
        <v>16.163142837605974</v>
      </c>
      <c r="I35" s="3">
        <f>Calculator!$B$3-I34</f>
        <v>15.843495442428964</v>
      </c>
      <c r="J35" s="3">
        <f>Calculator!$B$3-J34</f>
        <v>15.52957424485195</v>
      </c>
      <c r="K35" s="3">
        <f>Calculator!$B$3-K34</f>
        <v>15.220918868875604</v>
      </c>
      <c r="L35" s="3">
        <f>Calculator!$B$3-L34</f>
        <v>14.917132892505135</v>
      </c>
      <c r="M35" s="3">
        <f>Calculator!$B$3-M34</f>
        <v>14.617871611760293</v>
      </c>
      <c r="N35" s="3">
        <f>Calculator!$B$3-N34</f>
        <v>14.322832718148977</v>
      </c>
      <c r="O35" s="3">
        <f>Calculator!$B$3-O34</f>
        <v>14.031749073882809</v>
      </c>
      <c r="P35" s="3">
        <f>Calculator!$B$3-P34</f>
        <v>13.744383028211629</v>
      </c>
      <c r="Q35" s="3">
        <f>Calculator!$B$3-Q34</f>
        <v>13.460521886245578</v>
      </c>
      <c r="R35" s="3">
        <f>Calculator!$B$3-R34</f>
        <v>13.179974253364247</v>
      </c>
      <c r="S35" s="3">
        <f>Calculator!$B$3-S34</f>
        <v>12.902567054320849</v>
      </c>
      <c r="T35" s="3">
        <f>Calculator!$B$3-T34</f>
        <v>12.628143078910364</v>
      </c>
    </row>
    <row r="36" spans="1:20">
      <c r="A36" t="s">
        <v>51</v>
      </c>
      <c r="B36">
        <f>Calculator!$B$3-5</f>
        <v>16</v>
      </c>
      <c r="C36">
        <f t="shared" ref="C36:T36" si="7">B36</f>
        <v>16</v>
      </c>
      <c r="D36">
        <f t="shared" si="7"/>
        <v>16</v>
      </c>
      <c r="E36">
        <f t="shared" si="7"/>
        <v>16</v>
      </c>
      <c r="F36">
        <f t="shared" si="7"/>
        <v>16</v>
      </c>
      <c r="G36">
        <f t="shared" si="7"/>
        <v>16</v>
      </c>
      <c r="H36">
        <f t="shared" si="7"/>
        <v>16</v>
      </c>
      <c r="I36">
        <f t="shared" si="7"/>
        <v>16</v>
      </c>
      <c r="J36">
        <f t="shared" si="7"/>
        <v>16</v>
      </c>
      <c r="K36">
        <f t="shared" si="7"/>
        <v>16</v>
      </c>
      <c r="L36">
        <f t="shared" si="7"/>
        <v>16</v>
      </c>
      <c r="M36">
        <f t="shared" si="7"/>
        <v>16</v>
      </c>
      <c r="N36">
        <f t="shared" si="7"/>
        <v>16</v>
      </c>
      <c r="O36">
        <f t="shared" si="7"/>
        <v>16</v>
      </c>
      <c r="P36">
        <f t="shared" si="7"/>
        <v>16</v>
      </c>
      <c r="Q36">
        <f t="shared" si="7"/>
        <v>16</v>
      </c>
      <c r="R36">
        <f t="shared" si="7"/>
        <v>16</v>
      </c>
      <c r="S36">
        <f t="shared" si="7"/>
        <v>16</v>
      </c>
      <c r="T36">
        <f t="shared" si="7"/>
        <v>16</v>
      </c>
    </row>
    <row r="38" spans="1:20">
      <c r="A38" t="s">
        <v>52</v>
      </c>
      <c r="B38" s="5">
        <f>Calculator!$B$4-Calculator!$B$5+B44-1.1</f>
        <v>1.1000000000000001</v>
      </c>
      <c r="C38" t="s">
        <v>26</v>
      </c>
    </row>
    <row r="40" spans="1:20">
      <c r="A40" t="s">
        <v>34</v>
      </c>
      <c r="B40">
        <v>0</v>
      </c>
    </row>
    <row r="41" spans="1:20">
      <c r="A41" t="s">
        <v>53</v>
      </c>
      <c r="B41">
        <f>Calculator!$B$5</f>
        <v>0.5</v>
      </c>
    </row>
    <row r="42" spans="1:20">
      <c r="A42" t="s">
        <v>54</v>
      </c>
      <c r="B42">
        <f>Calculator!$B$5/4</f>
        <v>0.125</v>
      </c>
    </row>
    <row r="44" spans="1:20">
      <c r="A44" t="s">
        <v>55</v>
      </c>
      <c r="B44">
        <f>IF(Calculator!$B$6="Top hung window",calcs!B40,IF(Calculator!$B$6="Bottom hung hopper window",B41,IF(Calculator!$B$6="Damper",calcs!B42,"Error")))</f>
        <v>0</v>
      </c>
    </row>
  </sheetData>
  <sheetProtection algorithmName="SHA-512" hashValue="jHqh/wRsBCYfSzxoMOOtUN99e052Ily+FnN/vRpbnz/C1CkyVKv8n5bS2nBb4JTcdHOm6f1KT4Ddrk6tPMeOuA==" saltValue="eGTrPJvUrxturh9PvSGdkQ==" spinCount="100000" sheet="1" selectLockedCells="1" selectUnlockedCells="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Shaun Fitzgerald</dc:creator>
  <cp:keywords/>
  <dc:description/>
  <cp:lastModifiedBy/>
  <cp:revision/>
  <dcterms:created xsi:type="dcterms:W3CDTF">2011-07-01T16:00:13Z</dcterms:created>
  <dcterms:modified xsi:type="dcterms:W3CDTF">2018-08-20T15:16:19Z</dcterms:modified>
  <cp:category/>
  <cp:contentStatus/>
</cp:coreProperties>
</file>